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BAAA038C-BC59-41AB-BA56-3BACA7CA214E}" xr6:coauthVersionLast="47" xr6:coauthVersionMax="47" xr10:uidLastSave="{00000000-0000-0000-0000-000000000000}"/>
  <bookViews>
    <workbookView xWindow="28680" yWindow="-120" windowWidth="20730" windowHeight="11040" xr2:uid="{603FE5E5-46F5-467E-BCDF-FCD1AE3A8D2D}"/>
  </bookViews>
  <sheets>
    <sheet name="sdrascd7-IENOMKE13063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88" i="1" l="1"/>
  <c r="E888" i="1"/>
  <c r="P887" i="1"/>
  <c r="E887" i="1"/>
  <c r="P886" i="1"/>
  <c r="E886" i="1"/>
  <c r="P885" i="1"/>
  <c r="E885" i="1"/>
  <c r="P884" i="1"/>
  <c r="E884" i="1"/>
  <c r="P883" i="1"/>
  <c r="E883" i="1"/>
  <c r="P882" i="1"/>
  <c r="E882" i="1"/>
  <c r="P881" i="1"/>
  <c r="E881" i="1"/>
  <c r="P880" i="1"/>
  <c r="E880" i="1"/>
  <c r="P879" i="1"/>
  <c r="E879" i="1"/>
  <c r="P878" i="1"/>
  <c r="E878" i="1"/>
  <c r="P877" i="1"/>
  <c r="E877" i="1"/>
  <c r="P876" i="1"/>
  <c r="E876" i="1"/>
  <c r="P875" i="1"/>
  <c r="E875" i="1"/>
  <c r="P874" i="1"/>
  <c r="E874" i="1"/>
  <c r="P873" i="1"/>
  <c r="E873" i="1"/>
  <c r="P872" i="1"/>
  <c r="E872" i="1"/>
  <c r="P871" i="1"/>
  <c r="E871" i="1"/>
  <c r="P870" i="1"/>
  <c r="E870" i="1"/>
  <c r="P869" i="1"/>
  <c r="E869" i="1"/>
  <c r="P868" i="1"/>
  <c r="E868" i="1"/>
  <c r="P867" i="1"/>
  <c r="E867" i="1"/>
  <c r="P866" i="1"/>
  <c r="E866" i="1"/>
  <c r="P865" i="1"/>
  <c r="E865" i="1"/>
  <c r="P864" i="1"/>
  <c r="E864" i="1"/>
  <c r="P863" i="1"/>
  <c r="E863" i="1"/>
  <c r="P862" i="1"/>
  <c r="E862" i="1"/>
  <c r="P861" i="1"/>
  <c r="E861" i="1"/>
  <c r="P860" i="1"/>
  <c r="E860" i="1"/>
  <c r="P859" i="1"/>
  <c r="E859" i="1"/>
  <c r="P858" i="1"/>
  <c r="E858" i="1"/>
  <c r="P857" i="1"/>
  <c r="E857" i="1"/>
  <c r="P856" i="1"/>
  <c r="E856" i="1"/>
  <c r="P855" i="1"/>
  <c r="E855" i="1"/>
  <c r="P854" i="1"/>
  <c r="E854" i="1"/>
  <c r="P853" i="1"/>
  <c r="E853" i="1"/>
  <c r="P852" i="1"/>
  <c r="E852" i="1"/>
  <c r="P851" i="1"/>
  <c r="E851" i="1"/>
  <c r="P850" i="1"/>
  <c r="E850" i="1"/>
  <c r="P849" i="1"/>
  <c r="E849" i="1"/>
  <c r="P848" i="1"/>
  <c r="E848" i="1"/>
  <c r="P847" i="1"/>
  <c r="E847" i="1"/>
  <c r="P846" i="1"/>
  <c r="E846" i="1"/>
  <c r="P845" i="1"/>
  <c r="E845" i="1"/>
  <c r="P844" i="1"/>
  <c r="E844" i="1"/>
  <c r="P843" i="1"/>
  <c r="E843" i="1"/>
  <c r="P842" i="1"/>
  <c r="E842" i="1"/>
  <c r="P841" i="1"/>
  <c r="E841" i="1"/>
  <c r="P840" i="1"/>
  <c r="E840" i="1"/>
  <c r="P839" i="1"/>
  <c r="E839" i="1"/>
  <c r="P838" i="1"/>
  <c r="E838" i="1"/>
  <c r="P837" i="1"/>
  <c r="E837" i="1"/>
  <c r="P836" i="1"/>
  <c r="E836" i="1"/>
  <c r="P835" i="1"/>
  <c r="E835" i="1"/>
  <c r="P834" i="1"/>
  <c r="E834" i="1"/>
  <c r="P833" i="1"/>
  <c r="E833" i="1"/>
  <c r="P832" i="1"/>
  <c r="E832" i="1"/>
  <c r="P831" i="1"/>
  <c r="E831" i="1"/>
  <c r="P830" i="1"/>
  <c r="E830" i="1"/>
  <c r="P829" i="1"/>
  <c r="E829" i="1"/>
  <c r="P828" i="1"/>
  <c r="E828" i="1"/>
  <c r="P827" i="1"/>
  <c r="E827" i="1"/>
  <c r="P826" i="1"/>
  <c r="E826" i="1"/>
  <c r="P825" i="1"/>
  <c r="E825" i="1"/>
  <c r="P824" i="1"/>
  <c r="E824" i="1"/>
  <c r="P823" i="1"/>
  <c r="E823" i="1"/>
  <c r="P822" i="1"/>
  <c r="E822" i="1"/>
  <c r="P821" i="1"/>
  <c r="E821" i="1"/>
  <c r="P820" i="1"/>
  <c r="E820" i="1"/>
  <c r="P819" i="1"/>
  <c r="E819" i="1"/>
  <c r="P818" i="1"/>
  <c r="E818" i="1"/>
  <c r="P817" i="1"/>
  <c r="E817" i="1"/>
  <c r="P816" i="1"/>
  <c r="E816" i="1"/>
  <c r="P815" i="1"/>
  <c r="E815" i="1"/>
  <c r="P814" i="1"/>
  <c r="E814" i="1"/>
  <c r="P813" i="1"/>
  <c r="E813" i="1"/>
  <c r="P812" i="1"/>
  <c r="E812" i="1"/>
  <c r="P811" i="1"/>
  <c r="E811" i="1"/>
  <c r="P810" i="1"/>
  <c r="E810" i="1"/>
  <c r="P809" i="1"/>
  <c r="E809" i="1"/>
  <c r="P808" i="1"/>
  <c r="E808" i="1"/>
  <c r="P807" i="1"/>
  <c r="E807" i="1"/>
  <c r="P806" i="1"/>
  <c r="E806" i="1"/>
  <c r="P805" i="1"/>
  <c r="E805" i="1"/>
  <c r="P804" i="1"/>
  <c r="E804" i="1"/>
  <c r="P803" i="1"/>
  <c r="E803" i="1"/>
  <c r="P802" i="1"/>
  <c r="E802" i="1"/>
  <c r="P801" i="1"/>
  <c r="E801" i="1"/>
  <c r="P800" i="1"/>
  <c r="E800" i="1"/>
  <c r="P799" i="1"/>
  <c r="E799" i="1"/>
  <c r="P798" i="1"/>
  <c r="E798" i="1"/>
  <c r="P797" i="1"/>
  <c r="E797" i="1"/>
  <c r="P796" i="1"/>
  <c r="E796" i="1"/>
  <c r="P795" i="1"/>
  <c r="E795" i="1"/>
  <c r="P794" i="1"/>
  <c r="E794" i="1"/>
  <c r="P793" i="1"/>
  <c r="E793" i="1"/>
  <c r="P792" i="1"/>
  <c r="E792" i="1"/>
  <c r="P791" i="1"/>
  <c r="E791" i="1"/>
  <c r="P790" i="1"/>
  <c r="E790" i="1"/>
  <c r="P789" i="1"/>
  <c r="E789" i="1"/>
  <c r="P788" i="1"/>
  <c r="E788" i="1"/>
  <c r="P787" i="1"/>
  <c r="E787" i="1"/>
  <c r="P786" i="1"/>
  <c r="E786" i="1"/>
  <c r="P785" i="1"/>
  <c r="E785" i="1"/>
  <c r="P784" i="1"/>
  <c r="E784" i="1"/>
  <c r="P783" i="1"/>
  <c r="E783" i="1"/>
  <c r="P782" i="1"/>
  <c r="E782" i="1"/>
  <c r="P781" i="1"/>
  <c r="E781" i="1"/>
  <c r="P780" i="1"/>
  <c r="E780" i="1"/>
  <c r="P779" i="1"/>
  <c r="E779" i="1"/>
  <c r="P778" i="1"/>
  <c r="E778" i="1"/>
  <c r="P777" i="1"/>
  <c r="E777" i="1"/>
  <c r="P776" i="1"/>
  <c r="E776" i="1"/>
  <c r="P775" i="1"/>
  <c r="E775" i="1"/>
  <c r="P774" i="1"/>
  <c r="E774" i="1"/>
  <c r="P773" i="1"/>
  <c r="E773" i="1"/>
  <c r="P772" i="1"/>
  <c r="E772" i="1"/>
  <c r="P771" i="1"/>
  <c r="E771" i="1"/>
  <c r="P770" i="1"/>
  <c r="E770" i="1"/>
  <c r="P769" i="1"/>
  <c r="E769" i="1"/>
  <c r="P768" i="1"/>
  <c r="E768" i="1"/>
  <c r="P767" i="1"/>
  <c r="E767" i="1"/>
  <c r="P766" i="1"/>
  <c r="E766" i="1"/>
  <c r="P765" i="1"/>
  <c r="E765" i="1"/>
  <c r="P764" i="1"/>
  <c r="E764" i="1"/>
  <c r="P763" i="1"/>
  <c r="E763" i="1"/>
  <c r="P762" i="1"/>
  <c r="E762" i="1"/>
  <c r="P761" i="1"/>
  <c r="E761" i="1"/>
  <c r="P760" i="1"/>
  <c r="E760" i="1"/>
  <c r="P759" i="1"/>
  <c r="E759" i="1"/>
  <c r="P758" i="1"/>
  <c r="E758" i="1"/>
  <c r="P757" i="1"/>
  <c r="E757" i="1"/>
  <c r="P756" i="1"/>
  <c r="E756" i="1"/>
  <c r="P755" i="1"/>
  <c r="E755" i="1"/>
  <c r="P754" i="1"/>
  <c r="E754" i="1"/>
  <c r="P753" i="1"/>
  <c r="E753" i="1"/>
  <c r="P752" i="1"/>
  <c r="E752" i="1"/>
  <c r="P751" i="1"/>
  <c r="E751" i="1"/>
  <c r="P750" i="1"/>
  <c r="E750" i="1"/>
  <c r="P749" i="1"/>
  <c r="E749" i="1"/>
  <c r="P748" i="1"/>
  <c r="E748" i="1"/>
  <c r="P747" i="1"/>
  <c r="E747" i="1"/>
  <c r="P746" i="1"/>
  <c r="E746" i="1"/>
  <c r="P745" i="1"/>
  <c r="E745" i="1"/>
  <c r="P744" i="1"/>
  <c r="E744" i="1"/>
  <c r="P743" i="1"/>
  <c r="E743" i="1"/>
  <c r="P742" i="1"/>
  <c r="E742" i="1"/>
  <c r="P741" i="1"/>
  <c r="E741" i="1"/>
  <c r="P740" i="1"/>
  <c r="E740" i="1"/>
  <c r="P739" i="1"/>
  <c r="E739" i="1"/>
  <c r="P738" i="1"/>
  <c r="E738" i="1"/>
  <c r="P737" i="1"/>
  <c r="E737" i="1"/>
  <c r="P736" i="1"/>
  <c r="E736" i="1"/>
  <c r="P735" i="1"/>
  <c r="E735" i="1"/>
  <c r="P734" i="1"/>
  <c r="E734" i="1"/>
  <c r="P733" i="1"/>
  <c r="E733" i="1"/>
  <c r="P732" i="1"/>
  <c r="E732" i="1"/>
  <c r="P731" i="1"/>
  <c r="E731" i="1"/>
  <c r="P730" i="1"/>
  <c r="E730" i="1"/>
  <c r="P729" i="1"/>
  <c r="E729" i="1"/>
  <c r="P728" i="1"/>
  <c r="E728" i="1"/>
  <c r="P727" i="1"/>
  <c r="E727" i="1"/>
  <c r="P726" i="1"/>
  <c r="E726" i="1"/>
  <c r="P725" i="1"/>
  <c r="E725" i="1"/>
  <c r="P724" i="1"/>
  <c r="E724" i="1"/>
  <c r="P723" i="1"/>
  <c r="E723" i="1"/>
  <c r="P722" i="1"/>
  <c r="E722" i="1"/>
  <c r="P721" i="1"/>
  <c r="E721" i="1"/>
  <c r="P720" i="1"/>
  <c r="E720" i="1"/>
  <c r="P719" i="1"/>
  <c r="E719" i="1"/>
  <c r="P718" i="1"/>
  <c r="E718" i="1"/>
  <c r="P717" i="1"/>
  <c r="E717" i="1"/>
  <c r="P716" i="1"/>
  <c r="E716" i="1"/>
  <c r="P715" i="1"/>
  <c r="E715" i="1"/>
  <c r="P714" i="1"/>
  <c r="E714" i="1"/>
  <c r="P713" i="1"/>
  <c r="E713" i="1"/>
  <c r="P712" i="1"/>
  <c r="E712" i="1"/>
  <c r="P711" i="1"/>
  <c r="E711" i="1"/>
  <c r="P710" i="1"/>
  <c r="E710" i="1"/>
  <c r="P709" i="1"/>
  <c r="E709" i="1"/>
  <c r="P708" i="1"/>
  <c r="E708" i="1"/>
  <c r="P707" i="1"/>
  <c r="E707" i="1"/>
  <c r="P706" i="1"/>
  <c r="E706" i="1"/>
  <c r="P705" i="1"/>
  <c r="E705" i="1"/>
  <c r="P704" i="1"/>
  <c r="E704" i="1"/>
  <c r="P703" i="1"/>
  <c r="E703" i="1"/>
  <c r="P702" i="1"/>
  <c r="E702" i="1"/>
  <c r="P701" i="1"/>
  <c r="E701" i="1"/>
  <c r="P700" i="1"/>
  <c r="E700" i="1"/>
  <c r="P699" i="1"/>
  <c r="E699" i="1"/>
  <c r="P698" i="1"/>
  <c r="E698" i="1"/>
  <c r="P697" i="1"/>
  <c r="E697" i="1"/>
  <c r="P696" i="1"/>
  <c r="E696" i="1"/>
  <c r="P695" i="1"/>
  <c r="E695" i="1"/>
  <c r="P694" i="1"/>
  <c r="E694" i="1"/>
  <c r="P693" i="1"/>
  <c r="E693" i="1"/>
  <c r="P692" i="1"/>
  <c r="E692" i="1"/>
  <c r="P691" i="1"/>
  <c r="E691" i="1"/>
  <c r="P690" i="1"/>
  <c r="E690" i="1"/>
  <c r="P689" i="1"/>
  <c r="E689" i="1"/>
  <c r="P688" i="1"/>
  <c r="E688" i="1"/>
  <c r="P687" i="1"/>
  <c r="E687" i="1"/>
  <c r="P686" i="1"/>
  <c r="E686" i="1"/>
  <c r="P685" i="1"/>
  <c r="E685" i="1"/>
  <c r="P684" i="1"/>
  <c r="E684" i="1"/>
  <c r="P683" i="1"/>
  <c r="E683" i="1"/>
  <c r="P682" i="1"/>
  <c r="E682" i="1"/>
  <c r="P681" i="1"/>
  <c r="E681" i="1"/>
  <c r="P680" i="1"/>
  <c r="E680" i="1"/>
  <c r="P679" i="1"/>
  <c r="E679" i="1"/>
  <c r="P678" i="1"/>
  <c r="E678" i="1"/>
  <c r="P677" i="1"/>
  <c r="E677" i="1"/>
  <c r="P676" i="1"/>
  <c r="E676" i="1"/>
  <c r="P675" i="1"/>
  <c r="E675" i="1"/>
  <c r="P674" i="1"/>
  <c r="E674" i="1"/>
  <c r="P673" i="1"/>
  <c r="E673" i="1"/>
  <c r="P672" i="1"/>
  <c r="E672" i="1"/>
  <c r="P671" i="1"/>
  <c r="E671" i="1"/>
  <c r="P670" i="1"/>
  <c r="E670" i="1"/>
  <c r="P669" i="1"/>
  <c r="E669" i="1"/>
  <c r="P668" i="1"/>
  <c r="E668" i="1"/>
  <c r="P667" i="1"/>
  <c r="E667" i="1"/>
  <c r="P666" i="1"/>
  <c r="E666" i="1"/>
  <c r="P665" i="1"/>
  <c r="E665" i="1"/>
  <c r="P664" i="1"/>
  <c r="E664" i="1"/>
  <c r="P663" i="1"/>
  <c r="E663" i="1"/>
  <c r="P662" i="1"/>
  <c r="E662" i="1"/>
  <c r="P661" i="1"/>
  <c r="E661" i="1"/>
  <c r="P660" i="1"/>
  <c r="E660" i="1"/>
  <c r="P659" i="1"/>
  <c r="E659" i="1"/>
  <c r="P658" i="1"/>
  <c r="E658" i="1"/>
  <c r="P657" i="1"/>
  <c r="E657" i="1"/>
  <c r="P656" i="1"/>
  <c r="E656" i="1"/>
  <c r="P655" i="1"/>
  <c r="E655" i="1"/>
  <c r="P654" i="1"/>
  <c r="E654" i="1"/>
  <c r="P653" i="1"/>
  <c r="E653" i="1"/>
  <c r="P652" i="1"/>
  <c r="E652" i="1"/>
  <c r="P651" i="1"/>
  <c r="E651" i="1"/>
  <c r="P650" i="1"/>
  <c r="E650" i="1"/>
  <c r="P649" i="1"/>
  <c r="E649" i="1"/>
  <c r="P648" i="1"/>
  <c r="E648" i="1"/>
  <c r="P647" i="1"/>
  <c r="E647" i="1"/>
  <c r="P646" i="1"/>
  <c r="E646" i="1"/>
  <c r="P645" i="1"/>
  <c r="E645" i="1"/>
  <c r="P644" i="1"/>
  <c r="E644" i="1"/>
  <c r="P643" i="1"/>
  <c r="E643" i="1"/>
  <c r="P642" i="1"/>
  <c r="E642" i="1"/>
  <c r="P641" i="1"/>
  <c r="E641" i="1"/>
  <c r="P640" i="1"/>
  <c r="E640" i="1"/>
  <c r="P639" i="1"/>
  <c r="E639" i="1"/>
  <c r="P638" i="1"/>
  <c r="E638" i="1"/>
  <c r="P637" i="1"/>
  <c r="E637" i="1"/>
  <c r="P636" i="1"/>
  <c r="E636" i="1"/>
  <c r="P635" i="1"/>
  <c r="E635" i="1"/>
  <c r="P634" i="1"/>
  <c r="E634" i="1"/>
  <c r="P633" i="1"/>
  <c r="E633" i="1"/>
  <c r="P632" i="1"/>
  <c r="E632" i="1"/>
  <c r="P631" i="1"/>
  <c r="E631" i="1"/>
  <c r="P630" i="1"/>
  <c r="E630" i="1"/>
  <c r="P629" i="1"/>
  <c r="E629" i="1"/>
  <c r="P628" i="1"/>
  <c r="E628" i="1"/>
  <c r="P627" i="1"/>
  <c r="E627" i="1"/>
  <c r="P626" i="1"/>
  <c r="E626" i="1"/>
  <c r="P625" i="1"/>
  <c r="E625" i="1"/>
  <c r="P624" i="1"/>
  <c r="E624" i="1"/>
  <c r="P623" i="1"/>
  <c r="E623" i="1"/>
  <c r="P622" i="1"/>
  <c r="E622" i="1"/>
  <c r="P621" i="1"/>
  <c r="E621" i="1"/>
  <c r="P620" i="1"/>
  <c r="E620" i="1"/>
  <c r="P619" i="1"/>
  <c r="E619" i="1"/>
  <c r="P618" i="1"/>
  <c r="E618" i="1"/>
  <c r="P617" i="1"/>
  <c r="E617" i="1"/>
  <c r="P616" i="1"/>
  <c r="E616" i="1"/>
  <c r="P615" i="1"/>
  <c r="E615" i="1"/>
  <c r="P614" i="1"/>
  <c r="E614" i="1"/>
  <c r="P613" i="1"/>
  <c r="E613" i="1"/>
  <c r="P612" i="1"/>
  <c r="E612" i="1"/>
  <c r="P611" i="1"/>
  <c r="E611" i="1"/>
  <c r="P610" i="1"/>
  <c r="E610" i="1"/>
  <c r="P609" i="1"/>
  <c r="E609" i="1"/>
  <c r="P608" i="1"/>
  <c r="E608" i="1"/>
  <c r="P607" i="1"/>
  <c r="E607" i="1"/>
  <c r="P606" i="1"/>
  <c r="E606" i="1"/>
  <c r="P605" i="1"/>
  <c r="E605" i="1"/>
  <c r="P604" i="1"/>
  <c r="E604" i="1"/>
  <c r="P603" i="1"/>
  <c r="E603" i="1"/>
  <c r="P602" i="1"/>
  <c r="E602" i="1"/>
  <c r="P601" i="1"/>
  <c r="E601" i="1"/>
  <c r="P600" i="1"/>
  <c r="E600" i="1"/>
  <c r="P599" i="1"/>
  <c r="E599" i="1"/>
  <c r="P598" i="1"/>
  <c r="E598" i="1"/>
  <c r="P597" i="1"/>
  <c r="E597" i="1"/>
  <c r="P596" i="1"/>
  <c r="E596" i="1"/>
  <c r="P595" i="1"/>
  <c r="E595" i="1"/>
  <c r="P594" i="1"/>
  <c r="E594" i="1"/>
  <c r="P593" i="1"/>
  <c r="E593" i="1"/>
  <c r="P592" i="1"/>
  <c r="E592" i="1"/>
  <c r="P591" i="1"/>
  <c r="E591" i="1"/>
  <c r="P590" i="1"/>
  <c r="E590" i="1"/>
  <c r="P589" i="1"/>
  <c r="E589" i="1"/>
  <c r="P588" i="1"/>
  <c r="E588" i="1"/>
  <c r="P587" i="1"/>
  <c r="E587" i="1"/>
  <c r="P586" i="1"/>
  <c r="E586" i="1"/>
  <c r="P585" i="1"/>
  <c r="E585" i="1"/>
  <c r="P584" i="1"/>
  <c r="E584" i="1"/>
  <c r="P583" i="1"/>
  <c r="E583" i="1"/>
  <c r="P582" i="1"/>
  <c r="E582" i="1"/>
  <c r="P581" i="1"/>
  <c r="E581" i="1"/>
  <c r="P580" i="1"/>
  <c r="E580" i="1"/>
  <c r="P579" i="1"/>
  <c r="E579" i="1"/>
  <c r="P578" i="1"/>
  <c r="E578" i="1"/>
  <c r="P577" i="1"/>
  <c r="E577" i="1"/>
  <c r="P576" i="1"/>
  <c r="E576" i="1"/>
  <c r="P575" i="1"/>
  <c r="E575" i="1"/>
  <c r="P574" i="1"/>
  <c r="E574" i="1"/>
  <c r="P573" i="1"/>
  <c r="E573" i="1"/>
  <c r="P572" i="1"/>
  <c r="E572" i="1"/>
  <c r="P571" i="1"/>
  <c r="E571" i="1"/>
  <c r="P570" i="1"/>
  <c r="E570" i="1"/>
  <c r="P569" i="1"/>
  <c r="E569" i="1"/>
  <c r="P568" i="1"/>
  <c r="E568" i="1"/>
  <c r="P567" i="1"/>
  <c r="E567" i="1"/>
  <c r="P566" i="1"/>
  <c r="E566" i="1"/>
  <c r="P565" i="1"/>
  <c r="E565" i="1"/>
  <c r="P564" i="1"/>
  <c r="E564" i="1"/>
  <c r="P563" i="1"/>
  <c r="E563" i="1"/>
  <c r="P562" i="1"/>
  <c r="E562" i="1"/>
  <c r="P561" i="1"/>
  <c r="E561" i="1"/>
  <c r="P560" i="1"/>
  <c r="E560" i="1"/>
  <c r="P559" i="1"/>
  <c r="E559" i="1"/>
  <c r="P558" i="1"/>
  <c r="E558" i="1"/>
  <c r="P557" i="1"/>
  <c r="E557" i="1"/>
  <c r="P556" i="1"/>
  <c r="E556" i="1"/>
  <c r="P555" i="1"/>
  <c r="E555" i="1"/>
  <c r="P554" i="1"/>
  <c r="E554" i="1"/>
  <c r="P553" i="1"/>
  <c r="E553" i="1"/>
  <c r="P552" i="1"/>
  <c r="E552" i="1"/>
  <c r="P551" i="1"/>
  <c r="E551" i="1"/>
  <c r="P550" i="1"/>
  <c r="E550" i="1"/>
  <c r="P549" i="1"/>
  <c r="E549" i="1"/>
  <c r="P548" i="1"/>
  <c r="E548" i="1"/>
  <c r="P547" i="1"/>
  <c r="E547" i="1"/>
  <c r="P546" i="1"/>
  <c r="E546" i="1"/>
  <c r="P545" i="1"/>
  <c r="E545" i="1"/>
  <c r="P544" i="1"/>
  <c r="E544" i="1"/>
  <c r="P543" i="1"/>
  <c r="E543" i="1"/>
  <c r="P542" i="1"/>
  <c r="E542" i="1"/>
  <c r="P541" i="1"/>
  <c r="E541" i="1"/>
  <c r="P540" i="1"/>
  <c r="E540" i="1"/>
  <c r="P539" i="1"/>
  <c r="E539" i="1"/>
  <c r="P538" i="1"/>
  <c r="E538" i="1"/>
  <c r="P537" i="1"/>
  <c r="E537" i="1"/>
  <c r="P536" i="1"/>
  <c r="E536" i="1"/>
  <c r="P535" i="1"/>
  <c r="E535" i="1"/>
  <c r="P534" i="1"/>
  <c r="E534" i="1"/>
  <c r="P533" i="1"/>
  <c r="E533" i="1"/>
  <c r="P532" i="1"/>
  <c r="E532" i="1"/>
  <c r="P531" i="1"/>
  <c r="E531" i="1"/>
  <c r="P530" i="1"/>
  <c r="E530" i="1"/>
  <c r="P529" i="1"/>
  <c r="E529" i="1"/>
  <c r="P528" i="1"/>
  <c r="E528" i="1"/>
  <c r="P527" i="1"/>
  <c r="E527" i="1"/>
  <c r="P526" i="1"/>
  <c r="E526" i="1"/>
  <c r="P525" i="1"/>
  <c r="E525" i="1"/>
  <c r="P524" i="1"/>
  <c r="E524" i="1"/>
  <c r="P523" i="1"/>
  <c r="E523" i="1"/>
  <c r="P522" i="1"/>
  <c r="E522" i="1"/>
  <c r="P521" i="1"/>
  <c r="E521" i="1"/>
  <c r="P520" i="1"/>
  <c r="E520" i="1"/>
  <c r="P519" i="1"/>
  <c r="E519" i="1"/>
  <c r="P518" i="1"/>
  <c r="E518" i="1"/>
  <c r="P517" i="1"/>
  <c r="E517" i="1"/>
  <c r="P516" i="1"/>
  <c r="E516" i="1"/>
  <c r="P515" i="1"/>
  <c r="E515" i="1"/>
  <c r="P514" i="1"/>
  <c r="E514" i="1"/>
  <c r="P513" i="1"/>
  <c r="E513" i="1"/>
  <c r="P512" i="1"/>
  <c r="E512" i="1"/>
  <c r="P511" i="1"/>
  <c r="E511" i="1"/>
  <c r="P510" i="1"/>
  <c r="E510" i="1"/>
  <c r="P509" i="1"/>
  <c r="E509" i="1"/>
  <c r="P508" i="1"/>
  <c r="E508" i="1"/>
  <c r="P507" i="1"/>
  <c r="E507" i="1"/>
  <c r="P506" i="1"/>
  <c r="E506" i="1"/>
  <c r="P505" i="1"/>
  <c r="E505" i="1"/>
  <c r="P504" i="1"/>
  <c r="E504" i="1"/>
  <c r="P503" i="1"/>
  <c r="E503" i="1"/>
  <c r="P502" i="1"/>
  <c r="E502" i="1"/>
  <c r="P501" i="1"/>
  <c r="E501" i="1"/>
  <c r="P500" i="1"/>
  <c r="E500" i="1"/>
  <c r="P499" i="1"/>
  <c r="E499" i="1"/>
  <c r="P498" i="1"/>
  <c r="E498" i="1"/>
  <c r="P497" i="1"/>
  <c r="E497" i="1"/>
  <c r="P496" i="1"/>
  <c r="E496" i="1"/>
  <c r="P495" i="1"/>
  <c r="E495" i="1"/>
  <c r="P494" i="1"/>
  <c r="E494" i="1"/>
  <c r="P493" i="1"/>
  <c r="E493" i="1"/>
  <c r="P492" i="1"/>
  <c r="E492" i="1"/>
  <c r="P491" i="1"/>
  <c r="E491" i="1"/>
  <c r="P490" i="1"/>
  <c r="E490" i="1"/>
  <c r="P489" i="1"/>
  <c r="E489" i="1"/>
  <c r="P488" i="1"/>
  <c r="E488" i="1"/>
  <c r="P487" i="1"/>
  <c r="E487" i="1"/>
  <c r="P486" i="1"/>
  <c r="E486" i="1"/>
  <c r="P485" i="1"/>
  <c r="E485" i="1"/>
  <c r="P484" i="1"/>
  <c r="E484" i="1"/>
  <c r="P483" i="1"/>
  <c r="E483" i="1"/>
  <c r="P482" i="1"/>
  <c r="E482" i="1"/>
  <c r="P481" i="1"/>
  <c r="E481" i="1"/>
  <c r="P480" i="1"/>
  <c r="E480" i="1"/>
  <c r="P479" i="1"/>
  <c r="E479" i="1"/>
  <c r="P478" i="1"/>
  <c r="E478" i="1"/>
  <c r="P477" i="1"/>
  <c r="E477" i="1"/>
  <c r="P476" i="1"/>
  <c r="E476" i="1"/>
  <c r="P475" i="1"/>
  <c r="E475" i="1"/>
  <c r="P474" i="1"/>
  <c r="E474" i="1"/>
  <c r="P473" i="1"/>
  <c r="E473" i="1"/>
  <c r="P472" i="1"/>
  <c r="E472" i="1"/>
  <c r="P471" i="1"/>
  <c r="E471" i="1"/>
  <c r="P470" i="1"/>
  <c r="E470" i="1"/>
  <c r="P469" i="1"/>
  <c r="E469" i="1"/>
  <c r="P468" i="1"/>
  <c r="E468" i="1"/>
  <c r="P467" i="1"/>
  <c r="E467" i="1"/>
  <c r="P466" i="1"/>
  <c r="E466" i="1"/>
  <c r="P465" i="1"/>
  <c r="E465" i="1"/>
  <c r="P464" i="1"/>
  <c r="E464" i="1"/>
  <c r="P463" i="1"/>
  <c r="E463" i="1"/>
  <c r="P462" i="1"/>
  <c r="E462" i="1"/>
  <c r="P461" i="1"/>
  <c r="E461" i="1"/>
  <c r="P460" i="1"/>
  <c r="E460" i="1"/>
  <c r="P459" i="1"/>
  <c r="E459" i="1"/>
  <c r="P458" i="1"/>
  <c r="E458" i="1"/>
  <c r="P457" i="1"/>
  <c r="E457" i="1"/>
  <c r="P456" i="1"/>
  <c r="E456" i="1"/>
  <c r="P455" i="1"/>
  <c r="E455" i="1"/>
  <c r="P454" i="1"/>
  <c r="E454" i="1"/>
  <c r="P453" i="1"/>
  <c r="E453" i="1"/>
  <c r="P452" i="1"/>
  <c r="E452" i="1"/>
  <c r="P451" i="1"/>
  <c r="E451" i="1"/>
  <c r="P450" i="1"/>
  <c r="E450" i="1"/>
  <c r="P449" i="1"/>
  <c r="E449" i="1"/>
  <c r="P448" i="1"/>
  <c r="E448" i="1"/>
  <c r="P447" i="1"/>
  <c r="E447" i="1"/>
  <c r="P446" i="1"/>
  <c r="E446" i="1"/>
  <c r="P445" i="1"/>
  <c r="E445" i="1"/>
  <c r="P444" i="1"/>
  <c r="E444" i="1"/>
  <c r="P443" i="1"/>
  <c r="E443" i="1"/>
  <c r="P442" i="1"/>
  <c r="E442" i="1"/>
  <c r="P441" i="1"/>
  <c r="E441" i="1"/>
  <c r="P440" i="1"/>
  <c r="E440" i="1"/>
  <c r="P439" i="1"/>
  <c r="E439" i="1"/>
  <c r="P438" i="1"/>
  <c r="E438" i="1"/>
  <c r="P437" i="1"/>
  <c r="E437" i="1"/>
  <c r="P436" i="1"/>
  <c r="E436" i="1"/>
  <c r="P435" i="1"/>
  <c r="E435" i="1"/>
  <c r="P434" i="1"/>
  <c r="E434" i="1"/>
  <c r="P433" i="1"/>
  <c r="E433" i="1"/>
  <c r="P432" i="1"/>
  <c r="E432" i="1"/>
  <c r="P431" i="1"/>
  <c r="E431" i="1"/>
  <c r="P430" i="1"/>
  <c r="E430" i="1"/>
  <c r="P429" i="1"/>
  <c r="E429" i="1"/>
  <c r="P428" i="1"/>
  <c r="E428" i="1"/>
  <c r="P427" i="1"/>
  <c r="E427" i="1"/>
  <c r="P426" i="1"/>
  <c r="E426" i="1"/>
  <c r="P425" i="1"/>
  <c r="E425" i="1"/>
  <c r="P424" i="1"/>
  <c r="E424" i="1"/>
  <c r="P423" i="1"/>
  <c r="E423" i="1"/>
  <c r="P422" i="1"/>
  <c r="E422" i="1"/>
  <c r="P421" i="1"/>
  <c r="E421" i="1"/>
  <c r="P420" i="1"/>
  <c r="E420" i="1"/>
  <c r="P419" i="1"/>
  <c r="E419" i="1"/>
  <c r="P418" i="1"/>
  <c r="E418" i="1"/>
  <c r="P417" i="1"/>
  <c r="E417" i="1"/>
  <c r="P416" i="1"/>
  <c r="E416" i="1"/>
  <c r="P415" i="1"/>
  <c r="E415" i="1"/>
  <c r="P414" i="1"/>
  <c r="E414" i="1"/>
  <c r="P413" i="1"/>
  <c r="E413" i="1"/>
  <c r="P412" i="1"/>
  <c r="E412" i="1"/>
  <c r="P411" i="1"/>
  <c r="E411" i="1"/>
  <c r="P410" i="1"/>
  <c r="E410" i="1"/>
  <c r="P409" i="1"/>
  <c r="E409" i="1"/>
  <c r="P408" i="1"/>
  <c r="E408" i="1"/>
  <c r="P407" i="1"/>
  <c r="E407" i="1"/>
  <c r="P406" i="1"/>
  <c r="E406" i="1"/>
  <c r="P405" i="1"/>
  <c r="E405" i="1"/>
  <c r="P404" i="1"/>
  <c r="E404" i="1"/>
  <c r="P403" i="1"/>
  <c r="E403" i="1"/>
  <c r="P402" i="1"/>
  <c r="E402" i="1"/>
  <c r="P401" i="1"/>
  <c r="E401" i="1"/>
  <c r="P400" i="1"/>
  <c r="E400" i="1"/>
  <c r="P399" i="1"/>
  <c r="E399" i="1"/>
  <c r="P398" i="1"/>
  <c r="E398" i="1"/>
  <c r="P397" i="1"/>
  <c r="E397" i="1"/>
  <c r="P396" i="1"/>
  <c r="E396" i="1"/>
  <c r="P395" i="1"/>
  <c r="E395" i="1"/>
  <c r="P394" i="1"/>
  <c r="E394" i="1"/>
  <c r="P393" i="1"/>
  <c r="E393" i="1"/>
  <c r="P392" i="1"/>
  <c r="E392" i="1"/>
  <c r="P391" i="1"/>
  <c r="E391" i="1"/>
  <c r="P390" i="1"/>
  <c r="E390" i="1"/>
  <c r="P389" i="1"/>
  <c r="E389" i="1"/>
  <c r="P388" i="1"/>
  <c r="E388" i="1"/>
  <c r="P387" i="1"/>
  <c r="E387" i="1"/>
  <c r="P386" i="1"/>
  <c r="E386" i="1"/>
  <c r="P385" i="1"/>
  <c r="E385" i="1"/>
  <c r="P384" i="1"/>
  <c r="E384" i="1"/>
  <c r="P383" i="1"/>
  <c r="E383" i="1"/>
  <c r="P382" i="1"/>
  <c r="E382" i="1"/>
  <c r="P381" i="1"/>
  <c r="E381" i="1"/>
  <c r="P380" i="1"/>
  <c r="E380" i="1"/>
  <c r="P379" i="1"/>
  <c r="E379" i="1"/>
  <c r="P378" i="1"/>
  <c r="E378" i="1"/>
  <c r="P377" i="1"/>
  <c r="E377" i="1"/>
  <c r="P376" i="1"/>
  <c r="E376" i="1"/>
  <c r="P375" i="1"/>
  <c r="E375" i="1"/>
  <c r="P374" i="1"/>
  <c r="E374" i="1"/>
  <c r="P373" i="1"/>
  <c r="E373" i="1"/>
  <c r="P372" i="1"/>
  <c r="E372" i="1"/>
  <c r="P371" i="1"/>
  <c r="E371" i="1"/>
  <c r="P370" i="1"/>
  <c r="E370" i="1"/>
  <c r="P369" i="1"/>
  <c r="E369" i="1"/>
  <c r="P368" i="1"/>
  <c r="E368" i="1"/>
  <c r="P367" i="1"/>
  <c r="E367" i="1"/>
  <c r="P366" i="1"/>
  <c r="E366" i="1"/>
  <c r="P365" i="1"/>
  <c r="E365" i="1"/>
  <c r="P364" i="1"/>
  <c r="E364" i="1"/>
  <c r="P363" i="1"/>
  <c r="E363" i="1"/>
  <c r="P362" i="1"/>
  <c r="E362" i="1"/>
  <c r="P361" i="1"/>
  <c r="E361" i="1"/>
  <c r="P360" i="1"/>
  <c r="E360" i="1"/>
  <c r="P359" i="1"/>
  <c r="E359" i="1"/>
  <c r="P358" i="1"/>
  <c r="E358" i="1"/>
  <c r="P357" i="1"/>
  <c r="E357" i="1"/>
  <c r="P356" i="1"/>
  <c r="E356" i="1"/>
  <c r="P355" i="1"/>
  <c r="E355" i="1"/>
  <c r="P354" i="1"/>
  <c r="E354" i="1"/>
  <c r="P353" i="1"/>
  <c r="E353" i="1"/>
  <c r="P352" i="1"/>
  <c r="E352" i="1"/>
  <c r="P351" i="1"/>
  <c r="E351" i="1"/>
  <c r="P350" i="1"/>
  <c r="E350" i="1"/>
  <c r="P349" i="1"/>
  <c r="E349" i="1"/>
  <c r="P348" i="1"/>
  <c r="E348" i="1"/>
  <c r="P347" i="1"/>
  <c r="E347" i="1"/>
  <c r="P346" i="1"/>
  <c r="E346" i="1"/>
  <c r="P345" i="1"/>
  <c r="E345" i="1"/>
  <c r="P344" i="1"/>
  <c r="E344" i="1"/>
  <c r="P343" i="1"/>
  <c r="E343" i="1"/>
  <c r="P342" i="1"/>
  <c r="E342" i="1"/>
  <c r="P341" i="1"/>
  <c r="E341" i="1"/>
  <c r="P340" i="1"/>
  <c r="E340" i="1"/>
  <c r="P339" i="1"/>
  <c r="E339" i="1"/>
  <c r="P338" i="1"/>
  <c r="E338" i="1"/>
  <c r="P337" i="1"/>
  <c r="E337" i="1"/>
  <c r="P336" i="1"/>
  <c r="E336" i="1"/>
  <c r="P335" i="1"/>
  <c r="E335" i="1"/>
  <c r="P334" i="1"/>
  <c r="E334" i="1"/>
  <c r="P333" i="1"/>
  <c r="E333" i="1"/>
  <c r="P332" i="1"/>
  <c r="E332" i="1"/>
  <c r="P331" i="1"/>
  <c r="E331" i="1"/>
  <c r="P330" i="1"/>
  <c r="E330" i="1"/>
  <c r="P329" i="1"/>
  <c r="E329" i="1"/>
  <c r="P328" i="1"/>
  <c r="E328" i="1"/>
  <c r="P327" i="1"/>
  <c r="E327" i="1"/>
  <c r="P326" i="1"/>
  <c r="E326" i="1"/>
  <c r="P325" i="1"/>
  <c r="E325" i="1"/>
  <c r="P324" i="1"/>
  <c r="E324" i="1"/>
  <c r="P323" i="1"/>
  <c r="E323" i="1"/>
  <c r="P322" i="1"/>
  <c r="E322" i="1"/>
  <c r="P321" i="1"/>
  <c r="E321" i="1"/>
  <c r="P320" i="1"/>
  <c r="E320" i="1"/>
  <c r="P319" i="1"/>
  <c r="E319" i="1"/>
  <c r="P318" i="1"/>
  <c r="E318" i="1"/>
  <c r="P317" i="1"/>
  <c r="E317" i="1"/>
  <c r="P316" i="1"/>
  <c r="E316" i="1"/>
  <c r="P315" i="1"/>
  <c r="E315" i="1"/>
  <c r="P314" i="1"/>
  <c r="E314" i="1"/>
  <c r="P313" i="1"/>
  <c r="E313" i="1"/>
  <c r="P312" i="1"/>
  <c r="E312" i="1"/>
  <c r="P311" i="1"/>
  <c r="E311" i="1"/>
  <c r="P310" i="1"/>
  <c r="E310" i="1"/>
  <c r="P309" i="1"/>
  <c r="E309" i="1"/>
  <c r="P308" i="1"/>
  <c r="E308" i="1"/>
  <c r="P307" i="1"/>
  <c r="E307" i="1"/>
  <c r="P306" i="1"/>
  <c r="E306" i="1"/>
  <c r="P305" i="1"/>
  <c r="E305" i="1"/>
  <c r="P304" i="1"/>
  <c r="E304" i="1"/>
  <c r="P303" i="1"/>
  <c r="E303" i="1"/>
  <c r="P302" i="1"/>
  <c r="E302" i="1"/>
  <c r="P301" i="1"/>
  <c r="E301" i="1"/>
  <c r="P300" i="1"/>
  <c r="E300" i="1"/>
  <c r="P299" i="1"/>
  <c r="E299" i="1"/>
  <c r="P298" i="1"/>
  <c r="E298" i="1"/>
  <c r="P297" i="1"/>
  <c r="E297" i="1"/>
  <c r="P296" i="1"/>
  <c r="E296" i="1"/>
  <c r="P295" i="1"/>
  <c r="E295" i="1"/>
  <c r="P294" i="1"/>
  <c r="E294" i="1"/>
  <c r="P293" i="1"/>
  <c r="E293" i="1"/>
  <c r="P292" i="1"/>
  <c r="E292" i="1"/>
  <c r="P291" i="1"/>
  <c r="E291" i="1"/>
  <c r="P290" i="1"/>
  <c r="E290" i="1"/>
  <c r="P289" i="1"/>
  <c r="E289" i="1"/>
  <c r="P288" i="1"/>
  <c r="E288" i="1"/>
  <c r="P287" i="1"/>
  <c r="E287" i="1"/>
  <c r="P286" i="1"/>
  <c r="E286" i="1"/>
  <c r="P285" i="1"/>
  <c r="E285" i="1"/>
  <c r="P284" i="1"/>
  <c r="E284" i="1"/>
  <c r="P283" i="1"/>
  <c r="E283" i="1"/>
  <c r="P282" i="1"/>
  <c r="E282" i="1"/>
  <c r="P281" i="1"/>
  <c r="E281" i="1"/>
  <c r="P280" i="1"/>
  <c r="E280" i="1"/>
  <c r="P279" i="1"/>
  <c r="E279" i="1"/>
  <c r="P278" i="1"/>
  <c r="E278" i="1"/>
  <c r="P277" i="1"/>
  <c r="E277" i="1"/>
  <c r="P276" i="1"/>
  <c r="E276" i="1"/>
  <c r="P275" i="1"/>
  <c r="E275" i="1"/>
  <c r="P274" i="1"/>
  <c r="E274" i="1"/>
  <c r="P273" i="1"/>
  <c r="E273" i="1"/>
  <c r="P272" i="1"/>
  <c r="E272" i="1"/>
  <c r="P271" i="1"/>
  <c r="E271" i="1"/>
  <c r="P270" i="1"/>
  <c r="E270" i="1"/>
  <c r="P269" i="1"/>
  <c r="E269" i="1"/>
  <c r="P268" i="1"/>
  <c r="E268" i="1"/>
  <c r="P267" i="1"/>
  <c r="E267" i="1"/>
  <c r="P266" i="1"/>
  <c r="E266" i="1"/>
  <c r="P265" i="1"/>
  <c r="E265" i="1"/>
  <c r="P264" i="1"/>
  <c r="E264" i="1"/>
  <c r="P263" i="1"/>
  <c r="E263" i="1"/>
  <c r="P262" i="1"/>
  <c r="E262" i="1"/>
  <c r="P261" i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<sst xmlns="http://schemas.openxmlformats.org/spreadsheetml/2006/main" count="17020" uniqueCount="1543">
  <si>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</si>
  <si>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</si>
  <si>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</si>
  <si>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</si>
  <si>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</si>
  <si>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</si>
  <si>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</si>
  <si>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</si>
  <si>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</si>
  <si>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</si>
  <si>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</si>
  <si>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</si>
  <si>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</si>
  <si>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</si>
  <si>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</si>
  <si>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</si>
  <si>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</si>
  <si>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</si>
  <si>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</si>
  <si>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</si>
  <si>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</si>
  <si>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</si>
  <si>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</si>
  <si>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</si>
  <si>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</si>
  <si>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</si>
  <si>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</si>
  <si>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</si>
  <si>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</si>
  <si>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</si>
  <si>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</si>
  <si>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</si>
  <si>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</si>
  <si>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</si>
  <si>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</si>
  <si>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</si>
  <si>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</si>
  <si>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</si>
  <si>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</si>
  <si>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</si>
  <si>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</si>
  <si>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</si>
  <si>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</si>
  <si>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</si>
  <si>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</si>
  <si>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</si>
  <si>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</si>
  <si>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</si>
  <si>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</si>
  <si>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</si>
  <si>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</si>
  <si>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</si>
  <si>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</si>
  <si>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</si>
  <si>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</si>
  <si>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</si>
  <si>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</si>
  <si>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</si>
  <si>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</si>
  <si>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</si>
  <si>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</si>
  <si>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</si>
  <si>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</si>
  <si>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</si>
  <si>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</si>
  <si>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</si>
  <si>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</si>
  <si>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</si>
  <si>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</si>
  <si>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</si>
  <si>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</si>
  <si>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</si>
  <si>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C17924</t>
  </si>
  <si>
    <t>MOVE ANALYTICS CC (FESTO DIRECT DEL</t>
  </si>
  <si>
    <t>WAY</t>
  </si>
  <si>
    <t>KEMPT</t>
  </si>
  <si>
    <t>KEMPTON PARK</t>
  </si>
  <si>
    <t xml:space="preserve">FESTO (Move Analytics)             </t>
  </si>
  <si>
    <t xml:space="preserve">                                   </t>
  </si>
  <si>
    <t xml:space="preserve">ANG INDUSTRIAL SOLUTIONS PTY       </t>
  </si>
  <si>
    <t>DBC</t>
  </si>
  <si>
    <t>ANG INDUSTRIAL SOLUTIONS</t>
  </si>
  <si>
    <t>Gift Masinga</t>
  </si>
  <si>
    <t>Samuel</t>
  </si>
  <si>
    <t>yes</t>
  </si>
  <si>
    <t>POD received from cell 0791069864 M</t>
  </si>
  <si>
    <t xml:space="preserve">BOX                           </t>
  </si>
  <si>
    <t>no</t>
  </si>
  <si>
    <t xml:space="preserve">AUTO INDUSTRIAL MACHINING A DI     </t>
  </si>
  <si>
    <t>ON1</t>
  </si>
  <si>
    <t>AUTO INDUSTRIAL MACHINING A DI</t>
  </si>
  <si>
    <t>Simon</t>
  </si>
  <si>
    <t>POD received from cell 0837323487 M</t>
  </si>
  <si>
    <t xml:space="preserve">PARCEL                        </t>
  </si>
  <si>
    <t>PINET</t>
  </si>
  <si>
    <t>PINETOWN</t>
  </si>
  <si>
    <t xml:space="preserve">BAGTECH INTERNATIONAL PTY LTD      </t>
  </si>
  <si>
    <t>BAGTECH INTERNATIONAL</t>
  </si>
  <si>
    <t>Wiseman</t>
  </si>
  <si>
    <t>POD received from cell 0671865619 M</t>
  </si>
  <si>
    <t>DURBA</t>
  </si>
  <si>
    <t>DURBAN</t>
  </si>
  <si>
    <t xml:space="preserve">COMPRESSED AIR EQUIPMENT DURBA     </t>
  </si>
  <si>
    <t>COMPRESSED AIR EQUIPMENT DURBA</t>
  </si>
  <si>
    <t>Deez</t>
  </si>
  <si>
    <t>Flooding/road closure</t>
  </si>
  <si>
    <t>ntm</t>
  </si>
  <si>
    <t>POD received from cell 0658550146 M</t>
  </si>
  <si>
    <t xml:space="preserve">TUBING R                      </t>
  </si>
  <si>
    <t>KRUGE</t>
  </si>
  <si>
    <t>KRUGERSDORP</t>
  </si>
  <si>
    <t xml:space="preserve">SCHULLPAK GAUTENG (PTY) LTD        </t>
  </si>
  <si>
    <t>SCHULLPAK GAUTENG  PTY  LTD</t>
  </si>
  <si>
    <t>EVANS</t>
  </si>
  <si>
    <t>ASHTO</t>
  </si>
  <si>
    <t>ASHTON</t>
  </si>
  <si>
    <t xml:space="preserve">CSM BEARINGS   PNEUMATICS ASHT     </t>
  </si>
  <si>
    <t>CSM BEARINGS   PNEUMATICS ASHT</t>
  </si>
  <si>
    <t>A Steffens</t>
  </si>
  <si>
    <t>POD received from cell 0662882525 M</t>
  </si>
  <si>
    <t>UITEN</t>
  </si>
  <si>
    <t>UITENHAGE</t>
  </si>
  <si>
    <t xml:space="preserve">SPICER AXLE PTY LTD                </t>
  </si>
  <si>
    <t>SPICER AXLE PTY LTD</t>
  </si>
  <si>
    <t>marelize</t>
  </si>
  <si>
    <t>DOC</t>
  </si>
  <si>
    <t>POD received from cell 0793062989 M</t>
  </si>
  <si>
    <t>FLYER</t>
  </si>
  <si>
    <t>EAST</t>
  </si>
  <si>
    <t>EAST LONDON</t>
  </si>
  <si>
    <t xml:space="preserve">TI GROUP AUTOMOTIVE SYSTEMS (P     </t>
  </si>
  <si>
    <t>TI GROUP AUTOMOTIVE SYSTEMS  P</t>
  </si>
  <si>
    <t>recsan</t>
  </si>
  <si>
    <t>POD received from cell 0788915943 M</t>
  </si>
  <si>
    <t xml:space="preserve">FLYER                         </t>
  </si>
  <si>
    <t>FAUR1</t>
  </si>
  <si>
    <t>FAURE</t>
  </si>
  <si>
    <t xml:space="preserve">INDECON CC FIRGROVE                </t>
  </si>
  <si>
    <t>INDECON CC FIRGROVE</t>
  </si>
  <si>
    <t>A Nel</t>
  </si>
  <si>
    <t>POD received from cell 0673277989 M</t>
  </si>
  <si>
    <t>PORT3</t>
  </si>
  <si>
    <t>PORT ELIZABETH</t>
  </si>
  <si>
    <t xml:space="preserve">CLURE PROJECTS CC                  </t>
  </si>
  <si>
    <t>CLURE PROJECTS CC</t>
  </si>
  <si>
    <t>Nathan</t>
  </si>
  <si>
    <t>POD received from cell 0814739791 M</t>
  </si>
  <si>
    <t>BOX</t>
  </si>
  <si>
    <t>MALME</t>
  </si>
  <si>
    <t>MALMESBURY</t>
  </si>
  <si>
    <t xml:space="preserve">HYDROMATIC T A HEADLINE TRADIN     </t>
  </si>
  <si>
    <t>HYDROMATIC T A HEADLINE TRADIN</t>
  </si>
  <si>
    <t>mary</t>
  </si>
  <si>
    <t>Missed cutoff</t>
  </si>
  <si>
    <t>JUH</t>
  </si>
  <si>
    <t>POD received from cell 0650974645 M</t>
  </si>
  <si>
    <t>CAPET</t>
  </si>
  <si>
    <t>CAPE TOWN</t>
  </si>
  <si>
    <t xml:space="preserve">PRO PROJECT MACHINERY PTY LTD      </t>
  </si>
  <si>
    <t>PRO PROJECT MACHINERY PTY LTD</t>
  </si>
  <si>
    <t xml:space="preserve">Dreyer                        </t>
  </si>
  <si>
    <t>NGF</t>
  </si>
  <si>
    <t xml:space="preserve">POD received from cell 0612301350 M     </t>
  </si>
  <si>
    <t xml:space="preserve">BENTELER SOUTH AFRICA PTY LTD      </t>
  </si>
  <si>
    <t>BENTELER SOUTH AFRICA PTY LTD</t>
  </si>
  <si>
    <t>belloana</t>
  </si>
  <si>
    <t xml:space="preserve">BMG PINETOWN                       </t>
  </si>
  <si>
    <t>BMG PINETOWN</t>
  </si>
  <si>
    <t>signed</t>
  </si>
  <si>
    <t>BRONK</t>
  </si>
  <si>
    <t>BRONKHORSTSPRUIT</t>
  </si>
  <si>
    <t xml:space="preserve">SASOL DYNO NOBEL (PTY) LTD         </t>
  </si>
  <si>
    <t>SASOL DYNO NOBEL  PTY  LTD</t>
  </si>
  <si>
    <t>VUYO</t>
  </si>
  <si>
    <t>Consignee not available)</t>
  </si>
  <si>
    <t>jma</t>
  </si>
  <si>
    <t>JOHAN</t>
  </si>
  <si>
    <t>JOHANNESBURG</t>
  </si>
  <si>
    <t xml:space="preserve">BEARING MAN GROUP PTY LTD          </t>
  </si>
  <si>
    <t>BEARING MAN GROUP</t>
  </si>
  <si>
    <t>jabu</t>
  </si>
  <si>
    <t>nch</t>
  </si>
  <si>
    <t>POD received from cell 0836935442 M</t>
  </si>
  <si>
    <t xml:space="preserve">HACKMACK ENTERPRISES               </t>
  </si>
  <si>
    <t>HACKMACK ENTERPRISES</t>
  </si>
  <si>
    <t>jonathan</t>
  </si>
  <si>
    <t>Driver late</t>
  </si>
  <si>
    <t>NNS</t>
  </si>
  <si>
    <t>POD received from cell 0780568122 M</t>
  </si>
  <si>
    <t>PIET1</t>
  </si>
  <si>
    <t>PIETERMARITZBURG</t>
  </si>
  <si>
    <t xml:space="preserve">DIYA VALVES INTERNATIONAL CC P     </t>
  </si>
  <si>
    <t>DIYA VALVES INTERNATIONAL CC P</t>
  </si>
  <si>
    <t>Tim</t>
  </si>
  <si>
    <t>POD received from cell 0782274968 M</t>
  </si>
  <si>
    <t xml:space="preserve">BMG ISANDO 0165                    </t>
  </si>
  <si>
    <t>BMG ISANDO</t>
  </si>
  <si>
    <t>Rufus</t>
  </si>
  <si>
    <t>mmd</t>
  </si>
  <si>
    <t xml:space="preserve">PREMIER FMCG (PTY) LTD MILL        </t>
  </si>
  <si>
    <t>PREMIER FMCG  PTY  LTD MILL</t>
  </si>
  <si>
    <t>PHILANI</t>
  </si>
  <si>
    <t>POTCH</t>
  </si>
  <si>
    <t>POTCHEFSTROOM</t>
  </si>
  <si>
    <t xml:space="preserve">VESCOTECH                          </t>
  </si>
  <si>
    <t>VESCOTECH</t>
  </si>
  <si>
    <t>trymore</t>
  </si>
  <si>
    <t>POD received from cell 0737934317 M</t>
  </si>
  <si>
    <t>VERWO</t>
  </si>
  <si>
    <t>CENTURION</t>
  </si>
  <si>
    <t xml:space="preserve">NNOVATIVE AUTOMATION PTY LTD       </t>
  </si>
  <si>
    <t>NNOVATIVE AUTOMATION</t>
  </si>
  <si>
    <t>NICOLE</t>
  </si>
  <si>
    <t>0157</t>
  </si>
  <si>
    <t xml:space="preserve">CONTINENTAL TYRE SA SIDWELL        </t>
  </si>
  <si>
    <t>CONTINENTAL TYRE SA SIDWELL</t>
  </si>
  <si>
    <t xml:space="preserve">richard                       </t>
  </si>
  <si>
    <t xml:space="preserve">POD received from cell 0616223862 M     </t>
  </si>
  <si>
    <t>LICHT</t>
  </si>
  <si>
    <t>LICHTENBURG</t>
  </si>
  <si>
    <t xml:space="preserve">JAPIE GODFREY    VESCOTECH         </t>
  </si>
  <si>
    <t>JAPIE GODFREY    VESCOTECH</t>
  </si>
  <si>
    <t>JAPIE</t>
  </si>
  <si>
    <t>eric</t>
  </si>
  <si>
    <t>POD received from cell 0616223862 M</t>
  </si>
  <si>
    <t>Africa</t>
  </si>
  <si>
    <t xml:space="preserve">NJC MANUFACTURING (PTY) LTD        </t>
  </si>
  <si>
    <t>NJC MANUFACTURING  PTY  LTD</t>
  </si>
  <si>
    <t>Andrea</t>
  </si>
  <si>
    <t xml:space="preserve">PLASTIC                       </t>
  </si>
  <si>
    <t xml:space="preserve">NATIONAL PACKAGING SYSTEMS         </t>
  </si>
  <si>
    <t>NATIONAL PACKAGING SYSTEMS</t>
  </si>
  <si>
    <t>MOSES</t>
  </si>
  <si>
    <t xml:space="preserve">STAND BA                      </t>
  </si>
  <si>
    <t xml:space="preserve">FOODCORP (PTY) LTD T A SUNBAKE     </t>
  </si>
  <si>
    <t>FOODCORP  PTY  LTD T A SUNBAKE</t>
  </si>
  <si>
    <t>Redirect waybill on waybill nu</t>
  </si>
  <si>
    <t>Redirect waybill on waybill number R0800</t>
  </si>
  <si>
    <t xml:space="preserve">PNEUMATIC AID                      </t>
  </si>
  <si>
    <t>PNEUMATIC AID</t>
  </si>
  <si>
    <t>audrey</t>
  </si>
  <si>
    <t>UMHLA</t>
  </si>
  <si>
    <t>UMHLANGA ROCKS</t>
  </si>
  <si>
    <t xml:space="preserve">ILLOVO SUGAR SOUTH AFRICA (PTY     </t>
  </si>
  <si>
    <t>ILLOVO SUGAR SOUTH AFRICA  PTY</t>
  </si>
  <si>
    <t>kevin</t>
  </si>
  <si>
    <t>Late Linehaul Delayed Beyond Skynet Control</t>
  </si>
  <si>
    <t>col</t>
  </si>
  <si>
    <t>POD received from cell 0843672221 M</t>
  </si>
  <si>
    <t xml:space="preserve">COCA-COLA BEVERAGES SOUTH AFRI     </t>
  </si>
  <si>
    <t>COCA-COLA BEVERAGES SOUTH AFRI</t>
  </si>
  <si>
    <t>SIGNED</t>
  </si>
  <si>
    <t>DELMA</t>
  </si>
  <si>
    <t>DELMAS</t>
  </si>
  <si>
    <t xml:space="preserve">CSM BEARINGS   PNEUMATIC SUPPL     </t>
  </si>
  <si>
    <t>CSM BEARINGS   PNEUMATIC SUPPL</t>
  </si>
  <si>
    <t>Sammy</t>
  </si>
  <si>
    <t>POD received from cell 0715270557 M</t>
  </si>
  <si>
    <t xml:space="preserve">CSM ENGINEERING CC CENTURION       </t>
  </si>
  <si>
    <t>CSM ENGINEERING CC CENTURION</t>
  </si>
  <si>
    <t>ANDRE</t>
  </si>
  <si>
    <t xml:space="preserve">VICTORY ELECTRICAL CC MILNERTO     </t>
  </si>
  <si>
    <t>VICTORY ELECTRICAL CC MILNERTO</t>
  </si>
  <si>
    <t>sibusio</t>
  </si>
  <si>
    <t>POD received from cell 0738058187 M</t>
  </si>
  <si>
    <t>BOKSB</t>
  </si>
  <si>
    <t>BOKSBURG</t>
  </si>
  <si>
    <t xml:space="preserve">AFRILEK AUTOMATION PTY LTD         </t>
  </si>
  <si>
    <t>AFRILEK AUTOMATION PTY LTD</t>
  </si>
  <si>
    <t>Bad address</t>
  </si>
  <si>
    <t>SYSTEM</t>
  </si>
  <si>
    <t>FUE / DOC</t>
  </si>
  <si>
    <t>DESPA</t>
  </si>
  <si>
    <t>DESPATCH</t>
  </si>
  <si>
    <t xml:space="preserve">DKT   PARTNERS PTY LTD             </t>
  </si>
  <si>
    <t>DKT   PARTNERS PTY LTD</t>
  </si>
  <si>
    <t>priest</t>
  </si>
  <si>
    <t>POD received from cell 0711146140 M</t>
  </si>
  <si>
    <t>COOKH</t>
  </si>
  <si>
    <t>COOKHOUSE</t>
  </si>
  <si>
    <t xml:space="preserve">COOKHOUSE CREAMERY (PTY) LTD       </t>
  </si>
  <si>
    <t>COOKHOUSE CREAMERY  PTY  LTD</t>
  </si>
  <si>
    <t>AYABUKWO</t>
  </si>
  <si>
    <t>SASOL</t>
  </si>
  <si>
    <t>SASOLBURG</t>
  </si>
  <si>
    <t xml:space="preserve">COREL INSTRUMENTATION   CONTRO     </t>
  </si>
  <si>
    <t>COREL INSTRUMENTATION   CONTRO</t>
  </si>
  <si>
    <t>BENITA</t>
  </si>
  <si>
    <t>bmo</t>
  </si>
  <si>
    <t>UMKOM</t>
  </si>
  <si>
    <t>UMKOMAAS</t>
  </si>
  <si>
    <t xml:space="preserve">SAPPI GLOBAL BUSINESS SERVICES     </t>
  </si>
  <si>
    <t>SAPPI GLOBAL BUSINESS SERVICES</t>
  </si>
  <si>
    <t>JAMES</t>
  </si>
  <si>
    <t>lev</t>
  </si>
  <si>
    <t>BENON</t>
  </si>
  <si>
    <t>BENONI</t>
  </si>
  <si>
    <t xml:space="preserve">HIP SUPPLIERS PTY LTD              </t>
  </si>
  <si>
    <t>HIP SUPPLIERS PTY LTD</t>
  </si>
  <si>
    <t>Maria</t>
  </si>
  <si>
    <t>amt</t>
  </si>
  <si>
    <t>POD received from cell 0682118246 M</t>
  </si>
  <si>
    <t>PRETO</t>
  </si>
  <si>
    <t>PRETORIA</t>
  </si>
  <si>
    <t xml:space="preserve">BMW SOUTH AFRICA                   </t>
  </si>
  <si>
    <t>BMW</t>
  </si>
  <si>
    <t>JOHN</t>
  </si>
  <si>
    <t>0200</t>
  </si>
  <si>
    <t xml:space="preserve">RCL FOODS CONSUMER                 </t>
  </si>
  <si>
    <t>RCL FOODS CONSUMER</t>
  </si>
  <si>
    <t>sthe</t>
  </si>
  <si>
    <t>POD received from cell 0827869932 M</t>
  </si>
  <si>
    <t xml:space="preserve">S4 INTEGRATION PTY LTD             </t>
  </si>
  <si>
    <t>S4 INTEGRATION PTY LTD</t>
  </si>
  <si>
    <t>Ayanda</t>
  </si>
  <si>
    <t>POD received from cell 0684745132 M</t>
  </si>
  <si>
    <t xml:space="preserve">DANONE SOUTHERN AFRICA PTY LTD     </t>
  </si>
  <si>
    <t>DANONE SOUTHERN AFRICA PTY LTD</t>
  </si>
  <si>
    <t>philiphine</t>
  </si>
  <si>
    <t>POD received from cell 0840403522 M</t>
  </si>
  <si>
    <t xml:space="preserve">UNILEVER SOUTH AFRICA (PTY) LT     </t>
  </si>
  <si>
    <t>UNILEVER SOUTH AFRICA  PTY  LT</t>
  </si>
  <si>
    <t>PHINDA</t>
  </si>
  <si>
    <t>POD received from cell 0661437222 M</t>
  </si>
  <si>
    <t xml:space="preserve">SHATTERPRUFE TRADING AS A DIV      </t>
  </si>
  <si>
    <t>SHATTERPRUFE TRADING AS A DIV</t>
  </si>
  <si>
    <t>Sonelah</t>
  </si>
  <si>
    <t>POD received from cell 0658421544 M</t>
  </si>
  <si>
    <t xml:space="preserve">AECI MINING LTD                    </t>
  </si>
  <si>
    <t>AECI MINING LTD    STEFANIE GR</t>
  </si>
  <si>
    <t>charles</t>
  </si>
  <si>
    <t>POD received from cell 0767638493 M</t>
  </si>
  <si>
    <t>MOSSE</t>
  </si>
  <si>
    <t>MOSSEL BAY</t>
  </si>
  <si>
    <t xml:space="preserve">CSM BEARINGS   PNEUMATICS MOSS     </t>
  </si>
  <si>
    <t>CSM BEARINGS   PNEUMATICS MOSS</t>
  </si>
  <si>
    <t>SANTIE</t>
  </si>
  <si>
    <t xml:space="preserve">ANALOG   DIGITAL POWER ELECTRO     </t>
  </si>
  <si>
    <t>ANALOG   DIGITAL POWER ELECTRO</t>
  </si>
  <si>
    <t>Amanda</t>
  </si>
  <si>
    <t>ON2</t>
  </si>
  <si>
    <t>tumelo</t>
  </si>
  <si>
    <t xml:space="preserve">ROBOTIC HANDLING SYSTEMS CC        </t>
  </si>
  <si>
    <t>ROBOTIC HANDLING SYSTEMS CC</t>
  </si>
  <si>
    <t>Demetri</t>
  </si>
  <si>
    <t>jlc</t>
  </si>
  <si>
    <t>POD received from cell 0746644640 M</t>
  </si>
  <si>
    <t xml:space="preserve">LAMBDA AUTOMATION (PTY) LTD        </t>
  </si>
  <si>
    <t>LAMBDA AUTOMATION  PTY  LTD</t>
  </si>
  <si>
    <t>SAMMY</t>
  </si>
  <si>
    <t>0002</t>
  </si>
  <si>
    <t>HEID2</t>
  </si>
  <si>
    <t>HEIDELBERG (TVL)</t>
  </si>
  <si>
    <t xml:space="preserve">KARAN BEEF FARMING PTY LTD         </t>
  </si>
  <si>
    <t>KARAN BEEF FARMING PTY LTD</t>
  </si>
  <si>
    <t>thandi</t>
  </si>
  <si>
    <t>POD received from cell 0751236651 M</t>
  </si>
  <si>
    <t xml:space="preserve">MAHLE BEHR SOUTH AFRICA PTY LT     </t>
  </si>
  <si>
    <t>MAHLE BEHR S.A</t>
  </si>
  <si>
    <t>andile</t>
  </si>
  <si>
    <t>richard</t>
  </si>
  <si>
    <t>1FLYER</t>
  </si>
  <si>
    <t xml:space="preserve">NATIONAL BRANDS BISCUITS   SNA     </t>
  </si>
  <si>
    <t>NATIONAL BRANDS BIS SNK</t>
  </si>
  <si>
    <t>NELLIS</t>
  </si>
  <si>
    <t>POD received from cell 0679620868 M</t>
  </si>
  <si>
    <t>VANDE</t>
  </si>
  <si>
    <t>VANDERBIJLPARK</t>
  </si>
  <si>
    <t xml:space="preserve">CAPE GATE (PTY) LTD                </t>
  </si>
  <si>
    <t>CAPE GATE  PTY  LTD</t>
  </si>
  <si>
    <t>LESHORO</t>
  </si>
  <si>
    <t>AMANZ</t>
  </si>
  <si>
    <t>AMANZIMTOTI</t>
  </si>
  <si>
    <t>SHANE</t>
  </si>
  <si>
    <t>STEL2</t>
  </si>
  <si>
    <t>STELLENBOSCH</t>
  </si>
  <si>
    <t xml:space="preserve">TF DESIGN PTY LTD                  </t>
  </si>
  <si>
    <t>TF DESIGN</t>
  </si>
  <si>
    <t>DIVAAN</t>
  </si>
  <si>
    <t xml:space="preserve">WOOL TESTING BUREAU S.A            </t>
  </si>
  <si>
    <t>WOOL TESTING BUREAU S.A</t>
  </si>
  <si>
    <t>J Francis</t>
  </si>
  <si>
    <t>POD received from cell 0634843728 M</t>
  </si>
  <si>
    <t xml:space="preserve">BMG EAST LONDON                    </t>
  </si>
  <si>
    <t>BMG EAST LONDON</t>
  </si>
  <si>
    <t xml:space="preserve">NATIONAL BRANDS BIS SNK DIV BI     </t>
  </si>
  <si>
    <t>NATIONAL BRANDS BIS SNK DIV</t>
  </si>
  <si>
    <t>Joseph</t>
  </si>
  <si>
    <t>POD received from cell 0648280087 M</t>
  </si>
  <si>
    <t>BRIT1</t>
  </si>
  <si>
    <t>BRITS</t>
  </si>
  <si>
    <t xml:space="preserve">KROMBERG   SCHUBERT CABLE   WI     </t>
  </si>
  <si>
    <t>KROMBERG   SCHUBERT CABLE   WI</t>
  </si>
  <si>
    <t>Aaron</t>
  </si>
  <si>
    <t>POD received from cell 0790934153 M</t>
  </si>
  <si>
    <t>0250</t>
  </si>
  <si>
    <t xml:space="preserve">TONGAAT HULLETT LIMITED T A TO     </t>
  </si>
  <si>
    <t>TONGAAT HULLETT LIMITED T A TO</t>
  </si>
  <si>
    <t>noma</t>
  </si>
  <si>
    <t>ROODE</t>
  </si>
  <si>
    <t>ROODEPOORT</t>
  </si>
  <si>
    <t xml:space="preserve">LIQUID MIST TRADING 116 (PTY)      </t>
  </si>
  <si>
    <t>LIQUID MIST TRADING 116  PTY</t>
  </si>
  <si>
    <t>botha</t>
  </si>
  <si>
    <t>doc</t>
  </si>
  <si>
    <t>POD received from cell 0656953539 M</t>
  </si>
  <si>
    <t xml:space="preserve">EVEREST CORRUGATED (PTY) LTD       </t>
  </si>
  <si>
    <t>EVEREST CORRUGATED  PTY  LTD</t>
  </si>
  <si>
    <t>Credence</t>
  </si>
  <si>
    <t>POD received from cell 0834177790 M</t>
  </si>
  <si>
    <t xml:space="preserve">ADCOCK INGRAM CRITICAL CARE PT     </t>
  </si>
  <si>
    <t>ADCOCK INGRAM CRITICAL CARE PT</t>
  </si>
  <si>
    <t xml:space="preserve">Boikie                        </t>
  </si>
  <si>
    <t xml:space="preserve">POD received from cell 0834177790 M     </t>
  </si>
  <si>
    <t xml:space="preserve">RAPID INDUSTRIAL SUPPLIES          </t>
  </si>
  <si>
    <t>RAPID INDUSTRIAL SUPPLIES</t>
  </si>
  <si>
    <t>TSHEPO</t>
  </si>
  <si>
    <t>POD received from cell 0839573774 M</t>
  </si>
  <si>
    <t>TZANE</t>
  </si>
  <si>
    <t>TZANEEN</t>
  </si>
  <si>
    <t xml:space="preserve">MERENSKY TIMBER PTY LTD T A NO     </t>
  </si>
  <si>
    <t>MERENSKY TIMBER PTY LTD T A NO</t>
  </si>
  <si>
    <t>Annie</t>
  </si>
  <si>
    <t>POD received from cell 0721205889 M</t>
  </si>
  <si>
    <t>0850</t>
  </si>
  <si>
    <t xml:space="preserve">CSM BEARING   PNEUMATIC SUP (P     </t>
  </si>
  <si>
    <t>CSM BEARING   PNEUMATIC SUP  P</t>
  </si>
  <si>
    <t>ALICIA</t>
  </si>
  <si>
    <t xml:space="preserve">TRANSNET ENGINEERING-KOEDOESPO     </t>
  </si>
  <si>
    <t>TRANSNET ENGINEERING-KOEDOESPO</t>
  </si>
  <si>
    <t xml:space="preserve">ALANA NELL                    </t>
  </si>
  <si>
    <t>pim</t>
  </si>
  <si>
    <t xml:space="preserve">                                        </t>
  </si>
  <si>
    <t>0184</t>
  </si>
  <si>
    <t xml:space="preserve">CIM AUTOMATION PTY LTD MONTAGU     </t>
  </si>
  <si>
    <t>CIM AUTOMATION PTY LTD MONTAGU</t>
  </si>
  <si>
    <t>JARELLE</t>
  </si>
  <si>
    <t>HOWIC</t>
  </si>
  <si>
    <t>HOWICK</t>
  </si>
  <si>
    <t xml:space="preserve">FAIRFIELD DAIRY PTY LTD            </t>
  </si>
  <si>
    <t>FAIRFIELD DAIRY PTY LTD</t>
  </si>
  <si>
    <t xml:space="preserve">bandile                       </t>
  </si>
  <si>
    <t xml:space="preserve">POD received from cell 0633530723 M     </t>
  </si>
  <si>
    <t xml:space="preserve">BMG BELLVILLE (PTY) LTD 0120       </t>
  </si>
  <si>
    <t>BMG BELLVILLE  PTY  LTD 0120</t>
  </si>
  <si>
    <t>Mark</t>
  </si>
  <si>
    <t xml:space="preserve">ASTRATEK PROJECTS (PTY) LTD BE     </t>
  </si>
  <si>
    <t>ASTRATEK PROJECTS  PTY  LTD BE</t>
  </si>
  <si>
    <t xml:space="preserve">Athenkosi                     </t>
  </si>
  <si>
    <t>Emmanuel</t>
  </si>
  <si>
    <t xml:space="preserve">1FLYER                        </t>
  </si>
  <si>
    <t xml:space="preserve">AFRISAM SOUTH AFRICA (PTY) LTD     </t>
  </si>
  <si>
    <t>AFRISAM SOUTH AFRICA  PTY  LTD</t>
  </si>
  <si>
    <t>steve</t>
  </si>
  <si>
    <t xml:space="preserve">DR OETKER SOUTH AFRICA PTY LTD     </t>
  </si>
  <si>
    <t>DR OETKER SOUTH AFRICA PTY LTD</t>
  </si>
  <si>
    <t>petronnella</t>
  </si>
  <si>
    <t>POD received from cell 0825419099 M</t>
  </si>
  <si>
    <t>SOME2</t>
  </si>
  <si>
    <t>SOMERSET WEST</t>
  </si>
  <si>
    <t xml:space="preserve">GOSSAMER STRUCTURES LTD            </t>
  </si>
  <si>
    <t>GOSSAMER STRUCTURES LTD</t>
  </si>
  <si>
    <t>janine</t>
  </si>
  <si>
    <t>POD received from cell 0622930487 M</t>
  </si>
  <si>
    <t>M Naidoo</t>
  </si>
  <si>
    <t>GERMI</t>
  </si>
  <si>
    <t>GERMISTON</t>
  </si>
  <si>
    <t xml:space="preserve">ABF SUGAR (PTY) LTD- NCHALO ME     </t>
  </si>
  <si>
    <t>ABF SUGAR  PTY  LTD- NCHALO ME</t>
  </si>
  <si>
    <t>sig</t>
  </si>
  <si>
    <t xml:space="preserve">KIMBERLY-CLARK S.A VENDOR: 100     </t>
  </si>
  <si>
    <t>KIMBERLY-CLARK S.A VENDOR  100</t>
  </si>
  <si>
    <t>N Mapipa</t>
  </si>
  <si>
    <t>POD received from cell 0659386993 M</t>
  </si>
  <si>
    <t xml:space="preserve">CULINARY  A DIVISION OF TIGER      </t>
  </si>
  <si>
    <t>CULINARY  A DIVISION OF TIGER</t>
  </si>
  <si>
    <t>Rudolph</t>
  </si>
  <si>
    <t xml:space="preserve">BRADCHER INDUSTRIAL WHOLESALER     </t>
  </si>
  <si>
    <t>BRADCHER  INDUSTRIAL WHOLESALE</t>
  </si>
  <si>
    <t>Vusi</t>
  </si>
  <si>
    <t>Shane</t>
  </si>
  <si>
    <t>POD received from cell 0858359675 M</t>
  </si>
  <si>
    <t>VEREE</t>
  </si>
  <si>
    <t>VEREENIGING</t>
  </si>
  <si>
    <t xml:space="preserve">NEW STYLE PORK (PTY) LTD T A L     </t>
  </si>
  <si>
    <t>NEW STYLE PORK  PTY  LTD T A L</t>
  </si>
  <si>
    <t xml:space="preserve">PUREM PORT ELIZABETH               </t>
  </si>
  <si>
    <t>PUREM PORT ELIZABETH</t>
  </si>
  <si>
    <t>lance</t>
  </si>
  <si>
    <t>POD received from cell 0644881838 M</t>
  </si>
  <si>
    <t xml:space="preserve">TM ENGINEERING                     </t>
  </si>
  <si>
    <t>TM ENGINEERING</t>
  </si>
  <si>
    <t>Taznyn</t>
  </si>
  <si>
    <t>POD received from cell 0767510913 M</t>
  </si>
  <si>
    <t xml:space="preserve">ILLOVO SUGAR                       </t>
  </si>
  <si>
    <t>ILLOVO SUGAR</t>
  </si>
  <si>
    <t>patrick</t>
  </si>
  <si>
    <t>POD received from cell 0787647917 M</t>
  </si>
  <si>
    <t xml:space="preserve">AMSN INDUSTRIAL SUPPLIES (PTY)     </t>
  </si>
  <si>
    <t>AMSN INDUSTRIAL SUPPLIES  PTY</t>
  </si>
  <si>
    <t>?</t>
  </si>
  <si>
    <t xml:space="preserve">BENITA                        </t>
  </si>
  <si>
    <t>SPRI3</t>
  </si>
  <si>
    <t>SPRINGS</t>
  </si>
  <si>
    <t xml:space="preserve">HUHTAMAKI DIV FLEXIBLE             </t>
  </si>
  <si>
    <t>HUHTAMAKI DIV FLEXIBLE</t>
  </si>
  <si>
    <t>thulani</t>
  </si>
  <si>
    <t>POD received from cell 0715155602 M</t>
  </si>
  <si>
    <t xml:space="preserve">ARDAGH GLASS PACKAGING             </t>
  </si>
  <si>
    <t>ARDAGH GLASS PACKAGING</t>
  </si>
  <si>
    <t xml:space="preserve">Jason                         </t>
  </si>
  <si>
    <t xml:space="preserve">KRONES SOUTH AFRICA PTY LTD LA     </t>
  </si>
  <si>
    <t>KRONES SOUTH AFRICA PTY LTD LA</t>
  </si>
  <si>
    <t>HUMAN</t>
  </si>
  <si>
    <t>HUMANSDORP</t>
  </si>
  <si>
    <t xml:space="preserve">WOODLANDS DAIRY PTY LTD HUMANS     </t>
  </si>
  <si>
    <t>WOODLANDS DAIRY PTY LTD HUMANS</t>
  </si>
  <si>
    <t>Evan</t>
  </si>
  <si>
    <t>POD received from cell 0694933966 M</t>
  </si>
  <si>
    <t xml:space="preserve">DIVFOOD A DIV OF NAMPAK PRODUC     </t>
  </si>
  <si>
    <t>DIVFOOD A DIV OF NAMPAK PRODUC</t>
  </si>
  <si>
    <t>PANCHO</t>
  </si>
  <si>
    <t>MARCELL</t>
  </si>
  <si>
    <t xml:space="preserve">SOUTHERN SERVICES CC               </t>
  </si>
  <si>
    <t>SOUTHERN SERVICES CC</t>
  </si>
  <si>
    <t>ALNICK</t>
  </si>
  <si>
    <t>HAMMA</t>
  </si>
  <si>
    <t>HAMMANSKRAAL</t>
  </si>
  <si>
    <t xml:space="preserve">SHATTERPRUFE TRADING DIVISION      </t>
  </si>
  <si>
    <t>SHATTERPRUFE TRADING DIVISION</t>
  </si>
  <si>
    <t>KEA KOPANYE</t>
  </si>
  <si>
    <t>POD</t>
  </si>
  <si>
    <t>0221</t>
  </si>
  <si>
    <t>PAARL</t>
  </si>
  <si>
    <t xml:space="preserve">CULINARY A DIV OF TIGER CONSUM     </t>
  </si>
  <si>
    <t>CULINARY A DIV OF TIGER CONSUM</t>
  </si>
  <si>
    <t>Noluvuyo</t>
  </si>
  <si>
    <t>POD received from cell 0671392487 M</t>
  </si>
  <si>
    <t xml:space="preserve">FEDERAL MOGUL ENGINE BEARINGS      </t>
  </si>
  <si>
    <t>FEDERAL MOGUL ENGINE BEARINGS</t>
  </si>
  <si>
    <t>Makayla</t>
  </si>
  <si>
    <t xml:space="preserve">ARDAGH GLASS PACKAGING SOUTH A     </t>
  </si>
  <si>
    <t>ARDAGH GLASS PACKAGING SOUTH A</t>
  </si>
  <si>
    <t>elijah</t>
  </si>
  <si>
    <t xml:space="preserve">CYLINDER                      </t>
  </si>
  <si>
    <t>AFRIKA</t>
  </si>
  <si>
    <t>SECUN</t>
  </si>
  <si>
    <t>SECUNDA</t>
  </si>
  <si>
    <t xml:space="preserve">SASOL SYNFUELS VAT REG: 438010     </t>
  </si>
  <si>
    <t>SASOL SYNFUELS VAT REG  438010</t>
  </si>
  <si>
    <t>GIFTY</t>
  </si>
  <si>
    <t xml:space="preserve">EMENEM INDUSTRIAL CC               </t>
  </si>
  <si>
    <t>EMENEM INDUSTRIAL CC</t>
  </si>
  <si>
    <t>LEROY</t>
  </si>
  <si>
    <t xml:space="preserve">H.G MOLENAAR (PTY) LTD             </t>
  </si>
  <si>
    <t>H.G MOLENAAR  PTY  LTD</t>
  </si>
  <si>
    <t>Gavin</t>
  </si>
  <si>
    <t xml:space="preserve">POLAR ICE CREAM EPPING INDUSTR     </t>
  </si>
  <si>
    <t>POLAR ICE CREAM EPPING INDUSTR</t>
  </si>
  <si>
    <t>Chelsey</t>
  </si>
  <si>
    <t>WESTO</t>
  </si>
  <si>
    <t>WESTONARIA</t>
  </si>
  <si>
    <t xml:space="preserve">SOUTH DEEP GOLD MINE (PTY) LTD     </t>
  </si>
  <si>
    <t>SOUTH DEEP GOLD MINE  PTY  LTD</t>
  </si>
  <si>
    <t>livhuwani</t>
  </si>
  <si>
    <t xml:space="preserve">PALLET                        </t>
  </si>
  <si>
    <t xml:space="preserve">APEX AUTOMATION (PTY) LTD BRAS     </t>
  </si>
  <si>
    <t>APEX AUTOMATION  PTY  LTD BRAS</t>
  </si>
  <si>
    <t>johan</t>
  </si>
  <si>
    <t>POD received from cell 0608702785 M</t>
  </si>
  <si>
    <t xml:space="preserve">HMF TECHNOLOGIES (PTY) LTD         </t>
  </si>
  <si>
    <t>HMF TECHNOLOGIES  PTY  LTD</t>
  </si>
  <si>
    <t>LETISIA</t>
  </si>
  <si>
    <t>ALBE2</t>
  </si>
  <si>
    <t>ALBERTON</t>
  </si>
  <si>
    <t xml:space="preserve">MAXION WHEELS SOUTH AFRICA PTY     </t>
  </si>
  <si>
    <t>MAXION WHEELS SOUTH AFRICA PTY</t>
  </si>
  <si>
    <t>NTOKOZO</t>
  </si>
  <si>
    <t>POD received from cell 0647581272 M</t>
  </si>
  <si>
    <t xml:space="preserve">BRIDGESTONE FIRESTONE              </t>
  </si>
  <si>
    <t>BRIDGESTONE FIRESTONE</t>
  </si>
  <si>
    <t>Esther</t>
  </si>
  <si>
    <t xml:space="preserve">ZF LEMFOTDER SA LTD                </t>
  </si>
  <si>
    <t>ZF LEMFOTDER SA LTD</t>
  </si>
  <si>
    <t>busiswa</t>
  </si>
  <si>
    <t xml:space="preserve">JENDAMARK AUTOMATION PTY LTD P     </t>
  </si>
  <si>
    <t>JENDAMARK AUTOMATION PTY LTD P</t>
  </si>
  <si>
    <t>kezley</t>
  </si>
  <si>
    <t xml:space="preserve">FORD MOTORING CO OF SA SIMON V     </t>
  </si>
  <si>
    <t>FORD MOTORING CO OF SA SIMON V</t>
  </si>
  <si>
    <t xml:space="preserve">RCL GROUP SERVICES (PTY) LTD P     </t>
  </si>
  <si>
    <t>RCL GROUP SERVICES  PTY  LTD P</t>
  </si>
  <si>
    <t>RAKALE</t>
  </si>
  <si>
    <t>0183</t>
  </si>
  <si>
    <t xml:space="preserve">PAKPAL (PTY) LTD BRONKHORSTSTP     </t>
  </si>
  <si>
    <t>PAKPAL  PTY  LTD BRONKHORSTSTP</t>
  </si>
  <si>
    <t>JALENE</t>
  </si>
  <si>
    <t xml:space="preserve">Hydraquip                          </t>
  </si>
  <si>
    <t xml:space="preserve">FESTO                              </t>
  </si>
  <si>
    <t>GIFT</t>
  </si>
  <si>
    <t>Ryno Leo</t>
  </si>
  <si>
    <t>robby</t>
  </si>
  <si>
    <t>POD received from cell 0606520943 M</t>
  </si>
  <si>
    <t>PARCEL</t>
  </si>
  <si>
    <t xml:space="preserve">ROYAL KAAK (PTY) LTD FAIRVIEW      </t>
  </si>
  <si>
    <t>ROYAL KAAK  PTY  LTD FAIRVIEW</t>
  </si>
  <si>
    <t>Keenan</t>
  </si>
  <si>
    <t>shaakir</t>
  </si>
  <si>
    <t>WORCE</t>
  </si>
  <si>
    <t>WORCESTER</t>
  </si>
  <si>
    <t xml:space="preserve">RCL FOODS CONSUMER (PTY) LTD M     </t>
  </si>
  <si>
    <t>RCL FOODS CONSUMER  PTY  LTD M</t>
  </si>
  <si>
    <t>Medwin</t>
  </si>
  <si>
    <t>POD received from cell 0786786237 M</t>
  </si>
  <si>
    <t xml:space="preserve">BASF CATALYST SOUTH AFRICA PTY     </t>
  </si>
  <si>
    <t>BASF CATALYST SOUTH AFRICA PTY</t>
  </si>
  <si>
    <t>Elize</t>
  </si>
  <si>
    <t>bulelwa</t>
  </si>
  <si>
    <t>JACO1</t>
  </si>
  <si>
    <t>JACOBS</t>
  </si>
  <si>
    <t xml:space="preserve">TROPIC PLASTIC   PACKAGING LTD     </t>
  </si>
  <si>
    <t>TROPIC PLASTIC   PACKAGING LTD</t>
  </si>
  <si>
    <t>abbas</t>
  </si>
  <si>
    <t>POD received from cell 0670029554 M</t>
  </si>
  <si>
    <t xml:space="preserve">K.K. SHELVING (PTY) LTD            </t>
  </si>
  <si>
    <t>K.K. SHELVING  PTY  LTD</t>
  </si>
  <si>
    <t>henry</t>
  </si>
  <si>
    <t xml:space="preserve">FESTO CAPE TOWN OFFICE             </t>
  </si>
  <si>
    <t>FESTO CAPE TOWN OFFICE</t>
  </si>
  <si>
    <t>adrian</t>
  </si>
  <si>
    <t xml:space="preserve">CONTINENTAL TYRE SA PTY LTD SI     </t>
  </si>
  <si>
    <t>CONTINENTAL TYRE SA PTY LTD SI</t>
  </si>
  <si>
    <t>kabelo mashigo</t>
  </si>
  <si>
    <t>mdm</t>
  </si>
  <si>
    <t>POD received from cell 0824012638 M</t>
  </si>
  <si>
    <t xml:space="preserve">MPACT OPERATIONS (PTY) LTD VEN     </t>
  </si>
  <si>
    <t>MPACT OPERATIONS  PTY  LTD VEN</t>
  </si>
  <si>
    <t>Vincent</t>
  </si>
  <si>
    <t>EMPAN</t>
  </si>
  <si>
    <t>EMPANGENI</t>
  </si>
  <si>
    <t xml:space="preserve">MPACT FELIXTON MILL                </t>
  </si>
  <si>
    <t>MPACT FELIXTON MILL</t>
  </si>
  <si>
    <t>ntombela</t>
  </si>
  <si>
    <t>POD received from cell 0670888210 M</t>
  </si>
  <si>
    <t xml:space="preserve">MA AUTOMOTIVE TOOL   DIE  (PTY     </t>
  </si>
  <si>
    <t>MA AUTOMOTIVE TOOL   DIE   PTY</t>
  </si>
  <si>
    <t>KEITUMETSE</t>
  </si>
  <si>
    <t xml:space="preserve">BOX:CONT                      </t>
  </si>
  <si>
    <t>DIYAAN</t>
  </si>
  <si>
    <t xml:space="preserve">RCL FOODS CONSUMER (PTY) LTD F     </t>
  </si>
  <si>
    <t>RCL FOODS CONSUMER  PTY  LTD F</t>
  </si>
  <si>
    <t xml:space="preserve">HEINEKEN BEVERAGES SA PTY LTD      </t>
  </si>
  <si>
    <t>HEINEKEN BEVERAGES SA PTY LTD</t>
  </si>
  <si>
    <t>FERNANDO</t>
  </si>
  <si>
    <t xml:space="preserve">TRUDA FOODS                        </t>
  </si>
  <si>
    <t>TRUDA FOODS</t>
  </si>
  <si>
    <t>REINESS</t>
  </si>
  <si>
    <t>0083</t>
  </si>
  <si>
    <t xml:space="preserve">CHW DESIGN CC DURBANVILLE          </t>
  </si>
  <si>
    <t>CHW DESIGN CC DURBANVILLE</t>
  </si>
  <si>
    <t>shida</t>
  </si>
  <si>
    <t>POD received from cell 0842084217 M</t>
  </si>
  <si>
    <t>STAND BA</t>
  </si>
  <si>
    <t xml:space="preserve">RFG FOODS (PTY) LTD                </t>
  </si>
  <si>
    <t>RFG FOODS  PTY  LTD  ATTN  RIV</t>
  </si>
  <si>
    <t>palesa</t>
  </si>
  <si>
    <t>POD received from cell 0715414711 M</t>
  </si>
  <si>
    <t>NTOMBELA</t>
  </si>
  <si>
    <t xml:space="preserve">AUTO X PTY LTD                     </t>
  </si>
  <si>
    <t>AUTO X PTY LTD</t>
  </si>
  <si>
    <t>Alex</t>
  </si>
  <si>
    <t xml:space="preserve">NAMPAK PRODUCTS LTD T A BEVCAN     </t>
  </si>
  <si>
    <t>NAMPAK PRODUCTS</t>
  </si>
  <si>
    <t>Katlego</t>
  </si>
  <si>
    <t>POD received from cell 0682194514 M</t>
  </si>
  <si>
    <t xml:space="preserve">itumeleng                     </t>
  </si>
  <si>
    <t xml:space="preserve">POD received from cell 0737934317 M     </t>
  </si>
  <si>
    <t xml:space="preserve">DALE AUTOMATION PTY LTD            </t>
  </si>
  <si>
    <t>DALE AUTOMATION PTY LTD</t>
  </si>
  <si>
    <t xml:space="preserve">marno                         </t>
  </si>
  <si>
    <t xml:space="preserve">POD received from cell 0722478975 M     </t>
  </si>
  <si>
    <t xml:space="preserve">FRESENIUS KABI MANUFACTURING       </t>
  </si>
  <si>
    <t>FRESENIUS KABI MANUFACTURING</t>
  </si>
  <si>
    <t>UAT</t>
  </si>
  <si>
    <t>Somabili</t>
  </si>
  <si>
    <t>RANDF</t>
  </si>
  <si>
    <t>RANDFONTEIN</t>
  </si>
  <si>
    <t xml:space="preserve">RCL GROUP SERVICES (PTY) LTD       </t>
  </si>
  <si>
    <t>RCL GROUP SERVICES  PTY  LTD</t>
  </si>
  <si>
    <t>super</t>
  </si>
  <si>
    <t>POD received from cell 0679017498 M</t>
  </si>
  <si>
    <t>NIGEL</t>
  </si>
  <si>
    <t xml:space="preserve">Tumelo                        </t>
  </si>
  <si>
    <t>ATH</t>
  </si>
  <si>
    <t xml:space="preserve">POD received from cell 0636621831 M     </t>
  </si>
  <si>
    <t xml:space="preserve">QUALIPAK (PTY) LTD                 </t>
  </si>
  <si>
    <t>QUALIPAK  PTY  LTD</t>
  </si>
  <si>
    <t>Jamie</t>
  </si>
  <si>
    <t xml:space="preserve">FREDDY HIRSCH   CO MONTAGUE GA     </t>
  </si>
  <si>
    <t>FREDDY HIRSCH   CO MONTAGUE GA</t>
  </si>
  <si>
    <t>naz</t>
  </si>
  <si>
    <t xml:space="preserve">SCHAEFFLER SOUTH AFRICA (PTY)      </t>
  </si>
  <si>
    <t>SCHAEFFLER SOUTH AFRICA  PTY</t>
  </si>
  <si>
    <t>nubise</t>
  </si>
  <si>
    <t>bandile</t>
  </si>
  <si>
    <t>POD received from cell 0633530723 M</t>
  </si>
  <si>
    <t>BURG1</t>
  </si>
  <si>
    <t>BURGERSFORT</t>
  </si>
  <si>
    <t xml:space="preserve">CONTROL SYSTEMS STEELPOORT CC      </t>
  </si>
  <si>
    <t>CONTROL SYSTEMS STEELPOORT CC</t>
  </si>
  <si>
    <t>Brenda</t>
  </si>
  <si>
    <t>POD received from cell 0716361725 M</t>
  </si>
  <si>
    <t xml:space="preserve">BLAIZEPOINT TRADING 274 CC T A     </t>
  </si>
  <si>
    <t>BLAIZEPOINT TRADING 274 CC T A</t>
  </si>
  <si>
    <t>nazeel</t>
  </si>
  <si>
    <t>Late linehaul</t>
  </si>
  <si>
    <t>Dakalo</t>
  </si>
  <si>
    <t xml:space="preserve">ARDAGH GLASS PACKAGING  SA PTY     </t>
  </si>
  <si>
    <t>ARDAGH GLASS PACKAGING  SA PTY</t>
  </si>
  <si>
    <t>Gerald</t>
  </si>
  <si>
    <t>POD received from cell 0606746779 M</t>
  </si>
  <si>
    <t xml:space="preserve">TENNECO RIDE CONTROL SA (PTY)      </t>
  </si>
  <si>
    <t>TENNECO RIDE CONTROL SA  PTY</t>
  </si>
  <si>
    <t>pumla</t>
  </si>
  <si>
    <t>FUE / doc</t>
  </si>
  <si>
    <t>SHIFT MANAGER</t>
  </si>
  <si>
    <t>HND / DOC / DOC / FUE / INS</t>
  </si>
  <si>
    <t>FES CUST 20251202 51 - BACK TO CUSTOMER</t>
  </si>
  <si>
    <t xml:space="preserve">CEREBOS LTD                        </t>
  </si>
  <si>
    <t>CEREBOS LTD</t>
  </si>
  <si>
    <t>DOC / DOC / FUE / INS</t>
  </si>
  <si>
    <t xml:space="preserve">HEINEKEN BEVERAGES SA (PTY) LT     </t>
  </si>
  <si>
    <t>HEINEKEN BEVERAGES SA  PTY  LT</t>
  </si>
  <si>
    <t>Ronwyn</t>
  </si>
  <si>
    <t xml:space="preserve">UNILEVER SA PHOENIX AEROSOL        </t>
  </si>
  <si>
    <t>UNILEVER SA PHOENIX AEROSOL</t>
  </si>
  <si>
    <t>myeka</t>
  </si>
  <si>
    <t>zanele</t>
  </si>
  <si>
    <t>POD received from cell 0692632913 M</t>
  </si>
  <si>
    <t xml:space="preserve">TIGER BRANDS SNACKS  TREATS PH     </t>
  </si>
  <si>
    <t>TIGER BRANDS SNACKS  TREATS PH</t>
  </si>
  <si>
    <t>awena</t>
  </si>
  <si>
    <t xml:space="preserve">ACEPAK PACKAGING SYSTEMS           </t>
  </si>
  <si>
    <t>ACEPAK PACKAGING SYSTEMS</t>
  </si>
  <si>
    <t>Warrick</t>
  </si>
  <si>
    <t xml:space="preserve">ELEMENT SIX (PRODUCTION)           </t>
  </si>
  <si>
    <t>ELEMENT SIX</t>
  </si>
  <si>
    <t>Paulos</t>
  </si>
  <si>
    <t>RICH2</t>
  </si>
  <si>
    <t>RICHMOND (NATAL)</t>
  </si>
  <si>
    <t xml:space="preserve">NORMANDIEN FARMS PTY LTD           </t>
  </si>
  <si>
    <t>NORMANDIEN</t>
  </si>
  <si>
    <t xml:space="preserve">BOX: CON                      </t>
  </si>
  <si>
    <t>Elijah</t>
  </si>
  <si>
    <t>POD received from cell 0833616148 M</t>
  </si>
  <si>
    <t xml:space="preserve">AFRILEK AUTOMATION (PTY) LTD E     </t>
  </si>
  <si>
    <t>AFRILEK AUTOMATION  PTY  LTD E</t>
  </si>
  <si>
    <t>phanual</t>
  </si>
  <si>
    <t>POD received from cell 0741433512 M</t>
  </si>
  <si>
    <t>Mona</t>
  </si>
  <si>
    <t xml:space="preserve">MDW PNEUMATIC TRADING PTY LTD      </t>
  </si>
  <si>
    <t>MDW PNEUMATIC TRADING PTY LTD</t>
  </si>
  <si>
    <t>MIDELET</t>
  </si>
  <si>
    <t xml:space="preserve">FILMATIC PACKAGING SYSTEMS (PT     </t>
  </si>
  <si>
    <t>FILMATIC PACKAGING SYSTEMS  PT</t>
  </si>
  <si>
    <t>Gary</t>
  </si>
  <si>
    <t>kabelo mashego</t>
  </si>
  <si>
    <t>t makgopela</t>
  </si>
  <si>
    <t xml:space="preserve">MONDI SOUTH AFRICA PROPRIETARY     </t>
  </si>
  <si>
    <t>MONDI SOUTH AFRICA PROPRIETARY</t>
  </si>
  <si>
    <t>nelson</t>
  </si>
  <si>
    <t>LEV</t>
  </si>
  <si>
    <t>ISIPI</t>
  </si>
  <si>
    <t>ISIPINGO</t>
  </si>
  <si>
    <t xml:space="preserve">ISEGEN S.A (PTY) LTD               </t>
  </si>
  <si>
    <t>ISEGEN S.A  PTY  LTD</t>
  </si>
  <si>
    <t>keegan</t>
  </si>
  <si>
    <t xml:space="preserve">NATIONAL BRANDS LIMITED  ROSSL     </t>
  </si>
  <si>
    <t>NATIONAL BRANDS LIMITED ROSSLY</t>
  </si>
  <si>
    <t>DANIEL</t>
  </si>
  <si>
    <t>Lesley</t>
  </si>
  <si>
    <t xml:space="preserve">MINI PAL                      </t>
  </si>
  <si>
    <t xml:space="preserve">HULAMIN OPERATIONS (PTY) LTD       </t>
  </si>
  <si>
    <t>HULAMIN OPERATIONS  PTY  LTD</t>
  </si>
  <si>
    <t>Thami</t>
  </si>
  <si>
    <t>POD received from cell 0625489709 M</t>
  </si>
  <si>
    <t xml:space="preserve">PROMAX SIVEX DISTRIBUTORS CC T     </t>
  </si>
  <si>
    <t>PROMAX SIVEX DISTRIBUTORS CC T</t>
  </si>
  <si>
    <t>RUDI</t>
  </si>
  <si>
    <t xml:space="preserve">FORD MOTOR CO. SA MANUFACTURIN     </t>
  </si>
  <si>
    <t>FORD MOTOR CO. SA MANUFACTURIN</t>
  </si>
  <si>
    <t xml:space="preserve">REBUS INDUSTRIAL CONTROLS          </t>
  </si>
  <si>
    <t>REBUS INDUSTRIAL CONTROLS</t>
  </si>
  <si>
    <t>Jaco</t>
  </si>
  <si>
    <t xml:space="preserve">BBF SAFETY FROUP (PTY) LTD         </t>
  </si>
  <si>
    <t>BBF SAFETY FROUP  PTY  LTD</t>
  </si>
  <si>
    <t>Sadha</t>
  </si>
  <si>
    <t xml:space="preserve">G.U.D HOLDINGS (PTY) LTD PROSP     </t>
  </si>
  <si>
    <t>G.U.D HOLDINGS  PTY  LTD PROSP</t>
  </si>
  <si>
    <t>mmichael</t>
  </si>
  <si>
    <t>COL</t>
  </si>
  <si>
    <t xml:space="preserve">FLYERT                        </t>
  </si>
  <si>
    <t>SHAAKIR</t>
  </si>
  <si>
    <t>SALDA</t>
  </si>
  <si>
    <t>SALDANHA</t>
  </si>
  <si>
    <t xml:space="preserve">AFROX DUFERCO (ECOVAR)             </t>
  </si>
  <si>
    <t>AFROX DUFERCO  ECOVAR</t>
  </si>
  <si>
    <t>SITITI</t>
  </si>
  <si>
    <t>nic</t>
  </si>
  <si>
    <t xml:space="preserve">ASPEN SA OPERATIONS ( PTY ) LT     </t>
  </si>
  <si>
    <t>ASPEN SA OPERATIONS   PTY   LT</t>
  </si>
  <si>
    <t>JoJo</t>
  </si>
  <si>
    <t xml:space="preserve">ALBANY BAKERIES A DIVISION OF      </t>
  </si>
  <si>
    <t>ALBANY BAKERIES A DIVISION OF</t>
  </si>
  <si>
    <t xml:space="preserve">KENNETH                       </t>
  </si>
  <si>
    <t xml:space="preserve">HYDRABERG HYDRAULICS CC            </t>
  </si>
  <si>
    <t>HYDRABERG HYDRAULICS CC</t>
  </si>
  <si>
    <t>Daniel</t>
  </si>
  <si>
    <t xml:space="preserve">FIRST NATIONAL BATTERY             </t>
  </si>
  <si>
    <t>FIRST NATIONAL BATTERY</t>
  </si>
  <si>
    <t xml:space="preserve">Baxelele                      </t>
  </si>
  <si>
    <t xml:space="preserve">POD received from cell 0788915943 M     </t>
  </si>
  <si>
    <t xml:space="preserve">sibusio                       </t>
  </si>
  <si>
    <t xml:space="preserve">POD received from cell 0738058187 M     </t>
  </si>
  <si>
    <t xml:space="preserve">TRUDA FOODS WILLEM CRUYWAGEN L     </t>
  </si>
  <si>
    <t>TRUDA FOODS WILLEM CRUYWAGEN L</t>
  </si>
  <si>
    <t>0182</t>
  </si>
  <si>
    <t xml:space="preserve">HENDOK DISTRIBUTION PTY LTD        </t>
  </si>
  <si>
    <t>HENDOK DISTRIBUTION</t>
  </si>
  <si>
    <t>preston</t>
  </si>
  <si>
    <t xml:space="preserve">PRAGA TECHNICAL PTY LTD PLZ        </t>
  </si>
  <si>
    <t>PRAGA TECHNICAL PTY LTD PLZ</t>
  </si>
  <si>
    <t>Priscilla</t>
  </si>
  <si>
    <t xml:space="preserve">FESTO PORT ELIZABETH               </t>
  </si>
  <si>
    <t>FESTO PORT ELIZABETH JANSE VAN</t>
  </si>
  <si>
    <t>J Steyn</t>
  </si>
  <si>
    <t>kurt</t>
  </si>
  <si>
    <t xml:space="preserve">FOXOLUTION SYSTEMS ENGINEERING     </t>
  </si>
  <si>
    <t>FOXOLUTION SYSTEMS ENGINEERING</t>
  </si>
  <si>
    <t xml:space="preserve">Arno                          </t>
  </si>
  <si>
    <t xml:space="preserve">POD received from cell 0735647467 M     </t>
  </si>
  <si>
    <t xml:space="preserve">SPRING MEADOW DAIRY FARM (PTY)     </t>
  </si>
  <si>
    <t>SPRING MEADOW DAIRY FARM  PTY</t>
  </si>
  <si>
    <t xml:space="preserve">nhlakanipho                   </t>
  </si>
  <si>
    <t xml:space="preserve">ROV DURRANT ENGINEERING (PTY)      </t>
  </si>
  <si>
    <t>ROV DURRANT ENGINEERING  PTY</t>
  </si>
  <si>
    <t>E Sauls</t>
  </si>
  <si>
    <t>WAYNER</t>
  </si>
  <si>
    <t>POD received from cell 0719533928 M</t>
  </si>
  <si>
    <t xml:space="preserve">NECSA PELINDABA                    </t>
  </si>
  <si>
    <t>NECSA PELINDABA</t>
  </si>
  <si>
    <t xml:space="preserve">GRANROTH (PTY) LTD                 </t>
  </si>
  <si>
    <t>GRANROTH  PTY  LTD</t>
  </si>
  <si>
    <t>brad</t>
  </si>
  <si>
    <t xml:space="preserve">MESCHTEC SERVICES (PTY) LTD        </t>
  </si>
  <si>
    <t>MESCHTEC SERVICES  PTY  LTD</t>
  </si>
  <si>
    <t>POD received from cell 0730264922 M</t>
  </si>
  <si>
    <t xml:space="preserve">RAPID INDUSTRIAL SUPPLIES PTY      </t>
  </si>
  <si>
    <t>RAPID INDUSTRIAL</t>
  </si>
  <si>
    <t>Nella</t>
  </si>
  <si>
    <t xml:space="preserve">POLYOAK PACKAGING PTY LTD AERO     </t>
  </si>
  <si>
    <t>POLYOAK PACKAGING PTY LTD AERO</t>
  </si>
  <si>
    <t xml:space="preserve">Bytel                         </t>
  </si>
  <si>
    <t xml:space="preserve">CHW DESIGN CC                      </t>
  </si>
  <si>
    <t>CHW DESIGN CC</t>
  </si>
  <si>
    <t>Anzel</t>
  </si>
  <si>
    <t xml:space="preserve">CAXTON WORKS                       </t>
  </si>
  <si>
    <t>CAXTON WORKS</t>
  </si>
  <si>
    <t>renell</t>
  </si>
  <si>
    <t>POD received from cell 0783211209 M</t>
  </si>
  <si>
    <t xml:space="preserve">THE SOUTH AFRICAN BREWERIES LT     </t>
  </si>
  <si>
    <t>THE SOUTH AFRICAN BREWERIES LT</t>
  </si>
  <si>
    <t>AYABULELA</t>
  </si>
  <si>
    <t xml:space="preserve">VOLKSWAGEN OF SA (PTY) LTD PLN     </t>
  </si>
  <si>
    <t>VOLKSWAGEN OF SA  PTY  LTD PLN</t>
  </si>
  <si>
    <t>andiswa</t>
  </si>
  <si>
    <t xml:space="preserve">trymore                       </t>
  </si>
  <si>
    <t xml:space="preserve">PARCELS                       </t>
  </si>
  <si>
    <t xml:space="preserve">IAA DISTRIBUTION ROODEPOORT        </t>
  </si>
  <si>
    <t>IAA DISTRIBUTION ROODEPOORT</t>
  </si>
  <si>
    <t>Yanika</t>
  </si>
  <si>
    <t>POD received from cell 0644108519 M</t>
  </si>
  <si>
    <t>BALF2</t>
  </si>
  <si>
    <t>BALFOUR (TVL)</t>
  </si>
  <si>
    <t xml:space="preserve">KARAN BEEF PTY LTD ORDER NUMBE     </t>
  </si>
  <si>
    <t>KARAN BEEF PTY LTD ORDER NUMBE</t>
  </si>
  <si>
    <t>Ntombi</t>
  </si>
  <si>
    <t>POD received from cell 0606968550 M</t>
  </si>
  <si>
    <t>olebogeng</t>
  </si>
  <si>
    <t xml:space="preserve">GUTH SOUTH AFRICA (PTY) LTD NE     </t>
  </si>
  <si>
    <t>GUTH SOUTH AFRICA  PTY  LTD NE</t>
  </si>
  <si>
    <t>Piet</t>
  </si>
  <si>
    <t>POD received from cell 0728892773 M</t>
  </si>
  <si>
    <t xml:space="preserve">B   E CONFERENCE CENTRE            </t>
  </si>
  <si>
    <t xml:space="preserve">FESTO JHB                          </t>
  </si>
  <si>
    <t>Robby</t>
  </si>
  <si>
    <t>Jeff</t>
  </si>
  <si>
    <t>LADYS</t>
  </si>
  <si>
    <t>LADYSMITH (NTL)</t>
  </si>
  <si>
    <t xml:space="preserve">DEFY APPLIANCES (PTY) LTD LADY     </t>
  </si>
  <si>
    <t>DEFY APPLIANCES  PTY  LTD LADY</t>
  </si>
  <si>
    <t>Simon radebe</t>
  </si>
  <si>
    <t>POD received from cell 0662487525 M</t>
  </si>
  <si>
    <t xml:space="preserve">SAMMY                         </t>
  </si>
  <si>
    <t xml:space="preserve">MECHANICAL CONCEPTS CC             </t>
  </si>
  <si>
    <t>MECHANICAL CONCEPTS CC</t>
  </si>
  <si>
    <t>Trevor</t>
  </si>
  <si>
    <t xml:space="preserve">JLINC T A TASAMA TRADING 213C      </t>
  </si>
  <si>
    <t>JLINC T A TASAMA TRADING 213C</t>
  </si>
  <si>
    <t>A Lutzeler</t>
  </si>
  <si>
    <t>PFARELO</t>
  </si>
  <si>
    <t>randil</t>
  </si>
  <si>
    <t>POD received from cell 0767994841 M</t>
  </si>
  <si>
    <t>Nella Smit</t>
  </si>
  <si>
    <t>FOODCORP (PTY) LTD T A SUNBAKE</t>
  </si>
  <si>
    <t>PAUL</t>
  </si>
  <si>
    <t>0117</t>
  </si>
  <si>
    <t xml:space="preserve">Black Sheep Industries             </t>
  </si>
  <si>
    <t>Danielle</t>
  </si>
  <si>
    <t xml:space="preserve">GENERAL  PNEUMATICS KZN            </t>
  </si>
  <si>
    <t>GENERAL PNEUMATICS</t>
  </si>
  <si>
    <t xml:space="preserve">cacvin                        </t>
  </si>
  <si>
    <t xml:space="preserve">POD received from cell 0678467994 M     </t>
  </si>
  <si>
    <t xml:space="preserve">BORBET SA PTY LTD                  </t>
  </si>
  <si>
    <t>BORBET SA PTY LTD</t>
  </si>
  <si>
    <t>Asanda</t>
  </si>
  <si>
    <t>MIDRA</t>
  </si>
  <si>
    <t>MIDRAND</t>
  </si>
  <si>
    <t xml:space="preserve">DE BEERS SUPPLY CHAIN CENTER M     </t>
  </si>
  <si>
    <t>DE BEERS SUPPLY CHAIN CENTER M</t>
  </si>
  <si>
    <t>TERRY</t>
  </si>
  <si>
    <t>Athi</t>
  </si>
  <si>
    <t>deliverd by 15h48</t>
  </si>
  <si>
    <t xml:space="preserve">BPX                           </t>
  </si>
  <si>
    <t xml:space="preserve">FELTEX TRIM P.E                    </t>
  </si>
  <si>
    <t>FELTEX TRIM P.E</t>
  </si>
  <si>
    <t>Asiphe</t>
  </si>
  <si>
    <t>RUSSEL</t>
  </si>
  <si>
    <t>NCH</t>
  </si>
  <si>
    <t xml:space="preserve">BOXES                         </t>
  </si>
  <si>
    <t xml:space="preserve">NEOPAK                             </t>
  </si>
  <si>
    <t>NEOPAK</t>
  </si>
  <si>
    <t>TEBOGO</t>
  </si>
  <si>
    <t xml:space="preserve">DEVCOTECH ELECTRICAL ENGINEERI     </t>
  </si>
  <si>
    <t>DEVCOTECH ELECTRICAL ENGINEERI</t>
  </si>
  <si>
    <t>gradin</t>
  </si>
  <si>
    <t>PATRICK</t>
  </si>
  <si>
    <t xml:space="preserve">PAARL PNEUMATICS CC                </t>
  </si>
  <si>
    <t>PAARL PNEUMATICS CC</t>
  </si>
  <si>
    <t>Randall</t>
  </si>
  <si>
    <t>POD received from cell 0737996477 M</t>
  </si>
  <si>
    <t>M Pamla</t>
  </si>
  <si>
    <t>Sinazo</t>
  </si>
  <si>
    <t xml:space="preserve">POLIMATRIX S.A                     </t>
  </si>
  <si>
    <t>POLIMATRIX S.A</t>
  </si>
  <si>
    <t>Victor</t>
  </si>
  <si>
    <t>POD received from cell 0677827371 M</t>
  </si>
  <si>
    <t>BOTRI</t>
  </si>
  <si>
    <t>BOTRIVIER</t>
  </si>
  <si>
    <t xml:space="preserve">NLO INFORMATION SYSTEMS (PTY)      </t>
  </si>
  <si>
    <t>NLO INFORMATION SYSTEMS  PTY</t>
  </si>
  <si>
    <t>Nico</t>
  </si>
  <si>
    <t>POD received from cell 0834059114 M</t>
  </si>
  <si>
    <t xml:space="preserve">cidney                        </t>
  </si>
  <si>
    <t xml:space="preserve">SCHULLPAK CC                       </t>
  </si>
  <si>
    <t>SCHULLPAK CC</t>
  </si>
  <si>
    <t>RUE</t>
  </si>
  <si>
    <t>Patrick</t>
  </si>
  <si>
    <t>POTGI</t>
  </si>
  <si>
    <t>POTGIETERSRUS</t>
  </si>
  <si>
    <t xml:space="preserve">QUATRO PACK CC                     </t>
  </si>
  <si>
    <t>QUATRO PACK CC</t>
  </si>
  <si>
    <t>anita</t>
  </si>
  <si>
    <t>POD received from cell 0815633627 M</t>
  </si>
  <si>
    <t>0601</t>
  </si>
  <si>
    <t xml:space="preserve">DANIE                         </t>
  </si>
  <si>
    <t>Godfrey</t>
  </si>
  <si>
    <t>khutso</t>
  </si>
  <si>
    <t xml:space="preserve">Shia                          </t>
  </si>
  <si>
    <t>juh</t>
  </si>
  <si>
    <t xml:space="preserve">POD received from cell 0842084217 M     </t>
  </si>
  <si>
    <t>Desmond</t>
  </si>
  <si>
    <t>jerelle</t>
  </si>
  <si>
    <t>lindy</t>
  </si>
  <si>
    <t>Moses</t>
  </si>
  <si>
    <t>STANG</t>
  </si>
  <si>
    <t>STANGER</t>
  </si>
  <si>
    <t xml:space="preserve">SAPPI SOUTHERN AFRICA LIMITED      </t>
  </si>
  <si>
    <t>SAPPI SOUTHERN AFRICA</t>
  </si>
  <si>
    <t>raujin</t>
  </si>
  <si>
    <t>POD received from cell 0617419153 M</t>
  </si>
  <si>
    <t xml:space="preserve">Mbona                         </t>
  </si>
  <si>
    <t xml:space="preserve">POD received from cell 0659386993 M     </t>
  </si>
  <si>
    <t xml:space="preserve">TRANSVAAL HYDRAULICS (PTY) LTD     </t>
  </si>
  <si>
    <t>TRANSVAAL HYDRAULICS  PTY  LTD</t>
  </si>
  <si>
    <t>COETZER</t>
  </si>
  <si>
    <t>Cecilia</t>
  </si>
  <si>
    <t>PULE</t>
  </si>
  <si>
    <t>BAGTECH INTERNATIONAL PTY LTD</t>
  </si>
  <si>
    <t xml:space="preserve">WILLOWTON OIL   CAKE MILLS         </t>
  </si>
  <si>
    <t>WILLOWTON OIL   CAKE MILLS</t>
  </si>
  <si>
    <t>Andly</t>
  </si>
  <si>
    <t>heff</t>
  </si>
  <si>
    <t xml:space="preserve">PATERSON HUGHES ENGINEERING        </t>
  </si>
  <si>
    <t>PATERSON HUGHES ENGINEERING</t>
  </si>
  <si>
    <t>HAUNS</t>
  </si>
  <si>
    <t xml:space="preserve">SUMATRA TRADING (PTY) LTD          </t>
  </si>
  <si>
    <t>SUMATRA TRADING  PTY  LTD</t>
  </si>
  <si>
    <t>NAUSHAD</t>
  </si>
  <si>
    <t xml:space="preserve">STRAIT ACCESS TECHNOLOGIES         </t>
  </si>
  <si>
    <t>STRAIT ACCESS TECHNOLOGIES</t>
  </si>
  <si>
    <t>Veruscha</t>
  </si>
  <si>
    <t>POD received from cell 0633442020 M</t>
  </si>
  <si>
    <t xml:space="preserve">HYDRAQUIP BERGRIVIER HIDROLIES     </t>
  </si>
  <si>
    <t>HYDRAQUIP BERGRIVIER HIDROLIES</t>
  </si>
  <si>
    <t>Ryno</t>
  </si>
  <si>
    <t xml:space="preserve">FELTEX AUTOMOTIVE DIVISION- GR     </t>
  </si>
  <si>
    <t>FELTEX AUTOMOTIVE DIVISION- GR</t>
  </si>
  <si>
    <t>nhcarhoo</t>
  </si>
  <si>
    <t xml:space="preserve">kezley                        </t>
  </si>
  <si>
    <t xml:space="preserve">POD received from cell 0608702785 M     </t>
  </si>
  <si>
    <t xml:space="preserve">ACTOM PTY LTD                      </t>
  </si>
  <si>
    <t>ACTOM PTY LTD</t>
  </si>
  <si>
    <t>SONTO</t>
  </si>
  <si>
    <t>GONUB</t>
  </si>
  <si>
    <t>GONUBIE</t>
  </si>
  <si>
    <t xml:space="preserve">TITUS CONSULTING CC                </t>
  </si>
  <si>
    <t>TITUS CONSULTING CC</t>
  </si>
  <si>
    <t>Tristan</t>
  </si>
  <si>
    <t>POD received from cell 0645575004 M</t>
  </si>
  <si>
    <t xml:space="preserve">RHEINMETALL DENEL MUNITIONS DU     </t>
  </si>
  <si>
    <t>RHEINMETALL DENEL MUNITIONS DU</t>
  </si>
  <si>
    <t>freddy</t>
  </si>
  <si>
    <t xml:space="preserve">IMARA AUTOMATION CC                </t>
  </si>
  <si>
    <t>IMARA AUTOMATION CC</t>
  </si>
  <si>
    <t>Beer</t>
  </si>
  <si>
    <t xml:space="preserve">CLIFFORD MACHINES   TECHNOLOGY     </t>
  </si>
  <si>
    <t>CLIFFORD MACHINES   TECHNOLOGY</t>
  </si>
  <si>
    <t xml:space="preserve">FOODCORP (PTY) LTD PRESIDENT B     </t>
  </si>
  <si>
    <t>FOODCORP  PTY  LTD PRESIDENT B</t>
  </si>
  <si>
    <t xml:space="preserve">MICHAEL                       </t>
  </si>
  <si>
    <t>sous</t>
  </si>
  <si>
    <t xml:space="preserve">INNOVATIVE WATER CARE SA HOLDI     </t>
  </si>
  <si>
    <t>INNOVATIVE WATER CARE SA HOLDI</t>
  </si>
  <si>
    <t>Sizwe</t>
  </si>
  <si>
    <t xml:space="preserve">FINLAR FINE FOODS ADO LIBSTAR      </t>
  </si>
  <si>
    <t>FINLAR FINE FOODS ADO LIBSTAR</t>
  </si>
  <si>
    <t>CAMBRIDGE</t>
  </si>
  <si>
    <t>MIA</t>
  </si>
  <si>
    <t xml:space="preserve">MACSTEEL FLUID CONTROL             </t>
  </si>
  <si>
    <t>MACSTEEL FLUID CONTROL</t>
  </si>
  <si>
    <t>Kenneth</t>
  </si>
  <si>
    <t>POD received from cell 0747980518 M</t>
  </si>
  <si>
    <t>Pumeza</t>
  </si>
  <si>
    <t xml:space="preserve">COMPRESSED AIR EQUIPMENT  JHB      </t>
  </si>
  <si>
    <t>COMPRESSED AIR EQUIPMENT</t>
  </si>
  <si>
    <t>LORENZO</t>
  </si>
  <si>
    <t>STAMP</t>
  </si>
  <si>
    <t>nichael</t>
  </si>
  <si>
    <t xml:space="preserve">PREMIER FMCG (PTY) LTD PINETOW     </t>
  </si>
  <si>
    <t>PREMIER FMCG  PTY  LTD PINETOW</t>
  </si>
  <si>
    <t>Shaun</t>
  </si>
  <si>
    <t>ATLAN</t>
  </si>
  <si>
    <t>ATLANTIS</t>
  </si>
  <si>
    <t xml:space="preserve">ZF PASSIVE SAFETY SOUTH AFRICA     </t>
  </si>
  <si>
    <t>ZF PASSIVE SAFETY SOUTH AFRICA</t>
  </si>
  <si>
    <t xml:space="preserve">katlgo                        </t>
  </si>
  <si>
    <t xml:space="preserve">POD received from cell 0625092893 M     </t>
  </si>
  <si>
    <t>somabili</t>
  </si>
  <si>
    <t xml:space="preserve">HEINEKEN SOUTH AFRICA (PTY) LT     </t>
  </si>
  <si>
    <t>HEINEKEN SOUTH AFRICA  PTY  LT</t>
  </si>
  <si>
    <t xml:space="preserve">OPMOBILITY C POWER SA (PTY) LT     </t>
  </si>
  <si>
    <t>OPMOBILITY C POWER SA  PTY  LT</t>
  </si>
  <si>
    <t>NHLANHLA</t>
  </si>
  <si>
    <t>jeff</t>
  </si>
  <si>
    <t xml:space="preserve">ENT GMST ENGINEERING - SPARES      </t>
  </si>
  <si>
    <t>ENT GMST ENGINEERING - SPARES</t>
  </si>
  <si>
    <t>FAITH</t>
  </si>
  <si>
    <t>POD received from cell 0736687669 M</t>
  </si>
  <si>
    <t xml:space="preserve">FILTEC AUTOMATION CC               </t>
  </si>
  <si>
    <t>FILTEC AUTOMATION CC</t>
  </si>
  <si>
    <t>PRAYAL</t>
  </si>
  <si>
    <t xml:space="preserve">MARTIN   MARTIN PTY LTD            </t>
  </si>
  <si>
    <t>MARTIN   MARTIN</t>
  </si>
  <si>
    <t>Pamela</t>
  </si>
  <si>
    <t>POD received from cell 0720194745 M</t>
  </si>
  <si>
    <t xml:space="preserve">STANDIG (PTY) LTD                  </t>
  </si>
  <si>
    <t>STANDIG  PTY  LTD</t>
  </si>
  <si>
    <t xml:space="preserve">PFG BUILDING GLASS                 </t>
  </si>
  <si>
    <t>PFG BUILDING GLASS</t>
  </si>
  <si>
    <t>Themba</t>
  </si>
  <si>
    <t xml:space="preserve">FILMATIC PACKAGING SYSTEMS PTY     </t>
  </si>
  <si>
    <t>FILMATIC PACKAGING SYSTEMS</t>
  </si>
  <si>
    <t>Bytel</t>
  </si>
  <si>
    <t>rna</t>
  </si>
  <si>
    <t>aubeu</t>
  </si>
  <si>
    <t xml:space="preserve">PROGETTO INTERNATIONAL             </t>
  </si>
  <si>
    <t>PROGETTO INTERNATIONAL</t>
  </si>
  <si>
    <t>NICO</t>
  </si>
  <si>
    <t>RUSTE</t>
  </si>
  <si>
    <t>RUSTENBURG</t>
  </si>
  <si>
    <t xml:space="preserve">PRIME INSTRUMENTATION CC RUSTE     </t>
  </si>
  <si>
    <t>PRIME INSTRUMENTATION CC RUSTE</t>
  </si>
  <si>
    <t>albert</t>
  </si>
  <si>
    <t>0300</t>
  </si>
  <si>
    <t xml:space="preserve">DNH MANUFACTURING (PTY) LTD        </t>
  </si>
  <si>
    <t>DNH MANUFACTURING  PTY  LTD</t>
  </si>
  <si>
    <t>R Bingle</t>
  </si>
  <si>
    <t xml:space="preserve">randil                        </t>
  </si>
  <si>
    <t>Kathleen</t>
  </si>
  <si>
    <t xml:space="preserve">UNIVERSAL PAPER   PLASTIC (BOP     </t>
  </si>
  <si>
    <t>UNIVERSAL PAPER   PLASTIC  BOP</t>
  </si>
  <si>
    <t>m tsonope</t>
  </si>
  <si>
    <t>0208</t>
  </si>
  <si>
    <t xml:space="preserve">PNEUSTREAM                         </t>
  </si>
  <si>
    <t>PNEUSTREAM</t>
  </si>
  <si>
    <t>DANIE</t>
  </si>
  <si>
    <t>ronald</t>
  </si>
  <si>
    <t xml:space="preserve">TOYOTA SA MOTORS (PTY) LTD PRO     </t>
  </si>
  <si>
    <t>TOYOTA SA MOTORS  PTY  LTD PRO</t>
  </si>
  <si>
    <t>sagie</t>
  </si>
  <si>
    <t xml:space="preserve">TOYOTA SA MOTORS (PTY) LTD EXH     </t>
  </si>
  <si>
    <t>TOYOTA SA MOTORS  PTY  LTD EXH</t>
  </si>
  <si>
    <t>TX cele</t>
  </si>
  <si>
    <t>ELSABE</t>
  </si>
  <si>
    <t xml:space="preserve">SIQALO FOODS PTY LTD               </t>
  </si>
  <si>
    <t>SIQALO FOODS PTY LTD</t>
  </si>
  <si>
    <t>NANDIPHA</t>
  </si>
  <si>
    <t xml:space="preserve">EAST RAND HYDRAULIC                </t>
  </si>
  <si>
    <t>EAST RAND HYDRAULIC</t>
  </si>
  <si>
    <t>Michael</t>
  </si>
  <si>
    <t xml:space="preserve">TIGER BRANDS ( CHOCOLATE UNIT      </t>
  </si>
  <si>
    <t>TIGER BRANDS   CHOCOLATE UNIT</t>
  </si>
  <si>
    <t>kishen</t>
  </si>
  <si>
    <t>POD received from cell 0612986212 M</t>
  </si>
  <si>
    <t xml:space="preserve">UNIVERSAL AUTOMATED SYSTEMS (P     </t>
  </si>
  <si>
    <t>UNIVERSAL AUTOMATED SYSTEMS  P</t>
  </si>
  <si>
    <t>JASON</t>
  </si>
  <si>
    <t>POD received from cell 0716990024 M</t>
  </si>
  <si>
    <t xml:space="preserve">DE BEERS MARINE PTY LTD            </t>
  </si>
  <si>
    <t>DE BEERS MARINE PTY LTD</t>
  </si>
  <si>
    <t>Siyabonga</t>
  </si>
  <si>
    <t xml:space="preserve">AUTO INDUSTRIAL MACHINING  A D     </t>
  </si>
  <si>
    <t>AUTO INDUSTRIAL MACHINING</t>
  </si>
  <si>
    <t xml:space="preserve">Victory Electrical                 </t>
  </si>
  <si>
    <t xml:space="preserve">SPIRAX SARCO SA PTY LTD            </t>
  </si>
  <si>
    <t>SPIRAX SARCO</t>
  </si>
  <si>
    <t xml:space="preserve">1310 MAIN STREET PYT LTD T A T     </t>
  </si>
  <si>
    <t>1310 MAIN STREET PYT LTD T A T</t>
  </si>
  <si>
    <t>LAWRENCE</t>
  </si>
  <si>
    <t>trevor</t>
  </si>
  <si>
    <t>gary</t>
  </si>
  <si>
    <t xml:space="preserve">MAVTECH TECHNOLOGIES (PTY) LTD     </t>
  </si>
  <si>
    <t>MAVTECH TECHNOLOGIES  PTY  LTD</t>
  </si>
  <si>
    <t xml:space="preserve">JODY                          </t>
  </si>
  <si>
    <t xml:space="preserve">OPTIMECH ENGINEERING SOLUTIONS     </t>
  </si>
  <si>
    <t>OPTIMECH ENGINEERING SOLUTIONS</t>
  </si>
  <si>
    <t>G PILLAY</t>
  </si>
  <si>
    <t>POD received from cell 0716311909 M</t>
  </si>
  <si>
    <t>BETHA</t>
  </si>
  <si>
    <t>BETHAL</t>
  </si>
  <si>
    <t xml:space="preserve">QRS INDUSTRIAL GROUP BETHAL        </t>
  </si>
  <si>
    <t>QRS INDUSTRIAL GROUP BETHAL</t>
  </si>
  <si>
    <t xml:space="preserve">SMITHS MANUFACTURING (PTY) LTD     </t>
  </si>
  <si>
    <t>SMITHS MANUFACTURING  PTY  LTD</t>
  </si>
  <si>
    <t>mahommed</t>
  </si>
  <si>
    <t>POD received from cell 0678467994 M</t>
  </si>
  <si>
    <t>elize</t>
  </si>
  <si>
    <t>kim</t>
  </si>
  <si>
    <t>Aiden</t>
  </si>
  <si>
    <t>Lisa</t>
  </si>
  <si>
    <t xml:space="preserve">LUMEC ENGINEERING SERVICES NOR     </t>
  </si>
  <si>
    <t>LUMEC ENGINEERING SERVICES NOR</t>
  </si>
  <si>
    <t>fritz</t>
  </si>
  <si>
    <t xml:space="preserve">IDWALA CARBONATES DIV -IDWALA      </t>
  </si>
  <si>
    <t>IDWALA CARBONATES DIV -IDWALA</t>
  </si>
  <si>
    <t xml:space="preserve">keush                         </t>
  </si>
  <si>
    <t xml:space="preserve">POD received from cell 0663869424 M     </t>
  </si>
  <si>
    <t xml:space="preserve">BLISS BRANDS (PTY) LTD             </t>
  </si>
  <si>
    <t>BLISS BRANDS</t>
  </si>
  <si>
    <t>Younus</t>
  </si>
  <si>
    <t xml:space="preserve">PRODUCTIVE ENGINEERING CC          </t>
  </si>
  <si>
    <t>PRODUCTIVE ENGINEERING CC</t>
  </si>
  <si>
    <t>raymond</t>
  </si>
  <si>
    <t>POD received from cell 0727759089 M</t>
  </si>
  <si>
    <t>Tracy</t>
  </si>
  <si>
    <t>Ansel</t>
  </si>
  <si>
    <t xml:space="preserve">REFERRO SYSTEMS PTY LTD            </t>
  </si>
  <si>
    <t>REFERRO SYSTEMS PTY LTD</t>
  </si>
  <si>
    <t>JABULANI</t>
  </si>
  <si>
    <t>0040</t>
  </si>
  <si>
    <t>Athenkosi</t>
  </si>
  <si>
    <t>POD received from cell 0612301350 M</t>
  </si>
  <si>
    <t>GREG</t>
  </si>
  <si>
    <t>SHAUN</t>
  </si>
  <si>
    <t xml:space="preserve">SMOKEHOUSE MASTERS PTY LTD         </t>
  </si>
  <si>
    <t>SMOKEHOUSE MASTERS PTY LTD</t>
  </si>
  <si>
    <t>NAMPAK PRODUCTS LTD T A BEVCAN</t>
  </si>
  <si>
    <t>KATLEGO</t>
  </si>
  <si>
    <t>phayal</t>
  </si>
  <si>
    <t>POD received from cell 0844020000 M</t>
  </si>
  <si>
    <t>james</t>
  </si>
  <si>
    <t>hughda</t>
  </si>
  <si>
    <t>POD received from cell 0659756866 M</t>
  </si>
  <si>
    <t>SANDISO</t>
  </si>
  <si>
    <t>Tuumelo</t>
  </si>
  <si>
    <t>POD received from cell 0636621831 M</t>
  </si>
  <si>
    <t>HOPE</t>
  </si>
  <si>
    <t>0001</t>
  </si>
  <si>
    <t>lollita</t>
  </si>
  <si>
    <t>MYRON</t>
  </si>
  <si>
    <t xml:space="preserve">ANG INDUSTRIAL SOLUTIONS PTY 2     </t>
  </si>
  <si>
    <t>ANG INDUSTRIAL SOLUTIONS PTY 2</t>
  </si>
  <si>
    <t>H.G MOLENAAR</t>
  </si>
  <si>
    <t>Brandon</t>
  </si>
  <si>
    <t xml:space="preserve">RCL FOODS CONSUMER (PTY) LTD S     </t>
  </si>
  <si>
    <t>RCL FOODS CONSUMER  PTY  LTD S</t>
  </si>
  <si>
    <t xml:space="preserve">Mathapo                       </t>
  </si>
  <si>
    <t xml:space="preserve">POD received from cell 0786786237 M     </t>
  </si>
  <si>
    <t xml:space="preserve">Medwin                        </t>
  </si>
  <si>
    <t xml:space="preserve">TIGER BRANDS SNACKS  TREAT   B     </t>
  </si>
  <si>
    <t>TIGER BRANDS SNACKS  TREAT   B</t>
  </si>
  <si>
    <t>azwi</t>
  </si>
  <si>
    <t>POD received from cell 0642984653 M</t>
  </si>
  <si>
    <t xml:space="preserve">ELECTROSALES ELECTRICAL            </t>
  </si>
  <si>
    <t>ELECTROSALES ELECTRICAL</t>
  </si>
  <si>
    <t>KIKI</t>
  </si>
  <si>
    <t xml:space="preserve">FAMOUS BRANDS MANAGEMENT           </t>
  </si>
  <si>
    <t>FAMOUS BRANDS MANAGEMENT</t>
  </si>
  <si>
    <t>gift</t>
  </si>
  <si>
    <t>POD received from cell 0848256515 M</t>
  </si>
  <si>
    <t>Ferburon</t>
  </si>
  <si>
    <t xml:space="preserve">RECKITT BENCKISER PHARMACEUTIC     </t>
  </si>
  <si>
    <t>RECKITT BENCKISER PHARMACEUTIC</t>
  </si>
  <si>
    <t>Linnea</t>
  </si>
  <si>
    <t>ANDREW</t>
  </si>
  <si>
    <t>Mahlatse</t>
  </si>
  <si>
    <t>R stene</t>
  </si>
  <si>
    <t>POD received from cell 0662478807 M</t>
  </si>
  <si>
    <t>N Visagie</t>
  </si>
  <si>
    <t xml:space="preserve">BRITISH AMERICAN TOBACCO SA        </t>
  </si>
  <si>
    <t>BRITISH AMERICAN TOBACCO SA</t>
  </si>
  <si>
    <t xml:space="preserve">bongi                         </t>
  </si>
  <si>
    <t xml:space="preserve">POD received from cell 0751236651 M     </t>
  </si>
  <si>
    <t xml:space="preserve">CROWN CHICKENS (PTY) LTD T A S     </t>
  </si>
  <si>
    <t>CROWN CHICKENS  PTY  LTD T A S</t>
  </si>
  <si>
    <t>lundi</t>
  </si>
  <si>
    <t xml:space="preserve">PREASHNEE GOVENDER                 </t>
  </si>
  <si>
    <t>0113729340</t>
  </si>
  <si>
    <t>lucia</t>
  </si>
  <si>
    <t>POD received from cell 0677145838 M</t>
  </si>
  <si>
    <t xml:space="preserve">PE HYDRAULICS   PNEUMATICS         </t>
  </si>
  <si>
    <t>PE HYDRAULICS   PNEUMATICS</t>
  </si>
  <si>
    <t>prasan</t>
  </si>
  <si>
    <t>J B</t>
  </si>
  <si>
    <t>kutlwano</t>
  </si>
  <si>
    <t xml:space="preserve">TFE SOUTH AFRICA                   </t>
  </si>
  <si>
    <t>TFE SOUTH AFRICA</t>
  </si>
  <si>
    <t>katjeho</t>
  </si>
  <si>
    <t>Cidney</t>
  </si>
  <si>
    <t>phelokazi</t>
  </si>
  <si>
    <t>CHRIS</t>
  </si>
  <si>
    <t>G Coetzee</t>
  </si>
  <si>
    <t xml:space="preserve">SFC SOLUTIONS CLIMATE SOUTH AF     </t>
  </si>
  <si>
    <t>SFC SOLUTIONS CLIMATE SOUTH AF</t>
  </si>
  <si>
    <t>sivuyile</t>
  </si>
  <si>
    <t>XOLA</t>
  </si>
  <si>
    <t>SSM</t>
  </si>
  <si>
    <t>DANELLE</t>
  </si>
  <si>
    <t xml:space="preserve">CROWN CHICKENS T A SOVEREIGHFO     </t>
  </si>
  <si>
    <t>CROWN CHICKENS</t>
  </si>
  <si>
    <t>DICHABA</t>
  </si>
  <si>
    <t>BONGANI</t>
  </si>
  <si>
    <t>ruan</t>
  </si>
  <si>
    <t>basil</t>
  </si>
  <si>
    <t xml:space="preserve">NEWCO INSTRUMENTS CC               </t>
  </si>
  <si>
    <t>NEWCO INSTRUMENTS CC</t>
  </si>
  <si>
    <t>lizel</t>
  </si>
  <si>
    <t>POD received from cell 0794524703 M</t>
  </si>
  <si>
    <t>cazvin</t>
  </si>
  <si>
    <t>E suals</t>
  </si>
  <si>
    <t>SAM</t>
  </si>
  <si>
    <t>0105096219081</t>
  </si>
  <si>
    <t>DANIELSKUIL</t>
  </si>
  <si>
    <t xml:space="preserve">IDWALA INDUSTRIAL HOLDINGS LTD     </t>
  </si>
  <si>
    <t>IDWALA INDUSTRIAL HOLDINGS LTD</t>
  </si>
  <si>
    <t xml:space="preserve">NON FERROUS METAL WORKS S.A        </t>
  </si>
  <si>
    <t>NON FERROUS METAL WORKS S.A</t>
  </si>
  <si>
    <t xml:space="preserve">S.A. LITHO PRINTING   PACK. (S     </t>
  </si>
  <si>
    <t>S.A. LITHO PRINTING   PACK.  S</t>
  </si>
  <si>
    <t>L Elliot</t>
  </si>
  <si>
    <t xml:space="preserve">MED-ENGINEERING (PTY) LTD          </t>
  </si>
  <si>
    <t>MED-ENGINEERING  PTY  LTD</t>
  </si>
  <si>
    <t>Rudi</t>
  </si>
  <si>
    <t xml:space="preserve">DIYA VALVES INTERNATIONAL CC C     </t>
  </si>
  <si>
    <t>DIYA VALVES INTERNATIONAL CC C</t>
  </si>
  <si>
    <t>alaiah</t>
  </si>
  <si>
    <t>POD received from cell 0698085401 M</t>
  </si>
  <si>
    <t xml:space="preserve">AURIELLA PTY LTD                   </t>
  </si>
  <si>
    <t>AURIELLA PTY LTD</t>
  </si>
  <si>
    <t>xolani</t>
  </si>
  <si>
    <t>POD received from cell 0837842726 M</t>
  </si>
  <si>
    <t>KUTLWANO</t>
  </si>
  <si>
    <t xml:space="preserve">ROCBOLT TECHNOLOGIES PTY LTD       </t>
  </si>
  <si>
    <t>ROCBOLT TECHNOLOGIES</t>
  </si>
  <si>
    <t>oorlog</t>
  </si>
  <si>
    <t>SHONEY</t>
  </si>
  <si>
    <t>hugh</t>
  </si>
  <si>
    <t>PHALA</t>
  </si>
  <si>
    <t>PHALABORWA</t>
  </si>
  <si>
    <t xml:space="preserve">PALABORA COPPER (PTY) TD           </t>
  </si>
  <si>
    <t>PALABORA COPPER  PTY  TD</t>
  </si>
  <si>
    <t>loscar</t>
  </si>
  <si>
    <t>POD received from cell 0714955146 M</t>
  </si>
  <si>
    <t xml:space="preserve">IRVIN   JOHNSON LTD PAARDEN EI     </t>
  </si>
  <si>
    <t>IRVIN   JOHNSON LTD PAARDEN EI</t>
  </si>
  <si>
    <t>saban</t>
  </si>
  <si>
    <t xml:space="preserve">DEFY APPLIANCES (PTY) LTD : AT     </t>
  </si>
  <si>
    <t>DEFY APPLIANCES  PTY  LTD   AT</t>
  </si>
  <si>
    <t xml:space="preserve">PAILPAC (PTY) LTD                  </t>
  </si>
  <si>
    <t>PAILPAC  PTY  LTD</t>
  </si>
  <si>
    <t>lamie</t>
  </si>
  <si>
    <t>Randle</t>
  </si>
  <si>
    <t xml:space="preserve">MOVE ANALYTICS CC (FESTO DIREC     </t>
  </si>
  <si>
    <t xml:space="preserve">Paarl Nederburg Wines              </t>
  </si>
  <si>
    <t>RECEIVING</t>
  </si>
  <si>
    <t xml:space="preserve">PRODUCTIVE SYSTEMS CC              </t>
  </si>
  <si>
    <t>PRODUCTIVE SYSTEMS CC</t>
  </si>
  <si>
    <t xml:space="preserve">BEN                           </t>
  </si>
  <si>
    <t xml:space="preserve">ME ELECMETAL PRIMA MANUFACTURI     </t>
  </si>
  <si>
    <t>ME ELECMETAL PRIMA MANUFACTURI</t>
  </si>
  <si>
    <t>meagie</t>
  </si>
  <si>
    <t>GRAHAM</t>
  </si>
  <si>
    <t xml:space="preserve">UNILEVER SOUTH AFRICA PTY NLTD     </t>
  </si>
  <si>
    <t>UNILEVER SOUTH AFRICA</t>
  </si>
  <si>
    <t xml:space="preserve">LION MATCH PRODUCTS (PTY) LTD      </t>
  </si>
  <si>
    <t>LION MATCH PRODUCTS  PTY  LTD</t>
  </si>
  <si>
    <t>JEANY</t>
  </si>
  <si>
    <t>Tallen</t>
  </si>
  <si>
    <t>joseph</t>
  </si>
  <si>
    <t xml:space="preserve">FLEXICON AFRICA PTY                </t>
  </si>
  <si>
    <t>FLEXICON AFRICA PTY</t>
  </si>
  <si>
    <t>maraz</t>
  </si>
  <si>
    <t>hans</t>
  </si>
  <si>
    <t>BLESSING</t>
  </si>
  <si>
    <t>andrues</t>
  </si>
  <si>
    <t>junaid</t>
  </si>
  <si>
    <t xml:space="preserve">TRUDA FOODS (PTY) LTD EPPING I     </t>
  </si>
  <si>
    <t>TRUDA FOODS  PTY  LTD EPPING I</t>
  </si>
  <si>
    <t xml:space="preserve">D Fokazi                      </t>
  </si>
  <si>
    <t>daj</t>
  </si>
  <si>
    <t>RANDB</t>
  </si>
  <si>
    <t>RANDBURG</t>
  </si>
  <si>
    <t xml:space="preserve">DIRECTECH (PTY) LTD                </t>
  </si>
  <si>
    <t>DIRECTECH  PTY  LTD</t>
  </si>
  <si>
    <t>Shadrack</t>
  </si>
  <si>
    <t>POD received from cell 0720457394 M</t>
  </si>
  <si>
    <t>GRV TO FOLLOW</t>
  </si>
  <si>
    <t xml:space="preserve">IMPACT DISTRIBUTORS (PTY) LTD      </t>
  </si>
  <si>
    <t>IMPACT DISTRIBUTORS  PTY  LTDD</t>
  </si>
  <si>
    <t>david</t>
  </si>
  <si>
    <t xml:space="preserve">BIG OR SMALL PROJECTS ENGINEER     </t>
  </si>
  <si>
    <t>BIG OR SMALL PROJECTS ENGINEER</t>
  </si>
  <si>
    <t>0606025924089</t>
  </si>
  <si>
    <t>0084</t>
  </si>
  <si>
    <t>GULTO</t>
  </si>
  <si>
    <t xml:space="preserve">CROWN CHICKENS T A SOVEREIGNFO     </t>
  </si>
  <si>
    <t>CROWN CHICKENS T A SOVEREIGNFO</t>
  </si>
  <si>
    <t>EUTH</t>
  </si>
  <si>
    <t>TENNECO RIDE CONTROL</t>
  </si>
  <si>
    <t>siyagebg</t>
  </si>
  <si>
    <t>andries</t>
  </si>
  <si>
    <t xml:space="preserve">BOWLER PLASTICS (PTY) LTD          </t>
  </si>
  <si>
    <t>BOWLER PLASTICS  PTY  LTD</t>
  </si>
  <si>
    <t>KENNETH</t>
  </si>
  <si>
    <t xml:space="preserve">CTP PRINTERS CAPE TOWN             </t>
  </si>
  <si>
    <t>CTP PRINTERS CAPE TOWN</t>
  </si>
  <si>
    <t>N Africa</t>
  </si>
  <si>
    <t xml:space="preserve">REEF ENGINEERING   MNFG. CO. (     </t>
  </si>
  <si>
    <t>REEF ENGINEERING   MNFG. CO.</t>
  </si>
  <si>
    <t>darlington</t>
  </si>
  <si>
    <t xml:space="preserve">BOX (CON                      </t>
  </si>
  <si>
    <t>TIM</t>
  </si>
  <si>
    <t xml:space="preserve">mary                          </t>
  </si>
  <si>
    <t xml:space="preserve">POD received from cell 0650974645 M     </t>
  </si>
  <si>
    <t>jade</t>
  </si>
  <si>
    <t>sibu</t>
  </si>
  <si>
    <t xml:space="preserve">SAPPI SOUTHERN AFRICA              </t>
  </si>
  <si>
    <t>Charity</t>
  </si>
  <si>
    <t>POD received from cell 0724697510 M</t>
  </si>
  <si>
    <t xml:space="preserve">UNILEVER SOUTH AFRICA              </t>
  </si>
  <si>
    <t>kiven</t>
  </si>
  <si>
    <t>UNILEVER SOUTH AFRICA PTY NLTD</t>
  </si>
  <si>
    <t>y</t>
  </si>
  <si>
    <t>lucky</t>
  </si>
  <si>
    <t xml:space="preserve">EFAMATIC MACHINE TOOLS             </t>
  </si>
  <si>
    <t>EFAMATIC MACHINE TOOLS</t>
  </si>
  <si>
    <t>caum</t>
  </si>
  <si>
    <t xml:space="preserve">SCAW SOUTH AFRICA PTY LTD          </t>
  </si>
  <si>
    <t>SCAW SOUTH AFRICA PTY LTD</t>
  </si>
  <si>
    <t xml:space="preserve">POLYOAK PACKAGING (PTY) LTD KZ     </t>
  </si>
  <si>
    <t>POLYOAK PACKAGING  PTY  LTD KZ</t>
  </si>
  <si>
    <t>nozipho</t>
  </si>
  <si>
    <t xml:space="preserve">MERCEDES BENZ SOUTH AFRICA         </t>
  </si>
  <si>
    <t>MERCEDES BENZ S.A</t>
  </si>
  <si>
    <t>Chaz</t>
  </si>
  <si>
    <t>POD received from cell 0740914769 M</t>
  </si>
  <si>
    <t>Charles</t>
  </si>
  <si>
    <t>POD received from cell 0605970267 M</t>
  </si>
  <si>
    <t>BETHL</t>
  </si>
  <si>
    <t>BETHLEHEM</t>
  </si>
  <si>
    <t xml:space="preserve">BUILD IT                           </t>
  </si>
  <si>
    <t>BUILD IT</t>
  </si>
  <si>
    <t>David</t>
  </si>
  <si>
    <t>POD received from cell 0713010915 M</t>
  </si>
  <si>
    <t xml:space="preserve">TI GROUP AUTOMOTIVE SYSTEMS        </t>
  </si>
  <si>
    <t>TI GROUP AUTOMOTIVE SYSTEMS</t>
  </si>
  <si>
    <t>LLYOYD</t>
  </si>
  <si>
    <t xml:space="preserve">KOPANYE                       </t>
  </si>
  <si>
    <t>Maylee</t>
  </si>
  <si>
    <t xml:space="preserve">BOLT   ENGINEERING DISTRIBUTOR     </t>
  </si>
  <si>
    <t>BOLT   ENGINEERING DISTRIBUTOR</t>
  </si>
  <si>
    <t>GEORG</t>
  </si>
  <si>
    <t>GEORGE</t>
  </si>
  <si>
    <t xml:space="preserve">SANMIK AGENCIES CC                 </t>
  </si>
  <si>
    <t>SANMIK AGENCIES CC</t>
  </si>
  <si>
    <t>CLIVE</t>
  </si>
  <si>
    <t xml:space="preserve">CONSOLIDATED WIRE INDUSTRIES (     </t>
  </si>
  <si>
    <t>CONSOLIDATED WIRE INDUSTRIES</t>
  </si>
  <si>
    <t>Incorrect route allocation</t>
  </si>
  <si>
    <t xml:space="preserve">Verona                        </t>
  </si>
  <si>
    <t xml:space="preserve">POD received from cell 0625489709 M     </t>
  </si>
  <si>
    <t>smith</t>
  </si>
  <si>
    <t>Company Closed</t>
  </si>
  <si>
    <t xml:space="preserve">FLTER                         </t>
  </si>
  <si>
    <t xml:space="preserve">DLYER                         </t>
  </si>
  <si>
    <t>naphtha</t>
  </si>
  <si>
    <t xml:space="preserve">GM Voogt                           </t>
  </si>
  <si>
    <t>Sonette Greeff</t>
  </si>
  <si>
    <t>Xolani Thobela</t>
  </si>
  <si>
    <t xml:space="preserve">S4 Integration                     </t>
  </si>
  <si>
    <t>Greg Allen</t>
  </si>
  <si>
    <t xml:space="preserve">Supplyrite                         </t>
  </si>
  <si>
    <t>Danae</t>
  </si>
  <si>
    <t xml:space="preserve">New Pneumatics                     </t>
  </si>
  <si>
    <t>George</t>
  </si>
  <si>
    <t xml:space="preserve">FAURECIA EMISIONS CONTROL TECH     </t>
  </si>
  <si>
    <t>FAURECIA EMISIONS CONTROL TECH</t>
  </si>
  <si>
    <t>eshaam</t>
  </si>
  <si>
    <t>annette</t>
  </si>
  <si>
    <t>Clement</t>
  </si>
  <si>
    <t>clinton</t>
  </si>
  <si>
    <t>Returned to sender on waybill</t>
  </si>
  <si>
    <t>Returned to sender on waybill number R08</t>
  </si>
  <si>
    <t xml:space="preserve">CRYOGENIC AND INDUSTRIAL GAS C     </t>
  </si>
  <si>
    <t>CRYOGENIC AND INDUSTRIAL GAS C</t>
  </si>
  <si>
    <t xml:space="preserve">PAILPAC (PTY) LTD NORTHDENE        </t>
  </si>
  <si>
    <t>PAILPAC  PTY  LTD NORTHDENE</t>
  </si>
  <si>
    <t>israel</t>
  </si>
  <si>
    <t>POD received from cell 0737880648 M</t>
  </si>
  <si>
    <t>hugda</t>
  </si>
  <si>
    <t>SWELL</t>
  </si>
  <si>
    <t>SWELLENDAM</t>
  </si>
  <si>
    <t xml:space="preserve">AUTOMATION WORKS CAPE PTY LTD      </t>
  </si>
  <si>
    <t>AUTOMATION WORKS CAPE PTY LTD</t>
  </si>
  <si>
    <t xml:space="preserve">RESRG AUTOMATIVE ZA (PTY) LTD      </t>
  </si>
  <si>
    <t>RESRG AUTOMATIVE ZA  PTY  LTD</t>
  </si>
  <si>
    <t>lubabalo</t>
  </si>
  <si>
    <t>doc / DOC / FUE / INS</t>
  </si>
  <si>
    <t>FES CUST 20251204 52 - BACK TO CUSTOMER</t>
  </si>
  <si>
    <t>FES CUST 20251204 53 - BACK TO CUSTOMER</t>
  </si>
  <si>
    <t>Returned to sender on waybill number RR0</t>
  </si>
  <si>
    <t>J STEYN</t>
  </si>
  <si>
    <t xml:space="preserve">KULULA TECHNOLOGIES CC             </t>
  </si>
  <si>
    <t>KULULA TECHNOLOGIES CC</t>
  </si>
  <si>
    <t xml:space="preserve">THE SOUTH AFRICA BREWERIES LTD     </t>
  </si>
  <si>
    <t>THE SOUTH AFRICA BREWERIES LTD</t>
  </si>
  <si>
    <t xml:space="preserve">LEDA ENGINEERING SERVICES CC       </t>
  </si>
  <si>
    <t>LEDA ENGINEERING SERVICES CC</t>
  </si>
  <si>
    <t>ansel</t>
  </si>
  <si>
    <t xml:space="preserve">MICROMATH TRADING 168 T A PROT     </t>
  </si>
  <si>
    <t>MICROMATH TRADING 168 T A PROT</t>
  </si>
  <si>
    <t xml:space="preserve">CAVALETTO 98 (PTY) LTD T A PRO     </t>
  </si>
  <si>
    <t>CAVALETTO 98  PTY  LTD T A PRO</t>
  </si>
  <si>
    <t xml:space="preserve">SHIFT-ID (PTY) LTD FALCON PARK     </t>
  </si>
  <si>
    <t>SHIFT-ID  PTY  LTD FALCON PARK</t>
  </si>
  <si>
    <t>Penny</t>
  </si>
  <si>
    <t xml:space="preserve">LYCOPODIUM WAREHOUSE CITY DEEP     </t>
  </si>
  <si>
    <t>LYCOPODIUM WAREHOUSE CITY DEEP</t>
  </si>
  <si>
    <t>HYDROMATIC</t>
  </si>
  <si>
    <t xml:space="preserve">SMITHS MANUFACTURING               </t>
  </si>
  <si>
    <t>SMITHS MANUFACTURING</t>
  </si>
  <si>
    <t>VRED3</t>
  </si>
  <si>
    <t>VREDENBURG</t>
  </si>
  <si>
    <t xml:space="preserve">TRONOX MINERAL SANDS (PTY) LTD     </t>
  </si>
  <si>
    <t>TRONOX MINERAL SANDS  PTY  LTD</t>
  </si>
  <si>
    <t>GREYT</t>
  </si>
  <si>
    <t>GREYTOWN</t>
  </si>
  <si>
    <t xml:space="preserve">ILLOVO SUGAR SOUTH AFRICA DALT     </t>
  </si>
  <si>
    <t>ILLOVO SUGAR SOUTH AFRICA DALT</t>
  </si>
  <si>
    <t xml:space="preserve">TONGAAT HULLETTS GROUP             </t>
  </si>
  <si>
    <t>TONGAAT HULLETTS GROUP</t>
  </si>
  <si>
    <t xml:space="preserve">CIRCUIT BREAKER INDUSTRIES (PT     </t>
  </si>
  <si>
    <t>CIRCUIT BREAKER INDUSTRIES  PT</t>
  </si>
  <si>
    <t xml:space="preserve">SOUTH AFRICAN BUREAU OF STANDA     </t>
  </si>
  <si>
    <t>SOUTH AFRICAN BUREAU OF STANDA</t>
  </si>
  <si>
    <t>0181</t>
  </si>
  <si>
    <t xml:space="preserve">CATER CHAIN FOOD SERVICES          </t>
  </si>
  <si>
    <t>CATER CHAIN FOOD SERVICES</t>
  </si>
  <si>
    <t>PIET2</t>
  </si>
  <si>
    <t>PIETERSBURG</t>
  </si>
  <si>
    <t>0700</t>
  </si>
  <si>
    <t xml:space="preserve">YANFENG PLASTIC OMNIUM SA AUTO     </t>
  </si>
  <si>
    <t>YANFENG PLASTIC OMNIUM SA AUTO</t>
  </si>
  <si>
    <t xml:space="preserve">Truda Foods                        </t>
  </si>
  <si>
    <t>Kelebogile Moeketsi</t>
  </si>
  <si>
    <t xml:space="preserve">GRW COMMERCIALS (PTY) LTD T A      </t>
  </si>
  <si>
    <t>GRW COMMERCIALS  PTY  LTD T A</t>
  </si>
  <si>
    <t xml:space="preserve">SA BULLET RESISTANT GLASS CC       </t>
  </si>
  <si>
    <t>SA BULLET RESISTANT GLASS CC</t>
  </si>
  <si>
    <t xml:space="preserve">BAY AUTOMATION (PTY) LTD WILLO     </t>
  </si>
  <si>
    <t>BAY AUTOMATION  PTY  LTD  WILL</t>
  </si>
  <si>
    <t>ISITH</t>
  </si>
  <si>
    <t>ISITHEBE</t>
  </si>
  <si>
    <t xml:space="preserve">KIC SA PTY LTD                     </t>
  </si>
  <si>
    <t>KIC SA PTY LTD</t>
  </si>
  <si>
    <t xml:space="preserve">ACDC DYNAMICS CC                   </t>
  </si>
  <si>
    <t>ACDC DYNAMICS CC</t>
  </si>
  <si>
    <t>RFG FOODS  PTY  LTD</t>
  </si>
  <si>
    <t xml:space="preserve">OCEAN LEGACY MARINE ENGINEERIN     </t>
  </si>
  <si>
    <t>OCEAN LEGACY MARINE ENGINEERIN</t>
  </si>
  <si>
    <t xml:space="preserve">SNEAKER SNACKS CC                  </t>
  </si>
  <si>
    <t>SNEAKER SNACKS CC</t>
  </si>
  <si>
    <t xml:space="preserve">SAINT-GOBAIN CIONSTRUCTION PRO     </t>
  </si>
  <si>
    <t>SAINT-GOBAIN CIONSTRUCTION PRO</t>
  </si>
  <si>
    <t xml:space="preserve">CONRO PRECISION                    </t>
  </si>
  <si>
    <t>CONRO PRECISION</t>
  </si>
  <si>
    <t>Darrian</t>
  </si>
  <si>
    <t>POD received from cell 0785995125 M</t>
  </si>
  <si>
    <t>ESTCO</t>
  </si>
  <si>
    <t>ESTCOURT</t>
  </si>
  <si>
    <t xml:space="preserve">NESTLE SOUTH AFRICA                </t>
  </si>
  <si>
    <t>NESTLE 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</si>
</sst>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72025-35E2-4A22-A364-0A018A4456F4}">
  <dimension ref="A1:CN888"/>
  <sheetViews>
    <sheetView tabSelected="1" topLeftCell="A878" workbookViewId="0">
      <selection activeCell="A889" sqref="A889:XFD1203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"080069573630"</f>
        <v>080069573630</v>
      </c>
      <c r="F2" s="3">
        <v>45992</v>
      </c>
      <c r="G2">
        <v>202609</v>
      </c>
      <c r="H2" t="s">
        <v>75</v>
      </c>
      <c r="I2" t="s">
        <v>76</v>
      </c>
      <c r="J2" t="s">
        <v>77</v>
      </c>
      <c r="K2" t="s">
        <v>78</v>
      </c>
      <c r="L2" t="s">
        <v>75</v>
      </c>
      <c r="M2" t="s">
        <v>76</v>
      </c>
      <c r="N2" t="s">
        <v>79</v>
      </c>
      <c r="O2" t="s">
        <v>80</v>
      </c>
      <c r="P2" t="str">
        <f>"4170071069                    "</f>
        <v xml:space="preserve">4170071069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66.099999999999994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2</v>
      </c>
      <c r="BI2">
        <v>28</v>
      </c>
      <c r="BJ2">
        <v>48.6</v>
      </c>
      <c r="BK2">
        <v>49</v>
      </c>
      <c r="BL2">
        <v>222.42</v>
      </c>
      <c r="BM2">
        <v>33.36</v>
      </c>
      <c r="BN2">
        <v>255.78</v>
      </c>
      <c r="BO2">
        <v>255.78</v>
      </c>
      <c r="BQ2" t="s">
        <v>81</v>
      </c>
      <c r="BR2" t="s">
        <v>82</v>
      </c>
      <c r="BS2" s="3">
        <v>45993</v>
      </c>
      <c r="BT2" s="4">
        <v>0.4375</v>
      </c>
      <c r="BU2" t="s">
        <v>83</v>
      </c>
      <c r="BV2" t="s">
        <v>84</v>
      </c>
      <c r="BY2">
        <v>242880</v>
      </c>
      <c r="CA2" t="s">
        <v>85</v>
      </c>
      <c r="CC2" t="s">
        <v>76</v>
      </c>
      <c r="CD2">
        <v>1619</v>
      </c>
      <c r="CE2" t="s">
        <v>86</v>
      </c>
      <c r="CF2" s="3">
        <v>45994</v>
      </c>
      <c r="CI2">
        <v>1</v>
      </c>
      <c r="CJ2">
        <v>1</v>
      </c>
      <c r="CK2">
        <v>42</v>
      </c>
      <c r="CL2" t="s">
        <v>87</v>
      </c>
    </row>
    <row r="3" spans="1:92" x14ac:dyDescent="0.3">
      <c r="A3" t="s">
        <v>72</v>
      </c>
      <c r="B3" t="s">
        <v>73</v>
      </c>
      <c r="C3" t="s">
        <v>74</v>
      </c>
      <c r="E3" t="str">
        <f>"080069573306"</f>
        <v>080069573306</v>
      </c>
      <c r="F3" s="3">
        <v>45992</v>
      </c>
      <c r="G3">
        <v>202609</v>
      </c>
      <c r="H3" t="s">
        <v>75</v>
      </c>
      <c r="I3" t="s">
        <v>76</v>
      </c>
      <c r="J3" t="s">
        <v>77</v>
      </c>
      <c r="K3" t="s">
        <v>78</v>
      </c>
      <c r="L3" t="s">
        <v>75</v>
      </c>
      <c r="M3" t="s">
        <v>76</v>
      </c>
      <c r="N3" t="s">
        <v>88</v>
      </c>
      <c r="O3" t="s">
        <v>89</v>
      </c>
      <c r="P3" t="str">
        <f>"4170071177                    "</f>
        <v xml:space="preserve">4170071177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17.37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1</v>
      </c>
      <c r="BJ3">
        <v>1.7</v>
      </c>
      <c r="BK3">
        <v>2</v>
      </c>
      <c r="BL3">
        <v>56.85</v>
      </c>
      <c r="BM3">
        <v>8.5299999999999994</v>
      </c>
      <c r="BN3">
        <v>65.38</v>
      </c>
      <c r="BO3">
        <v>65.38</v>
      </c>
      <c r="BQ3" t="s">
        <v>90</v>
      </c>
      <c r="BR3" t="s">
        <v>82</v>
      </c>
      <c r="BS3" s="3">
        <v>45993</v>
      </c>
      <c r="BT3" s="4">
        <v>0.29166666666666669</v>
      </c>
      <c r="BU3" t="s">
        <v>91</v>
      </c>
      <c r="BV3" t="s">
        <v>84</v>
      </c>
      <c r="BY3">
        <v>8496</v>
      </c>
      <c r="CA3" t="s">
        <v>92</v>
      </c>
      <c r="CC3" t="s">
        <v>76</v>
      </c>
      <c r="CD3">
        <v>1600</v>
      </c>
      <c r="CE3" t="s">
        <v>93</v>
      </c>
      <c r="CF3" s="3">
        <v>45994</v>
      </c>
      <c r="CI3">
        <v>1</v>
      </c>
      <c r="CJ3">
        <v>1</v>
      </c>
      <c r="CK3">
        <v>22</v>
      </c>
      <c r="CL3" t="s">
        <v>87</v>
      </c>
    </row>
    <row r="4" spans="1:92" x14ac:dyDescent="0.3">
      <c r="A4" t="s">
        <v>72</v>
      </c>
      <c r="B4" t="s">
        <v>73</v>
      </c>
      <c r="C4" t="s">
        <v>74</v>
      </c>
      <c r="E4" t="str">
        <f>"080069573428"</f>
        <v>080069573428</v>
      </c>
      <c r="F4" s="3">
        <v>45992</v>
      </c>
      <c r="G4">
        <v>202609</v>
      </c>
      <c r="H4" t="s">
        <v>75</v>
      </c>
      <c r="I4" t="s">
        <v>76</v>
      </c>
      <c r="J4" t="s">
        <v>77</v>
      </c>
      <c r="K4" t="s">
        <v>78</v>
      </c>
      <c r="L4" t="s">
        <v>94</v>
      </c>
      <c r="M4" t="s">
        <v>95</v>
      </c>
      <c r="N4" t="s">
        <v>96</v>
      </c>
      <c r="O4" t="s">
        <v>89</v>
      </c>
      <c r="P4" t="str">
        <f>"4170071167                    "</f>
        <v xml:space="preserve">4170071167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22.24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1.8</v>
      </c>
      <c r="BK4">
        <v>2</v>
      </c>
      <c r="BL4">
        <v>72.78</v>
      </c>
      <c r="BM4">
        <v>10.92</v>
      </c>
      <c r="BN4">
        <v>83.7</v>
      </c>
      <c r="BO4">
        <v>83.7</v>
      </c>
      <c r="BQ4" t="s">
        <v>97</v>
      </c>
      <c r="BR4" t="s">
        <v>82</v>
      </c>
      <c r="BS4" s="3">
        <v>45993</v>
      </c>
      <c r="BT4" s="4">
        <v>0.39097222222222222</v>
      </c>
      <c r="BU4" t="s">
        <v>98</v>
      </c>
      <c r="BV4" t="s">
        <v>84</v>
      </c>
      <c r="BY4">
        <v>8816</v>
      </c>
      <c r="CA4" t="s">
        <v>99</v>
      </c>
      <c r="CC4" t="s">
        <v>95</v>
      </c>
      <c r="CD4">
        <v>3610</v>
      </c>
      <c r="CE4" t="s">
        <v>86</v>
      </c>
      <c r="CF4" s="3">
        <v>45993</v>
      </c>
      <c r="CI4">
        <v>1</v>
      </c>
      <c r="CJ4">
        <v>1</v>
      </c>
      <c r="CK4">
        <v>21</v>
      </c>
      <c r="CL4" t="s">
        <v>87</v>
      </c>
    </row>
    <row r="5" spans="1:92" x14ac:dyDescent="0.3">
      <c r="A5" t="s">
        <v>72</v>
      </c>
      <c r="B5" t="s">
        <v>73</v>
      </c>
      <c r="C5" t="s">
        <v>74</v>
      </c>
      <c r="E5" t="str">
        <f>"080069573972"</f>
        <v>080069573972</v>
      </c>
      <c r="F5" s="3">
        <v>45992</v>
      </c>
      <c r="G5">
        <v>202609</v>
      </c>
      <c r="H5" t="s">
        <v>75</v>
      </c>
      <c r="I5" t="s">
        <v>76</v>
      </c>
      <c r="J5" t="s">
        <v>77</v>
      </c>
      <c r="K5" t="s">
        <v>78</v>
      </c>
      <c r="L5" t="s">
        <v>100</v>
      </c>
      <c r="M5" t="s">
        <v>101</v>
      </c>
      <c r="N5" t="s">
        <v>102</v>
      </c>
      <c r="O5" t="s">
        <v>80</v>
      </c>
      <c r="P5" t="str">
        <f>"4170071268                    "</f>
        <v xml:space="preserve">4170071268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46.56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17</v>
      </c>
      <c r="BJ5">
        <v>16.899999999999999</v>
      </c>
      <c r="BK5">
        <v>17</v>
      </c>
      <c r="BL5">
        <v>158.47999999999999</v>
      </c>
      <c r="BM5">
        <v>23.77</v>
      </c>
      <c r="BN5">
        <v>182.25</v>
      </c>
      <c r="BO5">
        <v>182.25</v>
      </c>
      <c r="BQ5" t="s">
        <v>103</v>
      </c>
      <c r="BR5" t="s">
        <v>82</v>
      </c>
      <c r="BS5" s="3">
        <v>45994</v>
      </c>
      <c r="BT5" s="4">
        <v>0.33819444444444446</v>
      </c>
      <c r="BU5" t="s">
        <v>104</v>
      </c>
      <c r="BV5" t="s">
        <v>87</v>
      </c>
      <c r="BW5" t="s">
        <v>105</v>
      </c>
      <c r="BX5" t="s">
        <v>106</v>
      </c>
      <c r="BY5">
        <v>84700</v>
      </c>
      <c r="CA5" t="s">
        <v>107</v>
      </c>
      <c r="CC5" t="s">
        <v>101</v>
      </c>
      <c r="CD5">
        <v>4051</v>
      </c>
      <c r="CE5" t="s">
        <v>108</v>
      </c>
      <c r="CF5" s="3">
        <v>45994</v>
      </c>
      <c r="CI5">
        <v>1</v>
      </c>
      <c r="CJ5">
        <v>2</v>
      </c>
      <c r="CK5">
        <v>41</v>
      </c>
      <c r="CL5" t="s">
        <v>87</v>
      </c>
    </row>
    <row r="6" spans="1:92" x14ac:dyDescent="0.3">
      <c r="A6" t="s">
        <v>72</v>
      </c>
      <c r="B6" t="s">
        <v>73</v>
      </c>
      <c r="C6" t="s">
        <v>74</v>
      </c>
      <c r="E6" t="str">
        <f>"080069574037"</f>
        <v>080069574037</v>
      </c>
      <c r="F6" s="3">
        <v>45992</v>
      </c>
      <c r="G6">
        <v>202609</v>
      </c>
      <c r="H6" t="s">
        <v>75</v>
      </c>
      <c r="I6" t="s">
        <v>76</v>
      </c>
      <c r="J6" t="s">
        <v>77</v>
      </c>
      <c r="K6" t="s">
        <v>78</v>
      </c>
      <c r="L6" t="s">
        <v>109</v>
      </c>
      <c r="M6" t="s">
        <v>110</v>
      </c>
      <c r="N6" t="s">
        <v>111</v>
      </c>
      <c r="O6" t="s">
        <v>89</v>
      </c>
      <c r="P6" t="str">
        <f>"4170071198                    "</f>
        <v xml:space="preserve">4170071198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31.28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2</v>
      </c>
      <c r="BJ6">
        <v>1.4</v>
      </c>
      <c r="BK6">
        <v>2</v>
      </c>
      <c r="BL6">
        <v>102.36</v>
      </c>
      <c r="BM6">
        <v>15.35</v>
      </c>
      <c r="BN6">
        <v>117.71</v>
      </c>
      <c r="BO6">
        <v>117.71</v>
      </c>
      <c r="BQ6" t="s">
        <v>112</v>
      </c>
      <c r="BR6" t="s">
        <v>82</v>
      </c>
      <c r="BS6" s="3">
        <v>45993</v>
      </c>
      <c r="BT6" s="4">
        <v>0.44305555555555554</v>
      </c>
      <c r="BU6" t="s">
        <v>113</v>
      </c>
      <c r="BV6" t="s">
        <v>84</v>
      </c>
      <c r="BY6">
        <v>7000</v>
      </c>
      <c r="CC6" t="s">
        <v>110</v>
      </c>
      <c r="CD6">
        <v>1748</v>
      </c>
      <c r="CE6" t="s">
        <v>86</v>
      </c>
      <c r="CF6" s="3">
        <v>45994</v>
      </c>
      <c r="CI6">
        <v>1</v>
      </c>
      <c r="CJ6">
        <v>1</v>
      </c>
      <c r="CK6">
        <v>24</v>
      </c>
      <c r="CL6" t="s">
        <v>87</v>
      </c>
    </row>
    <row r="7" spans="1:92" x14ac:dyDescent="0.3">
      <c r="A7" t="s">
        <v>72</v>
      </c>
      <c r="B7" t="s">
        <v>73</v>
      </c>
      <c r="C7" t="s">
        <v>74</v>
      </c>
      <c r="E7" t="str">
        <f>"080069574097"</f>
        <v>080069574097</v>
      </c>
      <c r="F7" s="3">
        <v>45992</v>
      </c>
      <c r="G7">
        <v>202609</v>
      </c>
      <c r="H7" t="s">
        <v>75</v>
      </c>
      <c r="I7" t="s">
        <v>76</v>
      </c>
      <c r="J7" t="s">
        <v>77</v>
      </c>
      <c r="K7" t="s">
        <v>78</v>
      </c>
      <c r="L7" t="s">
        <v>114</v>
      </c>
      <c r="M7" t="s">
        <v>115</v>
      </c>
      <c r="N7" t="s">
        <v>116</v>
      </c>
      <c r="O7" t="s">
        <v>89</v>
      </c>
      <c r="P7" t="str">
        <f>"4170071297                    "</f>
        <v xml:space="preserve">4170071297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43.09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2</v>
      </c>
      <c r="BJ7">
        <v>0.7</v>
      </c>
      <c r="BK7">
        <v>2</v>
      </c>
      <c r="BL7">
        <v>141.02000000000001</v>
      </c>
      <c r="BM7">
        <v>21.15</v>
      </c>
      <c r="BN7">
        <v>162.16999999999999</v>
      </c>
      <c r="BO7">
        <v>162.16999999999999</v>
      </c>
      <c r="BQ7" t="s">
        <v>117</v>
      </c>
      <c r="BR7" t="s">
        <v>82</v>
      </c>
      <c r="BS7" s="3">
        <v>45994</v>
      </c>
      <c r="BT7" s="4">
        <v>0.64236111111111116</v>
      </c>
      <c r="BU7" t="s">
        <v>118</v>
      </c>
      <c r="BV7" t="s">
        <v>84</v>
      </c>
      <c r="BY7">
        <v>3306</v>
      </c>
      <c r="CA7" t="s">
        <v>119</v>
      </c>
      <c r="CC7" t="s">
        <v>115</v>
      </c>
      <c r="CD7">
        <v>6715</v>
      </c>
      <c r="CE7" t="s">
        <v>86</v>
      </c>
      <c r="CF7" s="3">
        <v>45995</v>
      </c>
      <c r="CI7">
        <v>2</v>
      </c>
      <c r="CJ7">
        <v>2</v>
      </c>
      <c r="CK7">
        <v>23</v>
      </c>
      <c r="CL7" t="s">
        <v>87</v>
      </c>
    </row>
    <row r="8" spans="1:92" x14ac:dyDescent="0.3">
      <c r="A8" t="s">
        <v>72</v>
      </c>
      <c r="B8" t="s">
        <v>73</v>
      </c>
      <c r="C8" t="s">
        <v>74</v>
      </c>
      <c r="E8" t="str">
        <f>"080069574157"</f>
        <v>080069574157</v>
      </c>
      <c r="F8" s="3">
        <v>45992</v>
      </c>
      <c r="G8">
        <v>202609</v>
      </c>
      <c r="H8" t="s">
        <v>75</v>
      </c>
      <c r="I8" t="s">
        <v>76</v>
      </c>
      <c r="J8" t="s">
        <v>77</v>
      </c>
      <c r="K8" t="s">
        <v>78</v>
      </c>
      <c r="L8" t="s">
        <v>120</v>
      </c>
      <c r="M8" t="s">
        <v>121</v>
      </c>
      <c r="N8" t="s">
        <v>122</v>
      </c>
      <c r="O8" t="s">
        <v>89</v>
      </c>
      <c r="P8" t="str">
        <f>"4170071096                    "</f>
        <v xml:space="preserve">4170071096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22.24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</v>
      </c>
      <c r="BJ8">
        <v>0.2</v>
      </c>
      <c r="BK8">
        <v>1</v>
      </c>
      <c r="BL8">
        <v>72.78</v>
      </c>
      <c r="BM8">
        <v>10.92</v>
      </c>
      <c r="BN8">
        <v>83.7</v>
      </c>
      <c r="BO8">
        <v>83.7</v>
      </c>
      <c r="BQ8" t="s">
        <v>123</v>
      </c>
      <c r="BR8" t="s">
        <v>82</v>
      </c>
      <c r="BS8" s="3">
        <v>45993</v>
      </c>
      <c r="BT8" s="4">
        <v>0.43125000000000002</v>
      </c>
      <c r="BU8" t="s">
        <v>124</v>
      </c>
      <c r="BV8" t="s">
        <v>84</v>
      </c>
      <c r="BY8">
        <v>1200</v>
      </c>
      <c r="BZ8" t="s">
        <v>125</v>
      </c>
      <c r="CA8" t="s">
        <v>126</v>
      </c>
      <c r="CC8" t="s">
        <v>121</v>
      </c>
      <c r="CD8">
        <v>6230</v>
      </c>
      <c r="CE8" t="s">
        <v>127</v>
      </c>
      <c r="CF8" s="3">
        <v>45993</v>
      </c>
      <c r="CI8">
        <v>1</v>
      </c>
      <c r="CJ8">
        <v>1</v>
      </c>
      <c r="CK8">
        <v>21</v>
      </c>
      <c r="CL8" t="s">
        <v>87</v>
      </c>
    </row>
    <row r="9" spans="1:92" x14ac:dyDescent="0.3">
      <c r="A9" t="s">
        <v>72</v>
      </c>
      <c r="B9" t="s">
        <v>73</v>
      </c>
      <c r="C9" t="s">
        <v>74</v>
      </c>
      <c r="E9" t="str">
        <f>"080069574289"</f>
        <v>080069574289</v>
      </c>
      <c r="F9" s="3">
        <v>45992</v>
      </c>
      <c r="G9">
        <v>202609</v>
      </c>
      <c r="H9" t="s">
        <v>75</v>
      </c>
      <c r="I9" t="s">
        <v>76</v>
      </c>
      <c r="J9" t="s">
        <v>77</v>
      </c>
      <c r="K9" t="s">
        <v>78</v>
      </c>
      <c r="L9" t="s">
        <v>128</v>
      </c>
      <c r="M9" t="s">
        <v>129</v>
      </c>
      <c r="N9" t="s">
        <v>130</v>
      </c>
      <c r="O9" t="s">
        <v>89</v>
      </c>
      <c r="P9" t="str">
        <f>"4170071174                    "</f>
        <v xml:space="preserve">4170071174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22.24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0.2</v>
      </c>
      <c r="BK9">
        <v>1</v>
      </c>
      <c r="BL9">
        <v>72.78</v>
      </c>
      <c r="BM9">
        <v>10.92</v>
      </c>
      <c r="BN9">
        <v>83.7</v>
      </c>
      <c r="BO9">
        <v>83.7</v>
      </c>
      <c r="BQ9" t="s">
        <v>131</v>
      </c>
      <c r="BR9" t="s">
        <v>82</v>
      </c>
      <c r="BS9" s="3">
        <v>45994</v>
      </c>
      <c r="BT9" s="4">
        <v>0.67361111111111116</v>
      </c>
      <c r="BU9" t="s">
        <v>132</v>
      </c>
      <c r="BV9" t="s">
        <v>84</v>
      </c>
      <c r="BY9">
        <v>1200</v>
      </c>
      <c r="CA9" t="s">
        <v>133</v>
      </c>
      <c r="CC9" t="s">
        <v>129</v>
      </c>
      <c r="CD9">
        <v>5201</v>
      </c>
      <c r="CE9" t="s">
        <v>134</v>
      </c>
      <c r="CF9" s="3">
        <v>45995</v>
      </c>
      <c r="CI9">
        <v>5</v>
      </c>
      <c r="CJ9">
        <v>2</v>
      </c>
      <c r="CK9">
        <v>21</v>
      </c>
      <c r="CL9" t="s">
        <v>87</v>
      </c>
    </row>
    <row r="10" spans="1:92" x14ac:dyDescent="0.3">
      <c r="A10" t="s">
        <v>72</v>
      </c>
      <c r="B10" t="s">
        <v>73</v>
      </c>
      <c r="C10" t="s">
        <v>74</v>
      </c>
      <c r="E10" t="str">
        <f>"080069574280"</f>
        <v>080069574280</v>
      </c>
      <c r="F10" s="3">
        <v>45992</v>
      </c>
      <c r="G10">
        <v>202609</v>
      </c>
      <c r="H10" t="s">
        <v>75</v>
      </c>
      <c r="I10" t="s">
        <v>76</v>
      </c>
      <c r="J10" t="s">
        <v>77</v>
      </c>
      <c r="K10" t="s">
        <v>78</v>
      </c>
      <c r="L10" t="s">
        <v>135</v>
      </c>
      <c r="M10" t="s">
        <v>136</v>
      </c>
      <c r="N10" t="s">
        <v>137</v>
      </c>
      <c r="O10" t="s">
        <v>89</v>
      </c>
      <c r="P10" t="str">
        <f>"4170071274                    "</f>
        <v xml:space="preserve">4170071274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43.09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2</v>
      </c>
      <c r="BI10">
        <v>2</v>
      </c>
      <c r="BJ10">
        <v>1.1000000000000001</v>
      </c>
      <c r="BK10">
        <v>2</v>
      </c>
      <c r="BL10">
        <v>141.02000000000001</v>
      </c>
      <c r="BM10">
        <v>21.15</v>
      </c>
      <c r="BN10">
        <v>162.16999999999999</v>
      </c>
      <c r="BO10">
        <v>162.16999999999999</v>
      </c>
      <c r="BQ10" t="s">
        <v>138</v>
      </c>
      <c r="BR10" t="s">
        <v>82</v>
      </c>
      <c r="BS10" s="3">
        <v>45993</v>
      </c>
      <c r="BT10" s="4">
        <v>0.46041666666666664</v>
      </c>
      <c r="BU10" t="s">
        <v>139</v>
      </c>
      <c r="BV10" t="s">
        <v>84</v>
      </c>
      <c r="BY10">
        <v>5700</v>
      </c>
      <c r="CA10" t="s">
        <v>140</v>
      </c>
      <c r="CC10" t="s">
        <v>136</v>
      </c>
      <c r="CD10">
        <v>7110</v>
      </c>
      <c r="CE10" t="s">
        <v>134</v>
      </c>
      <c r="CF10" s="3">
        <v>45994</v>
      </c>
      <c r="CI10">
        <v>1</v>
      </c>
      <c r="CJ10">
        <v>1</v>
      </c>
      <c r="CK10">
        <v>23</v>
      </c>
      <c r="CL10" t="s">
        <v>87</v>
      </c>
    </row>
    <row r="11" spans="1:92" x14ac:dyDescent="0.3">
      <c r="A11" t="s">
        <v>72</v>
      </c>
      <c r="B11" t="s">
        <v>73</v>
      </c>
      <c r="C11" t="s">
        <v>74</v>
      </c>
      <c r="E11" t="str">
        <f>"080069574337"</f>
        <v>080069574337</v>
      </c>
      <c r="F11" s="3">
        <v>45992</v>
      </c>
      <c r="G11">
        <v>202609</v>
      </c>
      <c r="H11" t="s">
        <v>75</v>
      </c>
      <c r="I11" t="s">
        <v>76</v>
      </c>
      <c r="J11" t="s">
        <v>77</v>
      </c>
      <c r="K11" t="s">
        <v>78</v>
      </c>
      <c r="L11" t="s">
        <v>141</v>
      </c>
      <c r="M11" t="s">
        <v>142</v>
      </c>
      <c r="N11" t="s">
        <v>143</v>
      </c>
      <c r="O11" t="s">
        <v>89</v>
      </c>
      <c r="P11" t="str">
        <f>"4170071200                    "</f>
        <v xml:space="preserve">4170071200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38.909999999999997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2</v>
      </c>
      <c r="BJ11">
        <v>3.4</v>
      </c>
      <c r="BK11">
        <v>3.5</v>
      </c>
      <c r="BL11">
        <v>127.34</v>
      </c>
      <c r="BM11">
        <v>19.100000000000001</v>
      </c>
      <c r="BN11">
        <v>146.44</v>
      </c>
      <c r="BO11">
        <v>146.44</v>
      </c>
      <c r="BQ11" t="s">
        <v>144</v>
      </c>
      <c r="BR11" t="s">
        <v>82</v>
      </c>
      <c r="BS11" s="3">
        <v>45993</v>
      </c>
      <c r="BT11" s="4">
        <v>0.43194444444444446</v>
      </c>
      <c r="BU11" t="s">
        <v>145</v>
      </c>
      <c r="BV11" t="s">
        <v>84</v>
      </c>
      <c r="BY11">
        <v>16965</v>
      </c>
      <c r="BZ11" t="s">
        <v>125</v>
      </c>
      <c r="CA11" t="s">
        <v>146</v>
      </c>
      <c r="CC11" t="s">
        <v>142</v>
      </c>
      <c r="CD11">
        <v>6001</v>
      </c>
      <c r="CE11" t="s">
        <v>147</v>
      </c>
      <c r="CF11" s="3">
        <v>45993</v>
      </c>
      <c r="CI11">
        <v>1</v>
      </c>
      <c r="CJ11">
        <v>1</v>
      </c>
      <c r="CK11">
        <v>21</v>
      </c>
      <c r="CL11" t="s">
        <v>87</v>
      </c>
    </row>
    <row r="12" spans="1:92" x14ac:dyDescent="0.3">
      <c r="A12" t="s">
        <v>72</v>
      </c>
      <c r="B12" t="s">
        <v>73</v>
      </c>
      <c r="C12" t="s">
        <v>74</v>
      </c>
      <c r="E12" t="str">
        <f>"080069575138"</f>
        <v>080069575138</v>
      </c>
      <c r="F12" s="3">
        <v>45992</v>
      </c>
      <c r="G12">
        <v>202609</v>
      </c>
      <c r="H12" t="s">
        <v>75</v>
      </c>
      <c r="I12" t="s">
        <v>76</v>
      </c>
      <c r="J12" t="s">
        <v>77</v>
      </c>
      <c r="K12" t="s">
        <v>78</v>
      </c>
      <c r="L12" t="s">
        <v>148</v>
      </c>
      <c r="M12" t="s">
        <v>149</v>
      </c>
      <c r="N12" t="s">
        <v>150</v>
      </c>
      <c r="O12" t="s">
        <v>89</v>
      </c>
      <c r="P12" t="str">
        <f>"4170071267                    "</f>
        <v xml:space="preserve">4170071267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43.09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</v>
      </c>
      <c r="BJ12">
        <v>0.2</v>
      </c>
      <c r="BK12">
        <v>1</v>
      </c>
      <c r="BL12">
        <v>141.02000000000001</v>
      </c>
      <c r="BM12">
        <v>21.15</v>
      </c>
      <c r="BN12">
        <v>162.16999999999999</v>
      </c>
      <c r="BO12">
        <v>162.16999999999999</v>
      </c>
      <c r="BQ12" t="s">
        <v>151</v>
      </c>
      <c r="BR12" t="s">
        <v>82</v>
      </c>
      <c r="BS12" s="3">
        <v>45994</v>
      </c>
      <c r="BT12" s="4">
        <v>0.49444444444444446</v>
      </c>
      <c r="BU12" t="s">
        <v>152</v>
      </c>
      <c r="BV12" t="s">
        <v>87</v>
      </c>
      <c r="BW12" t="s">
        <v>153</v>
      </c>
      <c r="BX12" t="s">
        <v>154</v>
      </c>
      <c r="BY12">
        <v>1200</v>
      </c>
      <c r="CA12" t="s">
        <v>155</v>
      </c>
      <c r="CC12" t="s">
        <v>149</v>
      </c>
      <c r="CD12">
        <v>7300</v>
      </c>
      <c r="CE12" t="s">
        <v>134</v>
      </c>
      <c r="CF12" s="3">
        <v>45995</v>
      </c>
      <c r="CI12">
        <v>1</v>
      </c>
      <c r="CJ12">
        <v>2</v>
      </c>
      <c r="CK12">
        <v>23</v>
      </c>
      <c r="CL12" t="s">
        <v>87</v>
      </c>
    </row>
    <row r="13" spans="1:92" x14ac:dyDescent="0.3">
      <c r="A13" t="s">
        <v>72</v>
      </c>
      <c r="B13" t="s">
        <v>73</v>
      </c>
      <c r="C13" t="s">
        <v>74</v>
      </c>
      <c r="E13" t="str">
        <f>"080069575295"</f>
        <v>080069575295</v>
      </c>
      <c r="F13" s="3">
        <v>45992</v>
      </c>
      <c r="G13">
        <v>202609</v>
      </c>
      <c r="H13" t="s">
        <v>75</v>
      </c>
      <c r="I13" t="s">
        <v>76</v>
      </c>
      <c r="J13" t="s">
        <v>77</v>
      </c>
      <c r="K13" t="s">
        <v>78</v>
      </c>
      <c r="L13" t="s">
        <v>156</v>
      </c>
      <c r="M13" t="s">
        <v>157</v>
      </c>
      <c r="N13" t="s">
        <v>158</v>
      </c>
      <c r="O13" t="s">
        <v>89</v>
      </c>
      <c r="P13" t="str">
        <f>"4170071294                    "</f>
        <v xml:space="preserve">4170071294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22.24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</v>
      </c>
      <c r="BJ13">
        <v>0.2</v>
      </c>
      <c r="BK13">
        <v>1</v>
      </c>
      <c r="BL13">
        <v>72.78</v>
      </c>
      <c r="BM13">
        <v>10.92</v>
      </c>
      <c r="BN13">
        <v>83.7</v>
      </c>
      <c r="BO13">
        <v>83.7</v>
      </c>
      <c r="BQ13" t="s">
        <v>159</v>
      </c>
      <c r="BR13" t="s">
        <v>82</v>
      </c>
      <c r="BS13" s="3">
        <v>45993</v>
      </c>
      <c r="BT13" s="4">
        <v>0.50694444444444442</v>
      </c>
      <c r="BU13" t="s">
        <v>160</v>
      </c>
      <c r="BV13" t="s">
        <v>87</v>
      </c>
      <c r="BW13" t="s">
        <v>153</v>
      </c>
      <c r="BX13" t="s">
        <v>161</v>
      </c>
      <c r="BY13">
        <v>1200</v>
      </c>
      <c r="CA13" t="s">
        <v>162</v>
      </c>
      <c r="CC13" t="s">
        <v>157</v>
      </c>
      <c r="CD13">
        <v>7530</v>
      </c>
      <c r="CE13" t="s">
        <v>134</v>
      </c>
      <c r="CF13" s="3">
        <v>45994</v>
      </c>
      <c r="CI13">
        <v>1</v>
      </c>
      <c r="CJ13">
        <v>1</v>
      </c>
      <c r="CK13">
        <v>21</v>
      </c>
      <c r="CL13" t="s">
        <v>87</v>
      </c>
    </row>
    <row r="14" spans="1:92" x14ac:dyDescent="0.3">
      <c r="A14" t="s">
        <v>72</v>
      </c>
      <c r="B14" t="s">
        <v>73</v>
      </c>
      <c r="C14" t="s">
        <v>74</v>
      </c>
      <c r="E14" t="str">
        <f>"080069575361"</f>
        <v>080069575361</v>
      </c>
      <c r="F14" s="3">
        <v>45992</v>
      </c>
      <c r="G14">
        <v>202609</v>
      </c>
      <c r="H14" t="s">
        <v>75</v>
      </c>
      <c r="I14" t="s">
        <v>76</v>
      </c>
      <c r="J14" t="s">
        <v>77</v>
      </c>
      <c r="K14" t="s">
        <v>78</v>
      </c>
      <c r="L14" t="s">
        <v>120</v>
      </c>
      <c r="M14" t="s">
        <v>121</v>
      </c>
      <c r="N14" t="s">
        <v>163</v>
      </c>
      <c r="O14" t="s">
        <v>89</v>
      </c>
      <c r="P14" t="str">
        <f>"4170071078                    "</f>
        <v xml:space="preserve">4170071078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105.6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4</v>
      </c>
      <c r="BJ14">
        <v>9.5</v>
      </c>
      <c r="BK14">
        <v>9.5</v>
      </c>
      <c r="BL14">
        <v>345.59</v>
      </c>
      <c r="BM14">
        <v>51.84</v>
      </c>
      <c r="BN14">
        <v>397.43</v>
      </c>
      <c r="BO14">
        <v>397.43</v>
      </c>
      <c r="BQ14" t="s">
        <v>164</v>
      </c>
      <c r="BR14" t="s">
        <v>82</v>
      </c>
      <c r="BS14" s="3">
        <v>45993</v>
      </c>
      <c r="BT14" s="4">
        <v>0.40972222222222221</v>
      </c>
      <c r="BU14" t="s">
        <v>165</v>
      </c>
      <c r="BV14" t="s">
        <v>84</v>
      </c>
      <c r="BY14">
        <v>47328</v>
      </c>
      <c r="BZ14" t="s">
        <v>125</v>
      </c>
      <c r="CA14" t="s">
        <v>126</v>
      </c>
      <c r="CC14" t="s">
        <v>121</v>
      </c>
      <c r="CD14">
        <v>6230</v>
      </c>
      <c r="CE14" t="s">
        <v>93</v>
      </c>
      <c r="CF14" s="3">
        <v>45993</v>
      </c>
      <c r="CI14">
        <v>1</v>
      </c>
      <c r="CJ14">
        <v>1</v>
      </c>
      <c r="CK14">
        <v>21</v>
      </c>
      <c r="CL14" t="s">
        <v>87</v>
      </c>
    </row>
    <row r="15" spans="1:92" x14ac:dyDescent="0.3">
      <c r="A15" t="s">
        <v>72</v>
      </c>
      <c r="B15" t="s">
        <v>73</v>
      </c>
      <c r="C15" t="s">
        <v>74</v>
      </c>
      <c r="E15" t="str">
        <f>"080069575824"</f>
        <v>080069575824</v>
      </c>
      <c r="F15" s="3">
        <v>45992</v>
      </c>
      <c r="G15">
        <v>202609</v>
      </c>
      <c r="H15" t="s">
        <v>75</v>
      </c>
      <c r="I15" t="s">
        <v>76</v>
      </c>
      <c r="J15" t="s">
        <v>77</v>
      </c>
      <c r="K15" t="s">
        <v>78</v>
      </c>
      <c r="L15" t="s">
        <v>100</v>
      </c>
      <c r="M15" t="s">
        <v>101</v>
      </c>
      <c r="N15" t="s">
        <v>166</v>
      </c>
      <c r="O15" t="s">
        <v>89</v>
      </c>
      <c r="P15" t="str">
        <f>"4170071252                    "</f>
        <v xml:space="preserve">4170071252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22.24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0.2</v>
      </c>
      <c r="BK15">
        <v>1</v>
      </c>
      <c r="BL15">
        <v>72.78</v>
      </c>
      <c r="BM15">
        <v>10.92</v>
      </c>
      <c r="BN15">
        <v>83.7</v>
      </c>
      <c r="BO15">
        <v>83.7</v>
      </c>
      <c r="BQ15" t="s">
        <v>167</v>
      </c>
      <c r="BR15" t="s">
        <v>82</v>
      </c>
      <c r="BS15" s="3">
        <v>45993</v>
      </c>
      <c r="BT15" s="4">
        <v>0.4513888888888889</v>
      </c>
      <c r="BU15" t="s">
        <v>168</v>
      </c>
      <c r="BV15" t="s">
        <v>87</v>
      </c>
      <c r="BW15" t="s">
        <v>105</v>
      </c>
      <c r="BX15" t="s">
        <v>106</v>
      </c>
      <c r="BY15">
        <v>1200</v>
      </c>
      <c r="BZ15" t="s">
        <v>125</v>
      </c>
      <c r="CC15" t="s">
        <v>101</v>
      </c>
      <c r="CD15">
        <v>4000</v>
      </c>
      <c r="CE15" t="s">
        <v>127</v>
      </c>
      <c r="CF15" s="3">
        <v>45993</v>
      </c>
      <c r="CI15">
        <v>1</v>
      </c>
      <c r="CJ15">
        <v>1</v>
      </c>
      <c r="CK15">
        <v>21</v>
      </c>
      <c r="CL15" t="s">
        <v>87</v>
      </c>
    </row>
    <row r="16" spans="1:92" x14ac:dyDescent="0.3">
      <c r="A16" t="s">
        <v>72</v>
      </c>
      <c r="B16" t="s">
        <v>73</v>
      </c>
      <c r="C16" t="s">
        <v>74</v>
      </c>
      <c r="E16" t="str">
        <f>"080069575905"</f>
        <v>080069575905</v>
      </c>
      <c r="F16" s="3">
        <v>45992</v>
      </c>
      <c r="G16">
        <v>202609</v>
      </c>
      <c r="H16" t="s">
        <v>75</v>
      </c>
      <c r="I16" t="s">
        <v>76</v>
      </c>
      <c r="J16" t="s">
        <v>77</v>
      </c>
      <c r="K16" t="s">
        <v>78</v>
      </c>
      <c r="L16" t="s">
        <v>169</v>
      </c>
      <c r="M16" t="s">
        <v>170</v>
      </c>
      <c r="N16" t="s">
        <v>171</v>
      </c>
      <c r="O16" t="s">
        <v>89</v>
      </c>
      <c r="P16" t="str">
        <f>"4170071253                    "</f>
        <v xml:space="preserve">4170071253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43.09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1</v>
      </c>
      <c r="BJ16">
        <v>0.2</v>
      </c>
      <c r="BK16">
        <v>1</v>
      </c>
      <c r="BL16">
        <v>141.02000000000001</v>
      </c>
      <c r="BM16">
        <v>21.15</v>
      </c>
      <c r="BN16">
        <v>162.16999999999999</v>
      </c>
      <c r="BO16">
        <v>162.16999999999999</v>
      </c>
      <c r="BQ16" t="s">
        <v>172</v>
      </c>
      <c r="BR16" t="s">
        <v>82</v>
      </c>
      <c r="BS16" s="3">
        <v>45994</v>
      </c>
      <c r="BT16" s="4">
        <v>0.60902777777777772</v>
      </c>
      <c r="BU16" t="s">
        <v>173</v>
      </c>
      <c r="BV16" t="s">
        <v>87</v>
      </c>
      <c r="BW16" t="s">
        <v>174</v>
      </c>
      <c r="BX16" t="s">
        <v>175</v>
      </c>
      <c r="BY16">
        <v>1200</v>
      </c>
      <c r="CA16">
        <v>8410105735081</v>
      </c>
      <c r="CC16" t="s">
        <v>170</v>
      </c>
      <c r="CD16">
        <v>1028</v>
      </c>
      <c r="CE16" t="s">
        <v>134</v>
      </c>
      <c r="CF16" s="3">
        <v>45994</v>
      </c>
      <c r="CI16">
        <v>1</v>
      </c>
      <c r="CJ16">
        <v>2</v>
      </c>
      <c r="CK16">
        <v>23</v>
      </c>
      <c r="CL16" t="s">
        <v>87</v>
      </c>
    </row>
    <row r="17" spans="1:90" x14ac:dyDescent="0.3">
      <c r="A17" t="s">
        <v>72</v>
      </c>
      <c r="B17" t="s">
        <v>73</v>
      </c>
      <c r="C17" t="s">
        <v>74</v>
      </c>
      <c r="E17" t="str">
        <f>"080069576032"</f>
        <v>080069576032</v>
      </c>
      <c r="F17" s="3">
        <v>45992</v>
      </c>
      <c r="G17">
        <v>202609</v>
      </c>
      <c r="H17" t="s">
        <v>75</v>
      </c>
      <c r="I17" t="s">
        <v>76</v>
      </c>
      <c r="J17" t="s">
        <v>77</v>
      </c>
      <c r="K17" t="s">
        <v>78</v>
      </c>
      <c r="L17" t="s">
        <v>176</v>
      </c>
      <c r="M17" t="s">
        <v>177</v>
      </c>
      <c r="N17" t="s">
        <v>178</v>
      </c>
      <c r="O17" t="s">
        <v>89</v>
      </c>
      <c r="P17" t="str">
        <f>"4170071215                    "</f>
        <v xml:space="preserve">4170071215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17.37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0.2</v>
      </c>
      <c r="BK17">
        <v>1</v>
      </c>
      <c r="BL17">
        <v>56.85</v>
      </c>
      <c r="BM17">
        <v>8.5299999999999994</v>
      </c>
      <c r="BN17">
        <v>65.38</v>
      </c>
      <c r="BO17">
        <v>65.38</v>
      </c>
      <c r="BQ17" t="s">
        <v>179</v>
      </c>
      <c r="BR17" t="s">
        <v>82</v>
      </c>
      <c r="BS17" s="3">
        <v>45994</v>
      </c>
      <c r="BT17" s="4">
        <v>0.4</v>
      </c>
      <c r="BU17" t="s">
        <v>180</v>
      </c>
      <c r="BV17" t="s">
        <v>87</v>
      </c>
      <c r="BW17" t="s">
        <v>174</v>
      </c>
      <c r="BX17" t="s">
        <v>181</v>
      </c>
      <c r="BY17">
        <v>1200</v>
      </c>
      <c r="CA17" t="s">
        <v>182</v>
      </c>
      <c r="CC17" t="s">
        <v>177</v>
      </c>
      <c r="CD17">
        <v>2094</v>
      </c>
      <c r="CE17" t="s">
        <v>134</v>
      </c>
      <c r="CF17" s="3">
        <v>45994</v>
      </c>
      <c r="CI17">
        <v>1</v>
      </c>
      <c r="CJ17">
        <v>2</v>
      </c>
      <c r="CK17">
        <v>22</v>
      </c>
      <c r="CL17" t="s">
        <v>87</v>
      </c>
    </row>
    <row r="18" spans="1:90" x14ac:dyDescent="0.3">
      <c r="A18" t="s">
        <v>72</v>
      </c>
      <c r="B18" t="s">
        <v>73</v>
      </c>
      <c r="C18" t="s">
        <v>74</v>
      </c>
      <c r="E18" t="str">
        <f>"080069576098"</f>
        <v>080069576098</v>
      </c>
      <c r="F18" s="3">
        <v>45992</v>
      </c>
      <c r="G18">
        <v>202609</v>
      </c>
      <c r="H18" t="s">
        <v>75</v>
      </c>
      <c r="I18" t="s">
        <v>76</v>
      </c>
      <c r="J18" t="s">
        <v>77</v>
      </c>
      <c r="K18" t="s">
        <v>78</v>
      </c>
      <c r="L18" t="s">
        <v>128</v>
      </c>
      <c r="M18" t="s">
        <v>129</v>
      </c>
      <c r="N18" t="s">
        <v>183</v>
      </c>
      <c r="O18" t="s">
        <v>89</v>
      </c>
      <c r="P18" t="str">
        <f>"4170071089                    "</f>
        <v xml:space="preserve">4170071089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22.24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</v>
      </c>
      <c r="BJ18">
        <v>0.2</v>
      </c>
      <c r="BK18">
        <v>1</v>
      </c>
      <c r="BL18">
        <v>72.78</v>
      </c>
      <c r="BM18">
        <v>10.92</v>
      </c>
      <c r="BN18">
        <v>83.7</v>
      </c>
      <c r="BO18">
        <v>83.7</v>
      </c>
      <c r="BQ18" t="s">
        <v>184</v>
      </c>
      <c r="BR18" t="s">
        <v>82</v>
      </c>
      <c r="BS18" s="3">
        <v>45993</v>
      </c>
      <c r="BT18" s="4">
        <v>0.6381944444444444</v>
      </c>
      <c r="BU18" t="s">
        <v>185</v>
      </c>
      <c r="BV18" t="s">
        <v>87</v>
      </c>
      <c r="BW18" t="s">
        <v>186</v>
      </c>
      <c r="BX18" t="s">
        <v>187</v>
      </c>
      <c r="BY18">
        <v>1200</v>
      </c>
      <c r="CA18" t="s">
        <v>188</v>
      </c>
      <c r="CC18" t="s">
        <v>129</v>
      </c>
      <c r="CD18">
        <v>5200</v>
      </c>
      <c r="CE18" t="s">
        <v>134</v>
      </c>
      <c r="CF18" s="3">
        <v>45994</v>
      </c>
      <c r="CI18">
        <v>1</v>
      </c>
      <c r="CJ18">
        <v>1</v>
      </c>
      <c r="CK18">
        <v>21</v>
      </c>
      <c r="CL18" t="s">
        <v>87</v>
      </c>
    </row>
    <row r="19" spans="1:90" x14ac:dyDescent="0.3">
      <c r="A19" t="s">
        <v>72</v>
      </c>
      <c r="B19" t="s">
        <v>73</v>
      </c>
      <c r="C19" t="s">
        <v>74</v>
      </c>
      <c r="E19" t="str">
        <f>"080069576151"</f>
        <v>080069576151</v>
      </c>
      <c r="F19" s="3">
        <v>45992</v>
      </c>
      <c r="G19">
        <v>202609</v>
      </c>
      <c r="H19" t="s">
        <v>75</v>
      </c>
      <c r="I19" t="s">
        <v>76</v>
      </c>
      <c r="J19" t="s">
        <v>77</v>
      </c>
      <c r="K19" t="s">
        <v>78</v>
      </c>
      <c r="L19" t="s">
        <v>189</v>
      </c>
      <c r="M19" t="s">
        <v>190</v>
      </c>
      <c r="N19" t="s">
        <v>191</v>
      </c>
      <c r="O19" t="s">
        <v>89</v>
      </c>
      <c r="P19" t="str">
        <f>"4170071264                    "</f>
        <v xml:space="preserve">4170071264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22.24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0.2</v>
      </c>
      <c r="BK19">
        <v>1</v>
      </c>
      <c r="BL19">
        <v>72.78</v>
      </c>
      <c r="BM19">
        <v>10.92</v>
      </c>
      <c r="BN19">
        <v>83.7</v>
      </c>
      <c r="BO19">
        <v>83.7</v>
      </c>
      <c r="BQ19" t="s">
        <v>192</v>
      </c>
      <c r="BR19" t="s">
        <v>82</v>
      </c>
      <c r="BS19" s="3">
        <v>45995</v>
      </c>
      <c r="BT19" s="4">
        <v>0.42430555555555555</v>
      </c>
      <c r="BU19" t="s">
        <v>193</v>
      </c>
      <c r="BV19" t="s">
        <v>87</v>
      </c>
      <c r="BY19">
        <v>1200</v>
      </c>
      <c r="CA19" t="s">
        <v>194</v>
      </c>
      <c r="CC19" t="s">
        <v>190</v>
      </c>
      <c r="CD19">
        <v>3201</v>
      </c>
      <c r="CE19" t="s">
        <v>134</v>
      </c>
      <c r="CF19" s="3">
        <v>45996</v>
      </c>
      <c r="CI19">
        <v>1</v>
      </c>
      <c r="CJ19">
        <v>3</v>
      </c>
      <c r="CK19">
        <v>21</v>
      </c>
      <c r="CL19" t="s">
        <v>87</v>
      </c>
    </row>
    <row r="20" spans="1:90" x14ac:dyDescent="0.3">
      <c r="A20" t="s">
        <v>72</v>
      </c>
      <c r="B20" t="s">
        <v>73</v>
      </c>
      <c r="C20" t="s">
        <v>74</v>
      </c>
      <c r="E20" t="str">
        <f>"080069576225"</f>
        <v>080069576225</v>
      </c>
      <c r="F20" s="3">
        <v>45992</v>
      </c>
      <c r="G20">
        <v>202609</v>
      </c>
      <c r="H20" t="s">
        <v>75</v>
      </c>
      <c r="I20" t="s">
        <v>76</v>
      </c>
      <c r="J20" t="s">
        <v>77</v>
      </c>
      <c r="K20" t="s">
        <v>78</v>
      </c>
      <c r="L20" t="s">
        <v>75</v>
      </c>
      <c r="M20" t="s">
        <v>76</v>
      </c>
      <c r="N20" t="s">
        <v>195</v>
      </c>
      <c r="O20" t="s">
        <v>89</v>
      </c>
      <c r="P20" t="str">
        <f>"4170071272                    "</f>
        <v xml:space="preserve">4170071272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17.37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</v>
      </c>
      <c r="BJ20">
        <v>0.2</v>
      </c>
      <c r="BK20">
        <v>1</v>
      </c>
      <c r="BL20">
        <v>56.85</v>
      </c>
      <c r="BM20">
        <v>8.5299999999999994</v>
      </c>
      <c r="BN20">
        <v>65.38</v>
      </c>
      <c r="BO20">
        <v>65.38</v>
      </c>
      <c r="BQ20" t="s">
        <v>196</v>
      </c>
      <c r="BR20" t="s">
        <v>82</v>
      </c>
      <c r="BS20" s="3">
        <v>45994</v>
      </c>
      <c r="BT20" s="4">
        <v>0.29444444444444445</v>
      </c>
      <c r="BU20" t="s">
        <v>197</v>
      </c>
      <c r="BV20" t="s">
        <v>87</v>
      </c>
      <c r="BW20" t="s">
        <v>174</v>
      </c>
      <c r="BX20" t="s">
        <v>198</v>
      </c>
      <c r="BY20">
        <v>1200</v>
      </c>
      <c r="CA20" t="s">
        <v>92</v>
      </c>
      <c r="CC20" t="s">
        <v>76</v>
      </c>
      <c r="CD20">
        <v>1600</v>
      </c>
      <c r="CE20" t="s">
        <v>134</v>
      </c>
      <c r="CF20" s="3">
        <v>45995</v>
      </c>
      <c r="CI20">
        <v>1</v>
      </c>
      <c r="CJ20">
        <v>2</v>
      </c>
      <c r="CK20">
        <v>22</v>
      </c>
      <c r="CL20" t="s">
        <v>87</v>
      </c>
    </row>
    <row r="21" spans="1:90" x14ac:dyDescent="0.3">
      <c r="A21" t="s">
        <v>72</v>
      </c>
      <c r="B21" t="s">
        <v>73</v>
      </c>
      <c r="C21" t="s">
        <v>74</v>
      </c>
      <c r="E21" t="str">
        <f>"080069576743"</f>
        <v>080069576743</v>
      </c>
      <c r="F21" s="3">
        <v>45992</v>
      </c>
      <c r="G21">
        <v>202609</v>
      </c>
      <c r="H21" t="s">
        <v>75</v>
      </c>
      <c r="I21" t="s">
        <v>76</v>
      </c>
      <c r="J21" t="s">
        <v>77</v>
      </c>
      <c r="K21" t="s">
        <v>78</v>
      </c>
      <c r="L21" t="s">
        <v>100</v>
      </c>
      <c r="M21" t="s">
        <v>101</v>
      </c>
      <c r="N21" t="s">
        <v>199</v>
      </c>
      <c r="O21" t="s">
        <v>89</v>
      </c>
      <c r="P21" t="str">
        <f>"4170071182                    "</f>
        <v xml:space="preserve">4170071182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22.24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1.5</v>
      </c>
      <c r="BK21">
        <v>1.5</v>
      </c>
      <c r="BL21">
        <v>72.78</v>
      </c>
      <c r="BM21">
        <v>10.92</v>
      </c>
      <c r="BN21">
        <v>83.7</v>
      </c>
      <c r="BO21">
        <v>83.7</v>
      </c>
      <c r="BQ21" t="s">
        <v>200</v>
      </c>
      <c r="BR21" t="s">
        <v>82</v>
      </c>
      <c r="BS21" s="3">
        <v>45993</v>
      </c>
      <c r="BT21" s="4">
        <v>0.46388888888888891</v>
      </c>
      <c r="BU21" t="s">
        <v>201</v>
      </c>
      <c r="BV21" t="s">
        <v>87</v>
      </c>
      <c r="BW21" t="s">
        <v>105</v>
      </c>
      <c r="BX21" t="s">
        <v>106</v>
      </c>
      <c r="BY21">
        <v>7540</v>
      </c>
      <c r="CC21" t="s">
        <v>101</v>
      </c>
      <c r="CD21">
        <v>4001</v>
      </c>
      <c r="CE21" t="s">
        <v>86</v>
      </c>
      <c r="CF21" s="3">
        <v>45994</v>
      </c>
      <c r="CI21">
        <v>1</v>
      </c>
      <c r="CJ21">
        <v>1</v>
      </c>
      <c r="CK21">
        <v>21</v>
      </c>
      <c r="CL21" t="s">
        <v>87</v>
      </c>
    </row>
    <row r="22" spans="1:90" x14ac:dyDescent="0.3">
      <c r="A22" t="s">
        <v>72</v>
      </c>
      <c r="B22" t="s">
        <v>73</v>
      </c>
      <c r="C22" t="s">
        <v>74</v>
      </c>
      <c r="E22" t="str">
        <f>"080069576770"</f>
        <v>080069576770</v>
      </c>
      <c r="F22" s="3">
        <v>45992</v>
      </c>
      <c r="G22">
        <v>202609</v>
      </c>
      <c r="H22" t="s">
        <v>75</v>
      </c>
      <c r="I22" t="s">
        <v>76</v>
      </c>
      <c r="J22" t="s">
        <v>77</v>
      </c>
      <c r="K22" t="s">
        <v>78</v>
      </c>
      <c r="L22" t="s">
        <v>202</v>
      </c>
      <c r="M22" t="s">
        <v>203</v>
      </c>
      <c r="N22" t="s">
        <v>204</v>
      </c>
      <c r="O22" t="s">
        <v>80</v>
      </c>
      <c r="P22" t="str">
        <f>"4170071229                    "</f>
        <v xml:space="preserve">4170071229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82.34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21.7</v>
      </c>
      <c r="BJ22">
        <v>18.3</v>
      </c>
      <c r="BK22">
        <v>22</v>
      </c>
      <c r="BL22">
        <v>275.57</v>
      </c>
      <c r="BM22">
        <v>41.34</v>
      </c>
      <c r="BN22">
        <v>316.91000000000003</v>
      </c>
      <c r="BO22">
        <v>316.91000000000003</v>
      </c>
      <c r="BQ22" t="s">
        <v>205</v>
      </c>
      <c r="BR22" t="s">
        <v>82</v>
      </c>
      <c r="BS22" s="3">
        <v>45993</v>
      </c>
      <c r="BT22" s="4">
        <v>0.48680555555555555</v>
      </c>
      <c r="BU22" t="s">
        <v>206</v>
      </c>
      <c r="BV22" t="s">
        <v>84</v>
      </c>
      <c r="BY22">
        <v>91724.160000000003</v>
      </c>
      <c r="CA22" t="s">
        <v>207</v>
      </c>
      <c r="CC22" t="s">
        <v>203</v>
      </c>
      <c r="CD22">
        <v>2531</v>
      </c>
      <c r="CE22" t="s">
        <v>86</v>
      </c>
      <c r="CF22" s="3">
        <v>45994</v>
      </c>
      <c r="CI22">
        <v>1</v>
      </c>
      <c r="CJ22">
        <v>1</v>
      </c>
      <c r="CK22">
        <v>43</v>
      </c>
      <c r="CL22" t="s">
        <v>87</v>
      </c>
    </row>
    <row r="23" spans="1:90" x14ac:dyDescent="0.3">
      <c r="A23" t="s">
        <v>72</v>
      </c>
      <c r="B23" t="s">
        <v>73</v>
      </c>
      <c r="C23" t="s">
        <v>74</v>
      </c>
      <c r="E23" t="str">
        <f>"080069576849"</f>
        <v>080069576849</v>
      </c>
      <c r="F23" s="3">
        <v>45992</v>
      </c>
      <c r="G23">
        <v>202609</v>
      </c>
      <c r="H23" t="s">
        <v>75</v>
      </c>
      <c r="I23" t="s">
        <v>76</v>
      </c>
      <c r="J23" t="s">
        <v>77</v>
      </c>
      <c r="K23" t="s">
        <v>78</v>
      </c>
      <c r="L23" t="s">
        <v>208</v>
      </c>
      <c r="M23" t="s">
        <v>209</v>
      </c>
      <c r="N23" t="s">
        <v>210</v>
      </c>
      <c r="O23" t="s">
        <v>89</v>
      </c>
      <c r="P23" t="str">
        <f>"4170071256                    "</f>
        <v xml:space="preserve">4170071256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22.24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</v>
      </c>
      <c r="BJ23">
        <v>1.4</v>
      </c>
      <c r="BK23">
        <v>1.5</v>
      </c>
      <c r="BL23">
        <v>72.78</v>
      </c>
      <c r="BM23">
        <v>10.92</v>
      </c>
      <c r="BN23">
        <v>83.7</v>
      </c>
      <c r="BO23">
        <v>83.7</v>
      </c>
      <c r="BQ23" t="s">
        <v>211</v>
      </c>
      <c r="BR23" t="s">
        <v>82</v>
      </c>
      <c r="BS23" s="3">
        <v>45993</v>
      </c>
      <c r="BT23" s="4">
        <v>0.40972222222222221</v>
      </c>
      <c r="BU23" t="s">
        <v>212</v>
      </c>
      <c r="BV23" t="s">
        <v>84</v>
      </c>
      <c r="BY23">
        <v>7000</v>
      </c>
      <c r="CA23">
        <v>7712195338085</v>
      </c>
      <c r="CC23" t="s">
        <v>209</v>
      </c>
      <c r="CD23" s="5" t="s">
        <v>213</v>
      </c>
      <c r="CE23" t="s">
        <v>86</v>
      </c>
      <c r="CF23" s="3">
        <v>45993</v>
      </c>
      <c r="CI23">
        <v>1</v>
      </c>
      <c r="CJ23">
        <v>1</v>
      </c>
      <c r="CK23">
        <v>21</v>
      </c>
      <c r="CL23" t="s">
        <v>87</v>
      </c>
    </row>
    <row r="24" spans="1:90" x14ac:dyDescent="0.3">
      <c r="A24" t="s">
        <v>72</v>
      </c>
      <c r="B24" t="s">
        <v>73</v>
      </c>
      <c r="C24" t="s">
        <v>74</v>
      </c>
      <c r="E24" t="str">
        <f>"080069576858"</f>
        <v>080069576858</v>
      </c>
      <c r="F24" s="3">
        <v>45992</v>
      </c>
      <c r="G24">
        <v>202609</v>
      </c>
      <c r="H24" t="s">
        <v>75</v>
      </c>
      <c r="I24" t="s">
        <v>76</v>
      </c>
      <c r="J24" t="s">
        <v>77</v>
      </c>
      <c r="K24" t="s">
        <v>78</v>
      </c>
      <c r="L24" t="s">
        <v>141</v>
      </c>
      <c r="M24" t="s">
        <v>142</v>
      </c>
      <c r="N24" t="s">
        <v>214</v>
      </c>
      <c r="O24" t="s">
        <v>89</v>
      </c>
      <c r="P24" t="str">
        <f>"4170071292                    "</f>
        <v xml:space="preserve">4170071292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22.24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2</v>
      </c>
      <c r="BJ24">
        <v>2</v>
      </c>
      <c r="BK24">
        <v>2</v>
      </c>
      <c r="BL24">
        <v>72.78</v>
      </c>
      <c r="BM24">
        <v>10.92</v>
      </c>
      <c r="BN24">
        <v>83.7</v>
      </c>
      <c r="BO24">
        <v>83.7</v>
      </c>
      <c r="BQ24" t="s">
        <v>215</v>
      </c>
      <c r="BR24" t="s">
        <v>82</v>
      </c>
      <c r="BS24" s="3">
        <v>45993</v>
      </c>
      <c r="BT24" s="4">
        <v>0.39097222222222222</v>
      </c>
      <c r="BU24" t="s">
        <v>216</v>
      </c>
      <c r="BV24" t="s">
        <v>84</v>
      </c>
      <c r="BY24">
        <v>9918</v>
      </c>
      <c r="BZ24" t="s">
        <v>125</v>
      </c>
      <c r="CA24" t="s">
        <v>217</v>
      </c>
      <c r="CC24" t="s">
        <v>142</v>
      </c>
      <c r="CD24">
        <v>6001</v>
      </c>
      <c r="CE24" t="s">
        <v>147</v>
      </c>
      <c r="CF24" s="3">
        <v>45993</v>
      </c>
      <c r="CI24">
        <v>1</v>
      </c>
      <c r="CJ24">
        <v>1</v>
      </c>
      <c r="CK24">
        <v>21</v>
      </c>
      <c r="CL24" t="s">
        <v>87</v>
      </c>
    </row>
    <row r="25" spans="1:90" x14ac:dyDescent="0.3">
      <c r="A25" t="s">
        <v>72</v>
      </c>
      <c r="B25" t="s">
        <v>73</v>
      </c>
      <c r="C25" t="s">
        <v>74</v>
      </c>
      <c r="E25" t="str">
        <f>"080069576962"</f>
        <v>080069576962</v>
      </c>
      <c r="F25" s="3">
        <v>45992</v>
      </c>
      <c r="G25">
        <v>202609</v>
      </c>
      <c r="H25" t="s">
        <v>75</v>
      </c>
      <c r="I25" t="s">
        <v>76</v>
      </c>
      <c r="J25" t="s">
        <v>77</v>
      </c>
      <c r="K25" t="s">
        <v>78</v>
      </c>
      <c r="L25" t="s">
        <v>218</v>
      </c>
      <c r="M25" t="s">
        <v>219</v>
      </c>
      <c r="N25" t="s">
        <v>220</v>
      </c>
      <c r="O25" t="s">
        <v>89</v>
      </c>
      <c r="P25" t="str">
        <f>"4170071179                    "</f>
        <v xml:space="preserve">4170071179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43.09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1</v>
      </c>
      <c r="BJ25">
        <v>0.9</v>
      </c>
      <c r="BK25">
        <v>1</v>
      </c>
      <c r="BL25">
        <v>141.02000000000001</v>
      </c>
      <c r="BM25">
        <v>21.15</v>
      </c>
      <c r="BN25">
        <v>162.16999999999999</v>
      </c>
      <c r="BO25">
        <v>162.16999999999999</v>
      </c>
      <c r="BQ25" t="s">
        <v>221</v>
      </c>
      <c r="BR25" t="s">
        <v>82</v>
      </c>
      <c r="BS25" s="3">
        <v>45993</v>
      </c>
      <c r="BT25" s="4">
        <v>0.2986111111111111</v>
      </c>
      <c r="BU25" t="s">
        <v>222</v>
      </c>
      <c r="BV25" t="s">
        <v>84</v>
      </c>
      <c r="BY25">
        <v>4560</v>
      </c>
      <c r="CC25" t="s">
        <v>219</v>
      </c>
      <c r="CD25">
        <v>2740</v>
      </c>
      <c r="CE25" t="s">
        <v>86</v>
      </c>
      <c r="CF25" s="3">
        <v>45994</v>
      </c>
      <c r="CI25">
        <v>1</v>
      </c>
      <c r="CJ25">
        <v>1</v>
      </c>
      <c r="CK25">
        <v>23</v>
      </c>
      <c r="CL25" t="s">
        <v>87</v>
      </c>
    </row>
    <row r="26" spans="1:90" x14ac:dyDescent="0.3">
      <c r="A26" t="s">
        <v>72</v>
      </c>
      <c r="B26" t="s">
        <v>73</v>
      </c>
      <c r="C26" t="s">
        <v>74</v>
      </c>
      <c r="E26" t="str">
        <f>"080069577002"</f>
        <v>080069577002</v>
      </c>
      <c r="F26" s="3">
        <v>45992</v>
      </c>
      <c r="G26">
        <v>202609</v>
      </c>
      <c r="H26" t="s">
        <v>75</v>
      </c>
      <c r="I26" t="s">
        <v>76</v>
      </c>
      <c r="J26" t="s">
        <v>77</v>
      </c>
      <c r="K26" t="s">
        <v>78</v>
      </c>
      <c r="L26" t="s">
        <v>141</v>
      </c>
      <c r="M26" t="s">
        <v>142</v>
      </c>
      <c r="N26" t="s">
        <v>214</v>
      </c>
      <c r="O26" t="s">
        <v>89</v>
      </c>
      <c r="P26" t="str">
        <f>"4170071181                    "</f>
        <v xml:space="preserve">4170071181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66.7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6</v>
      </c>
      <c r="BJ26">
        <v>4.5999999999999996</v>
      </c>
      <c r="BK26">
        <v>6</v>
      </c>
      <c r="BL26">
        <v>218.28</v>
      </c>
      <c r="BM26">
        <v>32.74</v>
      </c>
      <c r="BN26">
        <v>251.02</v>
      </c>
      <c r="BO26">
        <v>251.02</v>
      </c>
      <c r="BQ26" t="s">
        <v>215</v>
      </c>
      <c r="BR26" t="s">
        <v>82</v>
      </c>
      <c r="BS26" s="3">
        <v>45993</v>
      </c>
      <c r="BT26" s="4">
        <v>0.3888888888888889</v>
      </c>
      <c r="BU26" t="s">
        <v>223</v>
      </c>
      <c r="BV26" t="s">
        <v>84</v>
      </c>
      <c r="BY26">
        <v>23040</v>
      </c>
      <c r="BZ26" t="s">
        <v>125</v>
      </c>
      <c r="CA26" t="s">
        <v>224</v>
      </c>
      <c r="CC26" t="s">
        <v>142</v>
      </c>
      <c r="CD26">
        <v>6001</v>
      </c>
      <c r="CE26" t="s">
        <v>93</v>
      </c>
      <c r="CF26" s="3">
        <v>45993</v>
      </c>
      <c r="CI26">
        <v>1</v>
      </c>
      <c r="CJ26">
        <v>1</v>
      </c>
      <c r="CK26">
        <v>21</v>
      </c>
      <c r="CL26" t="s">
        <v>87</v>
      </c>
    </row>
    <row r="27" spans="1:90" x14ac:dyDescent="0.3">
      <c r="A27" t="s">
        <v>72</v>
      </c>
      <c r="B27" t="s">
        <v>73</v>
      </c>
      <c r="C27" t="s">
        <v>74</v>
      </c>
      <c r="E27" t="str">
        <f>"080069577390"</f>
        <v>080069577390</v>
      </c>
      <c r="F27" s="3">
        <v>45992</v>
      </c>
      <c r="G27">
        <v>202609</v>
      </c>
      <c r="H27" t="s">
        <v>75</v>
      </c>
      <c r="I27" t="s">
        <v>76</v>
      </c>
      <c r="J27" t="s">
        <v>77</v>
      </c>
      <c r="K27" t="s">
        <v>78</v>
      </c>
      <c r="L27" t="s">
        <v>128</v>
      </c>
      <c r="M27" t="s">
        <v>129</v>
      </c>
      <c r="N27" t="s">
        <v>130</v>
      </c>
      <c r="O27" t="s">
        <v>89</v>
      </c>
      <c r="P27" t="str">
        <f>"4170071237                    "</f>
        <v xml:space="preserve">4170071237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22.24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0.2</v>
      </c>
      <c r="BK27">
        <v>1</v>
      </c>
      <c r="BL27">
        <v>72.78</v>
      </c>
      <c r="BM27">
        <v>10.92</v>
      </c>
      <c r="BN27">
        <v>83.7</v>
      </c>
      <c r="BO27">
        <v>83.7</v>
      </c>
      <c r="BQ27" t="s">
        <v>131</v>
      </c>
      <c r="BR27" t="s">
        <v>82</v>
      </c>
      <c r="BS27" s="3">
        <v>45994</v>
      </c>
      <c r="BT27" s="4">
        <v>0.67361111111111116</v>
      </c>
      <c r="BU27" t="s">
        <v>132</v>
      </c>
      <c r="BV27" t="s">
        <v>84</v>
      </c>
      <c r="BY27">
        <v>1200</v>
      </c>
      <c r="CA27" t="s">
        <v>133</v>
      </c>
      <c r="CC27" t="s">
        <v>129</v>
      </c>
      <c r="CD27">
        <v>5201</v>
      </c>
      <c r="CE27" t="s">
        <v>134</v>
      </c>
      <c r="CF27" s="3">
        <v>45995</v>
      </c>
      <c r="CI27">
        <v>5</v>
      </c>
      <c r="CJ27">
        <v>2</v>
      </c>
      <c r="CK27">
        <v>21</v>
      </c>
      <c r="CL27" t="s">
        <v>87</v>
      </c>
    </row>
    <row r="28" spans="1:90" x14ac:dyDescent="0.3">
      <c r="A28" t="s">
        <v>72</v>
      </c>
      <c r="B28" t="s">
        <v>73</v>
      </c>
      <c r="C28" t="s">
        <v>74</v>
      </c>
      <c r="E28" t="str">
        <f>"080069577470"</f>
        <v>080069577470</v>
      </c>
      <c r="F28" s="3">
        <v>45992</v>
      </c>
      <c r="G28">
        <v>202609</v>
      </c>
      <c r="H28" t="s">
        <v>75</v>
      </c>
      <c r="I28" t="s">
        <v>76</v>
      </c>
      <c r="J28" t="s">
        <v>77</v>
      </c>
      <c r="K28" t="s">
        <v>78</v>
      </c>
      <c r="L28" t="s">
        <v>202</v>
      </c>
      <c r="M28" t="s">
        <v>203</v>
      </c>
      <c r="N28" t="s">
        <v>204</v>
      </c>
      <c r="O28" t="s">
        <v>89</v>
      </c>
      <c r="P28" t="str">
        <f>"4170071285                    "</f>
        <v xml:space="preserve">4170071285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43.09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</v>
      </c>
      <c r="BJ28">
        <v>0.2</v>
      </c>
      <c r="BK28">
        <v>1</v>
      </c>
      <c r="BL28">
        <v>141.02000000000001</v>
      </c>
      <c r="BM28">
        <v>21.15</v>
      </c>
      <c r="BN28">
        <v>162.16999999999999</v>
      </c>
      <c r="BO28">
        <v>162.16999999999999</v>
      </c>
      <c r="BQ28" t="s">
        <v>205</v>
      </c>
      <c r="BR28" t="s">
        <v>82</v>
      </c>
      <c r="BS28" s="3">
        <v>45993</v>
      </c>
      <c r="BT28" s="4">
        <v>0.49236111111111114</v>
      </c>
      <c r="BU28" t="s">
        <v>225</v>
      </c>
      <c r="BV28" t="s">
        <v>84</v>
      </c>
      <c r="BY28">
        <v>1200</v>
      </c>
      <c r="CA28" t="s">
        <v>207</v>
      </c>
      <c r="CC28" t="s">
        <v>203</v>
      </c>
      <c r="CD28">
        <v>2531</v>
      </c>
      <c r="CE28" t="s">
        <v>134</v>
      </c>
      <c r="CF28" s="3">
        <v>45994</v>
      </c>
      <c r="CI28">
        <v>1</v>
      </c>
      <c r="CJ28">
        <v>1</v>
      </c>
      <c r="CK28">
        <v>23</v>
      </c>
      <c r="CL28" t="s">
        <v>87</v>
      </c>
    </row>
    <row r="29" spans="1:90" x14ac:dyDescent="0.3">
      <c r="A29" t="s">
        <v>72</v>
      </c>
      <c r="B29" t="s">
        <v>73</v>
      </c>
      <c r="C29" t="s">
        <v>74</v>
      </c>
      <c r="E29" t="str">
        <f>"080069577568"</f>
        <v>080069577568</v>
      </c>
      <c r="F29" s="3">
        <v>45992</v>
      </c>
      <c r="G29">
        <v>202609</v>
      </c>
      <c r="H29" t="s">
        <v>75</v>
      </c>
      <c r="I29" t="s">
        <v>76</v>
      </c>
      <c r="J29" t="s">
        <v>77</v>
      </c>
      <c r="K29" t="s">
        <v>78</v>
      </c>
      <c r="L29" t="s">
        <v>202</v>
      </c>
      <c r="M29" t="s">
        <v>203</v>
      </c>
      <c r="N29" t="s">
        <v>204</v>
      </c>
      <c r="O29" t="s">
        <v>89</v>
      </c>
      <c r="P29" t="str">
        <f>"4170071283                    "</f>
        <v xml:space="preserve">4170071283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111.19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5.0999999999999996</v>
      </c>
      <c r="BJ29">
        <v>1.4</v>
      </c>
      <c r="BK29">
        <v>5.5</v>
      </c>
      <c r="BL29">
        <v>363.89</v>
      </c>
      <c r="BM29">
        <v>54.58</v>
      </c>
      <c r="BN29">
        <v>418.47</v>
      </c>
      <c r="BO29">
        <v>418.47</v>
      </c>
      <c r="BQ29" t="s">
        <v>205</v>
      </c>
      <c r="BR29" t="s">
        <v>82</v>
      </c>
      <c r="BS29" s="3">
        <v>45993</v>
      </c>
      <c r="BT29" s="4">
        <v>0.48749999999999999</v>
      </c>
      <c r="BU29" t="s">
        <v>206</v>
      </c>
      <c r="BV29" t="s">
        <v>84</v>
      </c>
      <c r="BY29">
        <v>6850</v>
      </c>
      <c r="CA29" t="s">
        <v>207</v>
      </c>
      <c r="CC29" t="s">
        <v>203</v>
      </c>
      <c r="CD29">
        <v>2531</v>
      </c>
      <c r="CE29" t="s">
        <v>86</v>
      </c>
      <c r="CF29" s="3">
        <v>45994</v>
      </c>
      <c r="CI29">
        <v>1</v>
      </c>
      <c r="CJ29">
        <v>1</v>
      </c>
      <c r="CK29">
        <v>23</v>
      </c>
      <c r="CL29" t="s">
        <v>87</v>
      </c>
    </row>
    <row r="30" spans="1:90" x14ac:dyDescent="0.3">
      <c r="A30" t="s">
        <v>72</v>
      </c>
      <c r="B30" t="s">
        <v>73</v>
      </c>
      <c r="C30" t="s">
        <v>74</v>
      </c>
      <c r="E30" t="str">
        <f>"080069577664"</f>
        <v>080069577664</v>
      </c>
      <c r="F30" s="3">
        <v>45992</v>
      </c>
      <c r="G30">
        <v>202609</v>
      </c>
      <c r="H30" t="s">
        <v>75</v>
      </c>
      <c r="I30" t="s">
        <v>76</v>
      </c>
      <c r="J30" t="s">
        <v>77</v>
      </c>
      <c r="K30" t="s">
        <v>78</v>
      </c>
      <c r="L30" t="s">
        <v>75</v>
      </c>
      <c r="M30" t="s">
        <v>76</v>
      </c>
      <c r="N30" t="s">
        <v>226</v>
      </c>
      <c r="O30" t="s">
        <v>89</v>
      </c>
      <c r="P30" t="str">
        <f>"4170071207                    "</f>
        <v xml:space="preserve">4170071207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17.37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4</v>
      </c>
      <c r="BJ30">
        <v>7</v>
      </c>
      <c r="BK30">
        <v>7</v>
      </c>
      <c r="BL30">
        <v>56.85</v>
      </c>
      <c r="BM30">
        <v>8.5299999999999994</v>
      </c>
      <c r="BN30">
        <v>65.38</v>
      </c>
      <c r="BO30">
        <v>65.38</v>
      </c>
      <c r="BQ30" t="s">
        <v>227</v>
      </c>
      <c r="BR30" t="s">
        <v>82</v>
      </c>
      <c r="BS30" s="3">
        <v>45993</v>
      </c>
      <c r="BT30" s="4">
        <v>0.3576388888888889</v>
      </c>
      <c r="BU30" t="s">
        <v>228</v>
      </c>
      <c r="BV30" t="s">
        <v>84</v>
      </c>
      <c r="BY30">
        <v>35000</v>
      </c>
      <c r="CA30" t="s">
        <v>92</v>
      </c>
      <c r="CC30" t="s">
        <v>76</v>
      </c>
      <c r="CD30">
        <v>1619</v>
      </c>
      <c r="CE30" t="s">
        <v>229</v>
      </c>
      <c r="CF30" s="3">
        <v>45994</v>
      </c>
      <c r="CI30">
        <v>1</v>
      </c>
      <c r="CJ30">
        <v>1</v>
      </c>
      <c r="CK30">
        <v>22</v>
      </c>
      <c r="CL30" t="s">
        <v>87</v>
      </c>
    </row>
    <row r="31" spans="1:90" x14ac:dyDescent="0.3">
      <c r="A31" t="s">
        <v>72</v>
      </c>
      <c r="B31" t="s">
        <v>73</v>
      </c>
      <c r="C31" t="s">
        <v>74</v>
      </c>
      <c r="E31" t="str">
        <f>"080069577740"</f>
        <v>080069577740</v>
      </c>
      <c r="F31" s="3">
        <v>45992</v>
      </c>
      <c r="G31">
        <v>202609</v>
      </c>
      <c r="H31" t="s">
        <v>75</v>
      </c>
      <c r="I31" t="s">
        <v>76</v>
      </c>
      <c r="J31" t="s">
        <v>77</v>
      </c>
      <c r="K31" t="s">
        <v>78</v>
      </c>
      <c r="L31" t="s">
        <v>94</v>
      </c>
      <c r="M31" t="s">
        <v>95</v>
      </c>
      <c r="N31" t="s">
        <v>230</v>
      </c>
      <c r="O31" t="s">
        <v>89</v>
      </c>
      <c r="P31" t="str">
        <f>"4170071176                    "</f>
        <v xml:space="preserve">4170071176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55.58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5</v>
      </c>
      <c r="BJ31">
        <v>4.0999999999999996</v>
      </c>
      <c r="BK31">
        <v>5</v>
      </c>
      <c r="BL31">
        <v>181.9</v>
      </c>
      <c r="BM31">
        <v>27.29</v>
      </c>
      <c r="BN31">
        <v>209.19</v>
      </c>
      <c r="BO31">
        <v>209.19</v>
      </c>
      <c r="BQ31" t="s">
        <v>231</v>
      </c>
      <c r="BR31" t="s">
        <v>82</v>
      </c>
      <c r="BS31" s="3">
        <v>45993</v>
      </c>
      <c r="BT31" s="4">
        <v>0.3972222222222222</v>
      </c>
      <c r="BU31" t="s">
        <v>232</v>
      </c>
      <c r="BV31" t="s">
        <v>84</v>
      </c>
      <c r="BY31">
        <v>20358</v>
      </c>
      <c r="CC31" t="s">
        <v>95</v>
      </c>
      <c r="CD31">
        <v>3608</v>
      </c>
      <c r="CE31" t="s">
        <v>86</v>
      </c>
      <c r="CF31" s="3">
        <v>45993</v>
      </c>
      <c r="CI31">
        <v>1</v>
      </c>
      <c r="CJ31">
        <v>1</v>
      </c>
      <c r="CK31">
        <v>21</v>
      </c>
      <c r="CL31" t="s">
        <v>87</v>
      </c>
    </row>
    <row r="32" spans="1:90" x14ac:dyDescent="0.3">
      <c r="A32" t="s">
        <v>72</v>
      </c>
      <c r="B32" t="s">
        <v>73</v>
      </c>
      <c r="C32" t="s">
        <v>74</v>
      </c>
      <c r="E32" t="str">
        <f>"080069577880"</f>
        <v>080069577880</v>
      </c>
      <c r="F32" s="3">
        <v>45992</v>
      </c>
      <c r="G32">
        <v>202609</v>
      </c>
      <c r="H32" t="s">
        <v>75</v>
      </c>
      <c r="I32" t="s">
        <v>76</v>
      </c>
      <c r="J32" t="s">
        <v>77</v>
      </c>
      <c r="K32" t="s">
        <v>78</v>
      </c>
      <c r="L32" t="s">
        <v>218</v>
      </c>
      <c r="M32" t="s">
        <v>219</v>
      </c>
      <c r="N32" t="s">
        <v>220</v>
      </c>
      <c r="O32" t="s">
        <v>89</v>
      </c>
      <c r="P32" t="str">
        <f>"4170071202                    "</f>
        <v xml:space="preserve">4170071202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130.63999999999999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6.5</v>
      </c>
      <c r="BJ32">
        <v>3.6</v>
      </c>
      <c r="BK32">
        <v>6.5</v>
      </c>
      <c r="BL32">
        <v>427.56</v>
      </c>
      <c r="BM32">
        <v>64.13</v>
      </c>
      <c r="BN32">
        <v>491.69</v>
      </c>
      <c r="BO32">
        <v>491.69</v>
      </c>
      <c r="BQ32" t="s">
        <v>221</v>
      </c>
      <c r="BR32" t="s">
        <v>82</v>
      </c>
      <c r="BS32" s="3">
        <v>45993</v>
      </c>
      <c r="BT32" s="4">
        <v>0.2986111111111111</v>
      </c>
      <c r="BU32" t="s">
        <v>222</v>
      </c>
      <c r="BV32" t="s">
        <v>84</v>
      </c>
      <c r="BY32">
        <v>17760.82</v>
      </c>
      <c r="CC32" t="s">
        <v>219</v>
      </c>
      <c r="CD32">
        <v>2740</v>
      </c>
      <c r="CE32" t="s">
        <v>233</v>
      </c>
      <c r="CF32" s="3">
        <v>45994</v>
      </c>
      <c r="CI32">
        <v>1</v>
      </c>
      <c r="CJ32">
        <v>1</v>
      </c>
      <c r="CK32">
        <v>23</v>
      </c>
      <c r="CL32" t="s">
        <v>87</v>
      </c>
    </row>
    <row r="33" spans="1:90" x14ac:dyDescent="0.3">
      <c r="A33" t="s">
        <v>72</v>
      </c>
      <c r="B33" t="s">
        <v>73</v>
      </c>
      <c r="C33" t="s">
        <v>74</v>
      </c>
      <c r="E33" t="str">
        <f>"080069578021"</f>
        <v>080069578021</v>
      </c>
      <c r="F33" s="3">
        <v>45992</v>
      </c>
      <c r="G33">
        <v>202609</v>
      </c>
      <c r="H33" t="s">
        <v>75</v>
      </c>
      <c r="I33" t="s">
        <v>76</v>
      </c>
      <c r="J33" t="s">
        <v>77</v>
      </c>
      <c r="K33" t="s">
        <v>78</v>
      </c>
      <c r="L33" t="s">
        <v>100</v>
      </c>
      <c r="M33" t="s">
        <v>101</v>
      </c>
      <c r="N33" t="s">
        <v>234</v>
      </c>
      <c r="O33" t="s">
        <v>89</v>
      </c>
      <c r="P33" t="str">
        <f>"4170071291                    "</f>
        <v xml:space="preserve">4170071291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33.35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1</v>
      </c>
      <c r="BJ33">
        <v>2.6</v>
      </c>
      <c r="BK33">
        <v>3</v>
      </c>
      <c r="BL33">
        <v>109.15</v>
      </c>
      <c r="BM33">
        <v>16.37</v>
      </c>
      <c r="BN33">
        <v>125.52</v>
      </c>
      <c r="BO33">
        <v>125.52</v>
      </c>
      <c r="BQ33" t="s">
        <v>235</v>
      </c>
      <c r="BR33" t="s">
        <v>82</v>
      </c>
      <c r="BS33" s="3">
        <v>45994</v>
      </c>
      <c r="BT33" s="4">
        <v>0.40486111111111112</v>
      </c>
      <c r="BU33" t="s">
        <v>236</v>
      </c>
      <c r="BV33" t="s">
        <v>87</v>
      </c>
      <c r="BY33">
        <v>12816</v>
      </c>
      <c r="CA33" t="s">
        <v>237</v>
      </c>
      <c r="CC33" t="s">
        <v>101</v>
      </c>
      <c r="CD33">
        <v>3629</v>
      </c>
      <c r="CE33" t="s">
        <v>233</v>
      </c>
      <c r="CF33" s="3">
        <v>45996</v>
      </c>
      <c r="CI33">
        <v>1</v>
      </c>
      <c r="CJ33">
        <v>2</v>
      </c>
      <c r="CK33">
        <v>21</v>
      </c>
      <c r="CL33" t="s">
        <v>87</v>
      </c>
    </row>
    <row r="34" spans="1:90" x14ac:dyDescent="0.3">
      <c r="A34" t="s">
        <v>72</v>
      </c>
      <c r="B34" t="s">
        <v>73</v>
      </c>
      <c r="C34" t="s">
        <v>74</v>
      </c>
      <c r="E34" t="str">
        <f>"080069578184"</f>
        <v>080069578184</v>
      </c>
      <c r="F34" s="3">
        <v>45992</v>
      </c>
      <c r="G34">
        <v>202609</v>
      </c>
      <c r="H34" t="s">
        <v>75</v>
      </c>
      <c r="I34" t="s">
        <v>76</v>
      </c>
      <c r="J34" t="s">
        <v>77</v>
      </c>
      <c r="K34" t="s">
        <v>78</v>
      </c>
      <c r="L34" t="s">
        <v>94</v>
      </c>
      <c r="M34" t="s">
        <v>95</v>
      </c>
      <c r="N34" t="s">
        <v>238</v>
      </c>
      <c r="O34" t="s">
        <v>89</v>
      </c>
      <c r="P34" t="str">
        <f>"4170071261                    "</f>
        <v xml:space="preserve">4170071261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61.14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4</v>
      </c>
      <c r="BJ34">
        <v>5.5</v>
      </c>
      <c r="BK34">
        <v>5.5</v>
      </c>
      <c r="BL34">
        <v>200.09</v>
      </c>
      <c r="BM34">
        <v>30.01</v>
      </c>
      <c r="BN34">
        <v>230.1</v>
      </c>
      <c r="BO34">
        <v>230.1</v>
      </c>
      <c r="BQ34" t="s">
        <v>239</v>
      </c>
      <c r="BR34" t="s">
        <v>82</v>
      </c>
      <c r="BS34" s="3">
        <v>45993</v>
      </c>
      <c r="BT34" s="4">
        <v>0.43194444444444446</v>
      </c>
      <c r="BU34" t="s">
        <v>240</v>
      </c>
      <c r="BV34" t="s">
        <v>84</v>
      </c>
      <c r="BY34">
        <v>27744</v>
      </c>
      <c r="BZ34" t="s">
        <v>125</v>
      </c>
      <c r="CC34" t="s">
        <v>95</v>
      </c>
      <c r="CD34">
        <v>3610</v>
      </c>
      <c r="CE34" t="s">
        <v>93</v>
      </c>
      <c r="CF34" s="3">
        <v>45993</v>
      </c>
      <c r="CI34">
        <v>1</v>
      </c>
      <c r="CJ34">
        <v>1</v>
      </c>
      <c r="CK34">
        <v>21</v>
      </c>
      <c r="CL34" t="s">
        <v>87</v>
      </c>
    </row>
    <row r="35" spans="1:90" x14ac:dyDescent="0.3">
      <c r="A35" t="s">
        <v>72</v>
      </c>
      <c r="B35" t="s">
        <v>73</v>
      </c>
      <c r="C35" t="s">
        <v>74</v>
      </c>
      <c r="E35" t="str">
        <f>"080069578280"</f>
        <v>080069578280</v>
      </c>
      <c r="F35" s="3">
        <v>45992</v>
      </c>
      <c r="G35">
        <v>202609</v>
      </c>
      <c r="H35" t="s">
        <v>75</v>
      </c>
      <c r="I35" t="s">
        <v>76</v>
      </c>
      <c r="J35" t="s">
        <v>77</v>
      </c>
      <c r="K35" t="s">
        <v>78</v>
      </c>
      <c r="L35" t="s">
        <v>241</v>
      </c>
      <c r="M35" t="s">
        <v>242</v>
      </c>
      <c r="N35" t="s">
        <v>243</v>
      </c>
      <c r="O35" t="s">
        <v>89</v>
      </c>
      <c r="P35" t="str">
        <f>"4170071270                    "</f>
        <v xml:space="preserve">4170071270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22.24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</v>
      </c>
      <c r="BJ35">
        <v>1.1000000000000001</v>
      </c>
      <c r="BK35">
        <v>1.5</v>
      </c>
      <c r="BL35">
        <v>72.78</v>
      </c>
      <c r="BM35">
        <v>10.92</v>
      </c>
      <c r="BN35">
        <v>83.7</v>
      </c>
      <c r="BO35">
        <v>83.7</v>
      </c>
      <c r="BQ35" t="s">
        <v>244</v>
      </c>
      <c r="BR35" t="s">
        <v>82</v>
      </c>
      <c r="BS35" s="3">
        <v>45994</v>
      </c>
      <c r="BT35" s="4">
        <v>0.39444444444444443</v>
      </c>
      <c r="BU35" t="s">
        <v>245</v>
      </c>
      <c r="BV35" t="s">
        <v>87</v>
      </c>
      <c r="BW35" t="s">
        <v>246</v>
      </c>
      <c r="BX35" t="s">
        <v>247</v>
      </c>
      <c r="BY35">
        <v>5510</v>
      </c>
      <c r="CA35" t="s">
        <v>248</v>
      </c>
      <c r="CC35" t="s">
        <v>242</v>
      </c>
      <c r="CD35">
        <v>4302</v>
      </c>
      <c r="CE35" t="s">
        <v>86</v>
      </c>
      <c r="CF35" s="3">
        <v>45994</v>
      </c>
      <c r="CI35">
        <v>1</v>
      </c>
      <c r="CJ35">
        <v>2</v>
      </c>
      <c r="CK35">
        <v>21</v>
      </c>
      <c r="CL35" t="s">
        <v>87</v>
      </c>
    </row>
    <row r="36" spans="1:90" x14ac:dyDescent="0.3">
      <c r="A36" t="s">
        <v>72</v>
      </c>
      <c r="B36" t="s">
        <v>73</v>
      </c>
      <c r="C36" t="s">
        <v>74</v>
      </c>
      <c r="E36" t="str">
        <f>"080069578424"</f>
        <v>080069578424</v>
      </c>
      <c r="F36" s="3">
        <v>45992</v>
      </c>
      <c r="G36">
        <v>202609</v>
      </c>
      <c r="H36" t="s">
        <v>75</v>
      </c>
      <c r="I36" t="s">
        <v>76</v>
      </c>
      <c r="J36" t="s">
        <v>77</v>
      </c>
      <c r="K36" t="s">
        <v>78</v>
      </c>
      <c r="L36" t="s">
        <v>100</v>
      </c>
      <c r="M36" t="s">
        <v>101</v>
      </c>
      <c r="N36" t="s">
        <v>249</v>
      </c>
      <c r="O36" t="s">
        <v>89</v>
      </c>
      <c r="P36" t="str">
        <f>"4170071196                    "</f>
        <v xml:space="preserve">4170071196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22.24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</v>
      </c>
      <c r="BJ36">
        <v>1.9</v>
      </c>
      <c r="BK36">
        <v>2</v>
      </c>
      <c r="BL36">
        <v>72.78</v>
      </c>
      <c r="BM36">
        <v>10.92</v>
      </c>
      <c r="BN36">
        <v>83.7</v>
      </c>
      <c r="BO36">
        <v>83.7</v>
      </c>
      <c r="BQ36" t="s">
        <v>250</v>
      </c>
      <c r="BR36" t="s">
        <v>82</v>
      </c>
      <c r="BS36" s="3">
        <v>45993</v>
      </c>
      <c r="BT36" s="4">
        <v>0.40625</v>
      </c>
      <c r="BU36" t="s">
        <v>251</v>
      </c>
      <c r="BV36" t="s">
        <v>84</v>
      </c>
      <c r="BY36">
        <v>9600</v>
      </c>
      <c r="CC36" t="s">
        <v>101</v>
      </c>
      <c r="CD36">
        <v>4068</v>
      </c>
      <c r="CE36" t="s">
        <v>86</v>
      </c>
      <c r="CF36" s="3">
        <v>45994</v>
      </c>
      <c r="CI36">
        <v>1</v>
      </c>
      <c r="CJ36">
        <v>1</v>
      </c>
      <c r="CK36">
        <v>21</v>
      </c>
      <c r="CL36" t="s">
        <v>87</v>
      </c>
    </row>
    <row r="37" spans="1:90" x14ac:dyDescent="0.3">
      <c r="A37" t="s">
        <v>72</v>
      </c>
      <c r="B37" t="s">
        <v>73</v>
      </c>
      <c r="C37" t="s">
        <v>74</v>
      </c>
      <c r="E37" t="str">
        <f>"080069578553"</f>
        <v>080069578553</v>
      </c>
      <c r="F37" s="3">
        <v>45992</v>
      </c>
      <c r="G37">
        <v>202609</v>
      </c>
      <c r="H37" t="s">
        <v>75</v>
      </c>
      <c r="I37" t="s">
        <v>76</v>
      </c>
      <c r="J37" t="s">
        <v>77</v>
      </c>
      <c r="K37" t="s">
        <v>78</v>
      </c>
      <c r="L37" t="s">
        <v>252</v>
      </c>
      <c r="M37" t="s">
        <v>253</v>
      </c>
      <c r="N37" t="s">
        <v>254</v>
      </c>
      <c r="O37" t="s">
        <v>89</v>
      </c>
      <c r="P37" t="str">
        <f>"4170071168                    "</f>
        <v xml:space="preserve">4170071168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31.28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2</v>
      </c>
      <c r="BJ37">
        <v>1.4</v>
      </c>
      <c r="BK37">
        <v>2</v>
      </c>
      <c r="BL37">
        <v>102.36</v>
      </c>
      <c r="BM37">
        <v>15.35</v>
      </c>
      <c r="BN37">
        <v>117.71</v>
      </c>
      <c r="BO37">
        <v>117.71</v>
      </c>
      <c r="BQ37" t="s">
        <v>255</v>
      </c>
      <c r="BR37" t="s">
        <v>82</v>
      </c>
      <c r="BS37" s="3">
        <v>45993</v>
      </c>
      <c r="BT37" s="4">
        <v>0.41805555555555557</v>
      </c>
      <c r="BU37" t="s">
        <v>256</v>
      </c>
      <c r="BV37" t="s">
        <v>84</v>
      </c>
      <c r="BY37">
        <v>7000</v>
      </c>
      <c r="CA37" t="s">
        <v>257</v>
      </c>
      <c r="CC37" t="s">
        <v>253</v>
      </c>
      <c r="CD37">
        <v>2210</v>
      </c>
      <c r="CE37" t="s">
        <v>86</v>
      </c>
      <c r="CF37" s="3">
        <v>45994</v>
      </c>
      <c r="CI37">
        <v>1</v>
      </c>
      <c r="CJ37">
        <v>1</v>
      </c>
      <c r="CK37">
        <v>24</v>
      </c>
      <c r="CL37" t="s">
        <v>87</v>
      </c>
    </row>
    <row r="38" spans="1:90" x14ac:dyDescent="0.3">
      <c r="A38" t="s">
        <v>72</v>
      </c>
      <c r="B38" t="s">
        <v>73</v>
      </c>
      <c r="C38" t="s">
        <v>74</v>
      </c>
      <c r="E38" t="str">
        <f>"080069578549"</f>
        <v>080069578549</v>
      </c>
      <c r="F38" s="3">
        <v>45992</v>
      </c>
      <c r="G38">
        <v>202609</v>
      </c>
      <c r="H38" t="s">
        <v>75</v>
      </c>
      <c r="I38" t="s">
        <v>76</v>
      </c>
      <c r="J38" t="s">
        <v>77</v>
      </c>
      <c r="K38" t="s">
        <v>78</v>
      </c>
      <c r="L38" t="s">
        <v>208</v>
      </c>
      <c r="M38" t="s">
        <v>209</v>
      </c>
      <c r="N38" t="s">
        <v>258</v>
      </c>
      <c r="O38" t="s">
        <v>80</v>
      </c>
      <c r="P38" t="str">
        <f>"4170071206                    "</f>
        <v xml:space="preserve">4170071206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43.01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2</v>
      </c>
      <c r="BI38">
        <v>8</v>
      </c>
      <c r="BJ38">
        <v>10</v>
      </c>
      <c r="BK38">
        <v>10</v>
      </c>
      <c r="BL38">
        <v>146.85</v>
      </c>
      <c r="BM38">
        <v>22.03</v>
      </c>
      <c r="BN38">
        <v>168.88</v>
      </c>
      <c r="BO38">
        <v>168.88</v>
      </c>
      <c r="BQ38" t="s">
        <v>259</v>
      </c>
      <c r="BR38" t="s">
        <v>82</v>
      </c>
      <c r="BS38" s="3">
        <v>45993</v>
      </c>
      <c r="BT38" s="4">
        <v>0.32569444444444445</v>
      </c>
      <c r="BU38" t="s">
        <v>260</v>
      </c>
      <c r="BV38" t="s">
        <v>84</v>
      </c>
      <c r="BY38">
        <v>49761</v>
      </c>
      <c r="CA38">
        <v>7712195338085</v>
      </c>
      <c r="CC38" t="s">
        <v>209</v>
      </c>
      <c r="CD38" s="5" t="s">
        <v>213</v>
      </c>
      <c r="CE38" t="s">
        <v>93</v>
      </c>
      <c r="CF38" s="3">
        <v>45993</v>
      </c>
      <c r="CI38">
        <v>1</v>
      </c>
      <c r="CJ38">
        <v>1</v>
      </c>
      <c r="CK38">
        <v>41</v>
      </c>
      <c r="CL38" t="s">
        <v>87</v>
      </c>
    </row>
    <row r="39" spans="1:90" x14ac:dyDescent="0.3">
      <c r="A39" t="s">
        <v>72</v>
      </c>
      <c r="B39" t="s">
        <v>73</v>
      </c>
      <c r="C39" t="s">
        <v>74</v>
      </c>
      <c r="E39" t="str">
        <f>"080069578605"</f>
        <v>080069578605</v>
      </c>
      <c r="F39" s="3">
        <v>45992</v>
      </c>
      <c r="G39">
        <v>202609</v>
      </c>
      <c r="H39" t="s">
        <v>75</v>
      </c>
      <c r="I39" t="s">
        <v>76</v>
      </c>
      <c r="J39" t="s">
        <v>77</v>
      </c>
      <c r="K39" t="s">
        <v>78</v>
      </c>
      <c r="L39" t="s">
        <v>156</v>
      </c>
      <c r="M39" t="s">
        <v>157</v>
      </c>
      <c r="N39" t="s">
        <v>261</v>
      </c>
      <c r="O39" t="s">
        <v>89</v>
      </c>
      <c r="P39" t="str">
        <f>"4170071259                    "</f>
        <v xml:space="preserve">4170071259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22.24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1</v>
      </c>
      <c r="BJ39">
        <v>1.1000000000000001</v>
      </c>
      <c r="BK39">
        <v>1.5</v>
      </c>
      <c r="BL39">
        <v>72.78</v>
      </c>
      <c r="BM39">
        <v>10.92</v>
      </c>
      <c r="BN39">
        <v>83.7</v>
      </c>
      <c r="BO39">
        <v>83.7</v>
      </c>
      <c r="BQ39" t="s">
        <v>262</v>
      </c>
      <c r="BR39" t="s">
        <v>82</v>
      </c>
      <c r="BS39" s="3">
        <v>45993</v>
      </c>
      <c r="BT39" s="4">
        <v>0.42083333333333334</v>
      </c>
      <c r="BU39" t="s">
        <v>263</v>
      </c>
      <c r="BV39" t="s">
        <v>84</v>
      </c>
      <c r="BY39">
        <v>5510</v>
      </c>
      <c r="BZ39" t="s">
        <v>125</v>
      </c>
      <c r="CA39" t="s">
        <v>264</v>
      </c>
      <c r="CC39" t="s">
        <v>157</v>
      </c>
      <c r="CD39">
        <v>7441</v>
      </c>
      <c r="CE39" t="s">
        <v>147</v>
      </c>
      <c r="CF39" s="3">
        <v>45994</v>
      </c>
      <c r="CI39">
        <v>1</v>
      </c>
      <c r="CJ39">
        <v>1</v>
      </c>
      <c r="CK39">
        <v>21</v>
      </c>
      <c r="CL39" t="s">
        <v>87</v>
      </c>
    </row>
    <row r="40" spans="1:90" x14ac:dyDescent="0.3">
      <c r="A40" t="s">
        <v>72</v>
      </c>
      <c r="B40" t="s">
        <v>73</v>
      </c>
      <c r="C40" t="s">
        <v>74</v>
      </c>
      <c r="E40" t="str">
        <f>"080069578669"</f>
        <v>080069578669</v>
      </c>
      <c r="F40" s="3">
        <v>45992</v>
      </c>
      <c r="G40">
        <v>202609</v>
      </c>
      <c r="H40" t="s">
        <v>75</v>
      </c>
      <c r="I40" t="s">
        <v>76</v>
      </c>
      <c r="J40" t="s">
        <v>77</v>
      </c>
      <c r="K40" t="s">
        <v>78</v>
      </c>
      <c r="L40" t="s">
        <v>265</v>
      </c>
      <c r="M40" t="s">
        <v>266</v>
      </c>
      <c r="N40" t="s">
        <v>267</v>
      </c>
      <c r="O40" t="s">
        <v>89</v>
      </c>
      <c r="P40" t="str">
        <f>"4170071205                    "</f>
        <v xml:space="preserve">4170071205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17.37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5</v>
      </c>
      <c r="BJ40">
        <v>4.0999999999999996</v>
      </c>
      <c r="BK40">
        <v>5</v>
      </c>
      <c r="BL40">
        <v>56.85</v>
      </c>
      <c r="BM40">
        <v>8.5299999999999994</v>
      </c>
      <c r="BN40">
        <v>65.38</v>
      </c>
      <c r="BO40">
        <v>65.38</v>
      </c>
      <c r="BQ40" t="s">
        <v>268</v>
      </c>
      <c r="BR40" t="s">
        <v>82</v>
      </c>
      <c r="BS40" s="3">
        <v>45995</v>
      </c>
      <c r="BT40" s="4">
        <v>0.51111111111111107</v>
      </c>
      <c r="BU40" t="s">
        <v>236</v>
      </c>
      <c r="BV40" t="s">
        <v>87</v>
      </c>
      <c r="BW40" t="s">
        <v>269</v>
      </c>
      <c r="BX40" t="s">
        <v>270</v>
      </c>
      <c r="BY40">
        <v>20358</v>
      </c>
      <c r="BZ40" t="s">
        <v>271</v>
      </c>
      <c r="CA40" t="s">
        <v>237</v>
      </c>
      <c r="CC40" t="s">
        <v>266</v>
      </c>
      <c r="CD40">
        <v>1459</v>
      </c>
      <c r="CE40" t="s">
        <v>147</v>
      </c>
      <c r="CF40" s="3">
        <v>45997</v>
      </c>
      <c r="CI40">
        <v>1</v>
      </c>
      <c r="CJ40">
        <v>3</v>
      </c>
      <c r="CK40">
        <v>22</v>
      </c>
      <c r="CL40" t="s">
        <v>87</v>
      </c>
    </row>
    <row r="41" spans="1:90" x14ac:dyDescent="0.3">
      <c r="A41" t="s">
        <v>72</v>
      </c>
      <c r="B41" t="s">
        <v>73</v>
      </c>
      <c r="C41" t="s">
        <v>74</v>
      </c>
      <c r="E41" t="str">
        <f>"080069578743"</f>
        <v>080069578743</v>
      </c>
      <c r="F41" s="3">
        <v>45992</v>
      </c>
      <c r="G41">
        <v>202609</v>
      </c>
      <c r="H41" t="s">
        <v>75</v>
      </c>
      <c r="I41" t="s">
        <v>76</v>
      </c>
      <c r="J41" t="s">
        <v>77</v>
      </c>
      <c r="K41" t="s">
        <v>78</v>
      </c>
      <c r="L41" t="s">
        <v>272</v>
      </c>
      <c r="M41" t="s">
        <v>273</v>
      </c>
      <c r="N41" t="s">
        <v>274</v>
      </c>
      <c r="O41" t="s">
        <v>89</v>
      </c>
      <c r="P41" t="str">
        <f>"4170071257                    "</f>
        <v xml:space="preserve">4170071257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22.24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</v>
      </c>
      <c r="BJ41">
        <v>0.2</v>
      </c>
      <c r="BK41">
        <v>1</v>
      </c>
      <c r="BL41">
        <v>72.78</v>
      </c>
      <c r="BM41">
        <v>10.92</v>
      </c>
      <c r="BN41">
        <v>83.7</v>
      </c>
      <c r="BO41">
        <v>83.7</v>
      </c>
      <c r="BQ41" t="s">
        <v>275</v>
      </c>
      <c r="BR41" t="s">
        <v>82</v>
      </c>
      <c r="BS41" s="3">
        <v>45993</v>
      </c>
      <c r="BT41" s="4">
        <v>0.42986111111111114</v>
      </c>
      <c r="BU41" t="s">
        <v>276</v>
      </c>
      <c r="BV41" t="s">
        <v>84</v>
      </c>
      <c r="BY41">
        <v>1200</v>
      </c>
      <c r="BZ41" t="s">
        <v>125</v>
      </c>
      <c r="CA41" t="s">
        <v>277</v>
      </c>
      <c r="CC41" t="s">
        <v>273</v>
      </c>
      <c r="CD41">
        <v>6220</v>
      </c>
      <c r="CE41" t="s">
        <v>127</v>
      </c>
      <c r="CF41" s="3">
        <v>45993</v>
      </c>
      <c r="CI41">
        <v>1</v>
      </c>
      <c r="CJ41">
        <v>1</v>
      </c>
      <c r="CK41">
        <v>21</v>
      </c>
      <c r="CL41" t="s">
        <v>87</v>
      </c>
    </row>
    <row r="42" spans="1:90" x14ac:dyDescent="0.3">
      <c r="A42" t="s">
        <v>72</v>
      </c>
      <c r="B42" t="s">
        <v>73</v>
      </c>
      <c r="C42" t="s">
        <v>74</v>
      </c>
      <c r="E42" t="str">
        <f>"080069578869"</f>
        <v>080069578869</v>
      </c>
      <c r="F42" s="3">
        <v>45992</v>
      </c>
      <c r="G42">
        <v>202609</v>
      </c>
      <c r="H42" t="s">
        <v>75</v>
      </c>
      <c r="I42" t="s">
        <v>76</v>
      </c>
      <c r="J42" t="s">
        <v>77</v>
      </c>
      <c r="K42" t="s">
        <v>78</v>
      </c>
      <c r="L42" t="s">
        <v>218</v>
      </c>
      <c r="M42" t="s">
        <v>219</v>
      </c>
      <c r="N42" t="s">
        <v>220</v>
      </c>
      <c r="O42" t="s">
        <v>89</v>
      </c>
      <c r="P42" t="str">
        <f>"4170071203                    "</f>
        <v xml:space="preserve">4170071203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43.09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</v>
      </c>
      <c r="BJ42">
        <v>0.2</v>
      </c>
      <c r="BK42">
        <v>1</v>
      </c>
      <c r="BL42">
        <v>141.02000000000001</v>
      </c>
      <c r="BM42">
        <v>21.15</v>
      </c>
      <c r="BN42">
        <v>162.16999999999999</v>
      </c>
      <c r="BO42">
        <v>162.16999999999999</v>
      </c>
      <c r="BQ42" t="s">
        <v>221</v>
      </c>
      <c r="BR42" t="s">
        <v>82</v>
      </c>
      <c r="BS42" s="3">
        <v>45993</v>
      </c>
      <c r="BT42" s="4">
        <v>0.2986111111111111</v>
      </c>
      <c r="BU42" t="s">
        <v>222</v>
      </c>
      <c r="BV42" t="s">
        <v>84</v>
      </c>
      <c r="BY42">
        <v>1200</v>
      </c>
      <c r="CC42" t="s">
        <v>219</v>
      </c>
      <c r="CD42">
        <v>2740</v>
      </c>
      <c r="CE42" t="s">
        <v>134</v>
      </c>
      <c r="CF42" s="3">
        <v>45994</v>
      </c>
      <c r="CI42">
        <v>1</v>
      </c>
      <c r="CJ42">
        <v>1</v>
      </c>
      <c r="CK42">
        <v>23</v>
      </c>
      <c r="CL42" t="s">
        <v>87</v>
      </c>
    </row>
    <row r="43" spans="1:90" x14ac:dyDescent="0.3">
      <c r="A43" t="s">
        <v>72</v>
      </c>
      <c r="B43" t="s">
        <v>73</v>
      </c>
      <c r="C43" t="s">
        <v>74</v>
      </c>
      <c r="E43" t="str">
        <f>"080069578946"</f>
        <v>080069578946</v>
      </c>
      <c r="F43" s="3">
        <v>45992</v>
      </c>
      <c r="G43">
        <v>202609</v>
      </c>
      <c r="H43" t="s">
        <v>75</v>
      </c>
      <c r="I43" t="s">
        <v>76</v>
      </c>
      <c r="J43" t="s">
        <v>77</v>
      </c>
      <c r="K43" t="s">
        <v>78</v>
      </c>
      <c r="L43" t="s">
        <v>278</v>
      </c>
      <c r="M43" t="s">
        <v>279</v>
      </c>
      <c r="N43" t="s">
        <v>280</v>
      </c>
      <c r="O43" t="s">
        <v>89</v>
      </c>
      <c r="P43" t="str">
        <f>"4170071201                    "</f>
        <v xml:space="preserve">4170071201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43.09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1</v>
      </c>
      <c r="BJ43">
        <v>0.2</v>
      </c>
      <c r="BK43">
        <v>1</v>
      </c>
      <c r="BL43">
        <v>141.02000000000001</v>
      </c>
      <c r="BM43">
        <v>21.15</v>
      </c>
      <c r="BN43">
        <v>162.16999999999999</v>
      </c>
      <c r="BO43">
        <v>162.16999999999999</v>
      </c>
      <c r="BQ43" t="s">
        <v>281</v>
      </c>
      <c r="BR43" t="s">
        <v>82</v>
      </c>
      <c r="BS43" s="3">
        <v>45994</v>
      </c>
      <c r="BT43" s="4">
        <v>0.52638888888888891</v>
      </c>
      <c r="BU43" t="s">
        <v>282</v>
      </c>
      <c r="BV43" t="s">
        <v>84</v>
      </c>
      <c r="BY43">
        <v>1200</v>
      </c>
      <c r="CC43" t="s">
        <v>279</v>
      </c>
      <c r="CD43">
        <v>5820</v>
      </c>
      <c r="CE43" t="s">
        <v>134</v>
      </c>
      <c r="CF43" s="3">
        <v>45995</v>
      </c>
      <c r="CI43">
        <v>2</v>
      </c>
      <c r="CJ43">
        <v>2</v>
      </c>
      <c r="CK43">
        <v>23</v>
      </c>
      <c r="CL43" t="s">
        <v>87</v>
      </c>
    </row>
    <row r="44" spans="1:90" x14ac:dyDescent="0.3">
      <c r="A44" t="s">
        <v>72</v>
      </c>
      <c r="B44" t="s">
        <v>73</v>
      </c>
      <c r="C44" t="s">
        <v>74</v>
      </c>
      <c r="E44" t="str">
        <f>"080069579030"</f>
        <v>080069579030</v>
      </c>
      <c r="F44" s="3">
        <v>45992</v>
      </c>
      <c r="G44">
        <v>202609</v>
      </c>
      <c r="H44" t="s">
        <v>75</v>
      </c>
      <c r="I44" t="s">
        <v>76</v>
      </c>
      <c r="J44" t="s">
        <v>77</v>
      </c>
      <c r="K44" t="s">
        <v>78</v>
      </c>
      <c r="L44" t="s">
        <v>283</v>
      </c>
      <c r="M44" t="s">
        <v>284</v>
      </c>
      <c r="N44" t="s">
        <v>285</v>
      </c>
      <c r="O44" t="s">
        <v>89</v>
      </c>
      <c r="P44" t="str">
        <f>"4170071300                    "</f>
        <v xml:space="preserve">4170071300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43.09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0.2</v>
      </c>
      <c r="BK44">
        <v>1</v>
      </c>
      <c r="BL44">
        <v>141.02000000000001</v>
      </c>
      <c r="BM44">
        <v>21.15</v>
      </c>
      <c r="BN44">
        <v>162.16999999999999</v>
      </c>
      <c r="BO44">
        <v>162.16999999999999</v>
      </c>
      <c r="BQ44" t="s">
        <v>286</v>
      </c>
      <c r="BR44" t="s">
        <v>82</v>
      </c>
      <c r="BS44" s="3">
        <v>45994</v>
      </c>
      <c r="BT44" s="4">
        <v>0.36458333333333331</v>
      </c>
      <c r="BU44" t="s">
        <v>287</v>
      </c>
      <c r="BV44" t="s">
        <v>87</v>
      </c>
      <c r="BW44" t="s">
        <v>186</v>
      </c>
      <c r="BX44" t="s">
        <v>288</v>
      </c>
      <c r="BY44">
        <v>1200</v>
      </c>
      <c r="CA44">
        <v>6805135560080</v>
      </c>
      <c r="CC44" t="s">
        <v>284</v>
      </c>
      <c r="CD44">
        <v>1947</v>
      </c>
      <c r="CE44" t="s">
        <v>134</v>
      </c>
      <c r="CF44" s="3">
        <v>45995</v>
      </c>
      <c r="CI44">
        <v>1</v>
      </c>
      <c r="CJ44">
        <v>2</v>
      </c>
      <c r="CK44">
        <v>23</v>
      </c>
      <c r="CL44" t="s">
        <v>87</v>
      </c>
    </row>
    <row r="45" spans="1:90" x14ac:dyDescent="0.3">
      <c r="A45" t="s">
        <v>72</v>
      </c>
      <c r="B45" t="s">
        <v>73</v>
      </c>
      <c r="C45" t="s">
        <v>74</v>
      </c>
      <c r="E45" t="str">
        <f>"080069579086"</f>
        <v>080069579086</v>
      </c>
      <c r="F45" s="3">
        <v>45992</v>
      </c>
      <c r="G45">
        <v>202609</v>
      </c>
      <c r="H45" t="s">
        <v>75</v>
      </c>
      <c r="I45" t="s">
        <v>76</v>
      </c>
      <c r="J45" t="s">
        <v>77</v>
      </c>
      <c r="K45" t="s">
        <v>78</v>
      </c>
      <c r="L45" t="s">
        <v>289</v>
      </c>
      <c r="M45" t="s">
        <v>290</v>
      </c>
      <c r="N45" t="s">
        <v>291</v>
      </c>
      <c r="O45" t="s">
        <v>89</v>
      </c>
      <c r="P45" t="str">
        <f>"4170071220                    "</f>
        <v xml:space="preserve">4170071220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159.83000000000001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8</v>
      </c>
      <c r="BJ45">
        <v>3.4</v>
      </c>
      <c r="BK45">
        <v>8</v>
      </c>
      <c r="BL45">
        <v>523.08000000000004</v>
      </c>
      <c r="BM45">
        <v>78.459999999999994</v>
      </c>
      <c r="BN45">
        <v>601.54</v>
      </c>
      <c r="BO45">
        <v>601.54</v>
      </c>
      <c r="BQ45" t="s">
        <v>292</v>
      </c>
      <c r="BR45" t="s">
        <v>82</v>
      </c>
      <c r="BS45" s="3">
        <v>45993</v>
      </c>
      <c r="BT45" s="4">
        <v>0.66666666666666663</v>
      </c>
      <c r="BU45" t="s">
        <v>293</v>
      </c>
      <c r="BV45" t="s">
        <v>87</v>
      </c>
      <c r="BW45" t="s">
        <v>246</v>
      </c>
      <c r="BX45" t="s">
        <v>294</v>
      </c>
      <c r="BY45">
        <v>16965</v>
      </c>
      <c r="CC45" t="s">
        <v>290</v>
      </c>
      <c r="CD45">
        <v>4170</v>
      </c>
      <c r="CE45" t="s">
        <v>86</v>
      </c>
      <c r="CF45" s="3">
        <v>45994</v>
      </c>
      <c r="CI45">
        <v>1</v>
      </c>
      <c r="CJ45">
        <v>1</v>
      </c>
      <c r="CK45">
        <v>23</v>
      </c>
      <c r="CL45" t="s">
        <v>87</v>
      </c>
    </row>
    <row r="46" spans="1:90" x14ac:dyDescent="0.3">
      <c r="A46" t="s">
        <v>72</v>
      </c>
      <c r="B46" t="s">
        <v>73</v>
      </c>
      <c r="C46" t="s">
        <v>74</v>
      </c>
      <c r="E46" t="str">
        <f>"080069579124"</f>
        <v>080069579124</v>
      </c>
      <c r="F46" s="3">
        <v>45992</v>
      </c>
      <c r="G46">
        <v>202609</v>
      </c>
      <c r="H46" t="s">
        <v>75</v>
      </c>
      <c r="I46" t="s">
        <v>76</v>
      </c>
      <c r="J46" t="s">
        <v>77</v>
      </c>
      <c r="K46" t="s">
        <v>78</v>
      </c>
      <c r="L46" t="s">
        <v>295</v>
      </c>
      <c r="M46" t="s">
        <v>296</v>
      </c>
      <c r="N46" t="s">
        <v>297</v>
      </c>
      <c r="O46" t="s">
        <v>89</v>
      </c>
      <c r="P46" t="str">
        <f>"4170071301                    "</f>
        <v xml:space="preserve">4170071301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17.37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1</v>
      </c>
      <c r="BJ46">
        <v>0.2</v>
      </c>
      <c r="BK46">
        <v>1</v>
      </c>
      <c r="BL46">
        <v>56.85</v>
      </c>
      <c r="BM46">
        <v>8.5299999999999994</v>
      </c>
      <c r="BN46">
        <v>65.38</v>
      </c>
      <c r="BO46">
        <v>65.38</v>
      </c>
      <c r="BQ46" t="s">
        <v>298</v>
      </c>
      <c r="BR46" t="s">
        <v>82</v>
      </c>
      <c r="BS46" s="3">
        <v>45995</v>
      </c>
      <c r="BT46" s="4">
        <v>0.41736111111111113</v>
      </c>
      <c r="BU46" t="s">
        <v>299</v>
      </c>
      <c r="BV46" t="s">
        <v>87</v>
      </c>
      <c r="BW46" t="s">
        <v>174</v>
      </c>
      <c r="BX46" t="s">
        <v>300</v>
      </c>
      <c r="BY46">
        <v>1200</v>
      </c>
      <c r="CA46" t="s">
        <v>301</v>
      </c>
      <c r="CC46" t="s">
        <v>296</v>
      </c>
      <c r="CD46">
        <v>1501</v>
      </c>
      <c r="CE46" t="s">
        <v>134</v>
      </c>
      <c r="CF46" s="3">
        <v>45996</v>
      </c>
      <c r="CI46">
        <v>1</v>
      </c>
      <c r="CJ46">
        <v>3</v>
      </c>
      <c r="CK46">
        <v>22</v>
      </c>
      <c r="CL46" t="s">
        <v>87</v>
      </c>
    </row>
    <row r="47" spans="1:90" x14ac:dyDescent="0.3">
      <c r="A47" t="s">
        <v>72</v>
      </c>
      <c r="B47" t="s">
        <v>73</v>
      </c>
      <c r="C47" t="s">
        <v>74</v>
      </c>
      <c r="E47" t="str">
        <f>"080069579228"</f>
        <v>080069579228</v>
      </c>
      <c r="F47" s="3">
        <v>45992</v>
      </c>
      <c r="G47">
        <v>202609</v>
      </c>
      <c r="H47" t="s">
        <v>75</v>
      </c>
      <c r="I47" t="s">
        <v>76</v>
      </c>
      <c r="J47" t="s">
        <v>77</v>
      </c>
      <c r="K47" t="s">
        <v>78</v>
      </c>
      <c r="L47" t="s">
        <v>302</v>
      </c>
      <c r="M47" t="s">
        <v>303</v>
      </c>
      <c r="N47" t="s">
        <v>304</v>
      </c>
      <c r="O47" t="s">
        <v>80</v>
      </c>
      <c r="P47" t="str">
        <f>"4170071076                    "</f>
        <v xml:space="preserve">4170071076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75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26</v>
      </c>
      <c r="BJ47">
        <v>32.6</v>
      </c>
      <c r="BK47">
        <v>33</v>
      </c>
      <c r="BL47">
        <v>251.56</v>
      </c>
      <c r="BM47">
        <v>37.729999999999997</v>
      </c>
      <c r="BN47">
        <v>289.29000000000002</v>
      </c>
      <c r="BO47">
        <v>289.29000000000002</v>
      </c>
      <c r="BQ47" t="s">
        <v>305</v>
      </c>
      <c r="BR47" t="s">
        <v>82</v>
      </c>
      <c r="BS47" s="3">
        <v>45993</v>
      </c>
      <c r="BT47" s="4">
        <v>0.53055555555555556</v>
      </c>
      <c r="BU47" t="s">
        <v>306</v>
      </c>
      <c r="BV47" t="s">
        <v>84</v>
      </c>
      <c r="BY47">
        <v>162840</v>
      </c>
      <c r="CA47">
        <v>8303236124087</v>
      </c>
      <c r="CC47" t="s">
        <v>303</v>
      </c>
      <c r="CD47" s="5" t="s">
        <v>307</v>
      </c>
      <c r="CE47" t="s">
        <v>86</v>
      </c>
      <c r="CF47" s="3">
        <v>45993</v>
      </c>
      <c r="CI47">
        <v>1</v>
      </c>
      <c r="CJ47">
        <v>1</v>
      </c>
      <c r="CK47">
        <v>41</v>
      </c>
      <c r="CL47" t="s">
        <v>87</v>
      </c>
    </row>
    <row r="48" spans="1:90" x14ac:dyDescent="0.3">
      <c r="A48" t="s">
        <v>72</v>
      </c>
      <c r="B48" t="s">
        <v>73</v>
      </c>
      <c r="C48" t="s">
        <v>74</v>
      </c>
      <c r="E48" t="str">
        <f>"080069579265"</f>
        <v>080069579265</v>
      </c>
      <c r="F48" s="3">
        <v>45992</v>
      </c>
      <c r="G48">
        <v>202609</v>
      </c>
      <c r="H48" t="s">
        <v>75</v>
      </c>
      <c r="I48" t="s">
        <v>76</v>
      </c>
      <c r="J48" t="s">
        <v>77</v>
      </c>
      <c r="K48" t="s">
        <v>78</v>
      </c>
      <c r="L48" t="s">
        <v>156</v>
      </c>
      <c r="M48" t="s">
        <v>157</v>
      </c>
      <c r="N48" t="s">
        <v>261</v>
      </c>
      <c r="O48" t="s">
        <v>89</v>
      </c>
      <c r="P48" t="str">
        <f>"4170071302                    "</f>
        <v xml:space="preserve">4170071302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22.24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1</v>
      </c>
      <c r="BJ48">
        <v>0.2</v>
      </c>
      <c r="BK48">
        <v>1</v>
      </c>
      <c r="BL48">
        <v>72.78</v>
      </c>
      <c r="BM48">
        <v>10.92</v>
      </c>
      <c r="BN48">
        <v>83.7</v>
      </c>
      <c r="BO48">
        <v>83.7</v>
      </c>
      <c r="BQ48" t="s">
        <v>262</v>
      </c>
      <c r="BR48" t="s">
        <v>82</v>
      </c>
      <c r="BS48" s="3">
        <v>45993</v>
      </c>
      <c r="BT48" s="4">
        <v>0.42083333333333334</v>
      </c>
      <c r="BU48" t="s">
        <v>263</v>
      </c>
      <c r="BV48" t="s">
        <v>84</v>
      </c>
      <c r="BY48">
        <v>1200</v>
      </c>
      <c r="BZ48" t="s">
        <v>125</v>
      </c>
      <c r="CA48" t="s">
        <v>264</v>
      </c>
      <c r="CC48" t="s">
        <v>157</v>
      </c>
      <c r="CD48">
        <v>7441</v>
      </c>
      <c r="CE48" t="s">
        <v>127</v>
      </c>
      <c r="CF48" s="3">
        <v>45994</v>
      </c>
      <c r="CI48">
        <v>1</v>
      </c>
      <c r="CJ48">
        <v>1</v>
      </c>
      <c r="CK48">
        <v>21</v>
      </c>
      <c r="CL48" t="s">
        <v>87</v>
      </c>
    </row>
    <row r="49" spans="1:90" x14ac:dyDescent="0.3">
      <c r="A49" t="s">
        <v>72</v>
      </c>
      <c r="B49" t="s">
        <v>73</v>
      </c>
      <c r="C49" t="s">
        <v>74</v>
      </c>
      <c r="E49" t="str">
        <f>"080069579295"</f>
        <v>080069579295</v>
      </c>
      <c r="F49" s="3">
        <v>45992</v>
      </c>
      <c r="G49">
        <v>202609</v>
      </c>
      <c r="H49" t="s">
        <v>75</v>
      </c>
      <c r="I49" t="s">
        <v>76</v>
      </c>
      <c r="J49" t="s">
        <v>77</v>
      </c>
      <c r="K49" t="s">
        <v>78</v>
      </c>
      <c r="L49" t="s">
        <v>189</v>
      </c>
      <c r="M49" t="s">
        <v>190</v>
      </c>
      <c r="N49" t="s">
        <v>308</v>
      </c>
      <c r="O49" t="s">
        <v>89</v>
      </c>
      <c r="P49" t="str">
        <f>"4170071239                    "</f>
        <v xml:space="preserve">4170071239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44.47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17.41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3.6</v>
      </c>
      <c r="BJ49">
        <v>3.3</v>
      </c>
      <c r="BK49">
        <v>4</v>
      </c>
      <c r="BL49">
        <v>162.94</v>
      </c>
      <c r="BM49">
        <v>24.44</v>
      </c>
      <c r="BN49">
        <v>187.38</v>
      </c>
      <c r="BO49">
        <v>187.38</v>
      </c>
      <c r="BQ49" t="s">
        <v>309</v>
      </c>
      <c r="BR49" t="s">
        <v>82</v>
      </c>
      <c r="BS49" s="3">
        <v>45994</v>
      </c>
      <c r="BT49" s="4">
        <v>0.43055555555555558</v>
      </c>
      <c r="BU49" t="s">
        <v>310</v>
      </c>
      <c r="BV49" t="s">
        <v>87</v>
      </c>
      <c r="BY49">
        <v>16386.3</v>
      </c>
      <c r="BZ49" t="s">
        <v>30</v>
      </c>
      <c r="CA49" t="s">
        <v>311</v>
      </c>
      <c r="CC49" t="s">
        <v>190</v>
      </c>
      <c r="CD49">
        <v>3699</v>
      </c>
      <c r="CE49" t="s">
        <v>93</v>
      </c>
      <c r="CF49" s="3">
        <v>45995</v>
      </c>
      <c r="CI49">
        <v>1</v>
      </c>
      <c r="CJ49">
        <v>2</v>
      </c>
      <c r="CK49">
        <v>21</v>
      </c>
      <c r="CL49" t="s">
        <v>87</v>
      </c>
    </row>
    <row r="50" spans="1:90" x14ac:dyDescent="0.3">
      <c r="A50" t="s">
        <v>72</v>
      </c>
      <c r="B50" t="s">
        <v>73</v>
      </c>
      <c r="C50" t="s">
        <v>74</v>
      </c>
      <c r="E50" t="str">
        <f>"080069579330"</f>
        <v>080069579330</v>
      </c>
      <c r="F50" s="3">
        <v>45992</v>
      </c>
      <c r="G50">
        <v>202609</v>
      </c>
      <c r="H50" t="s">
        <v>75</v>
      </c>
      <c r="I50" t="s">
        <v>76</v>
      </c>
      <c r="J50" t="s">
        <v>77</v>
      </c>
      <c r="K50" t="s">
        <v>78</v>
      </c>
      <c r="L50" t="s">
        <v>75</v>
      </c>
      <c r="M50" t="s">
        <v>76</v>
      </c>
      <c r="N50" t="s">
        <v>88</v>
      </c>
      <c r="O50" t="s">
        <v>89</v>
      </c>
      <c r="P50" t="str">
        <f>"4170071226                    "</f>
        <v xml:space="preserve">4170071226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17.37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</v>
      </c>
      <c r="BJ50">
        <v>0.2</v>
      </c>
      <c r="BK50">
        <v>1</v>
      </c>
      <c r="BL50">
        <v>56.85</v>
      </c>
      <c r="BM50">
        <v>8.5299999999999994</v>
      </c>
      <c r="BN50">
        <v>65.38</v>
      </c>
      <c r="BO50">
        <v>65.38</v>
      </c>
      <c r="BQ50" t="s">
        <v>90</v>
      </c>
      <c r="BR50" t="s">
        <v>82</v>
      </c>
      <c r="BS50" s="3">
        <v>45994</v>
      </c>
      <c r="BT50" s="4">
        <v>0.29166666666666669</v>
      </c>
      <c r="BU50" t="s">
        <v>91</v>
      </c>
      <c r="BV50" t="s">
        <v>87</v>
      </c>
      <c r="BW50" t="s">
        <v>174</v>
      </c>
      <c r="BX50" t="s">
        <v>198</v>
      </c>
      <c r="BY50">
        <v>1200</v>
      </c>
      <c r="CA50" t="s">
        <v>92</v>
      </c>
      <c r="CC50" t="s">
        <v>76</v>
      </c>
      <c r="CD50">
        <v>1600</v>
      </c>
      <c r="CE50" t="s">
        <v>134</v>
      </c>
      <c r="CF50" s="3">
        <v>45995</v>
      </c>
      <c r="CI50">
        <v>1</v>
      </c>
      <c r="CJ50">
        <v>2</v>
      </c>
      <c r="CK50">
        <v>22</v>
      </c>
      <c r="CL50" t="s">
        <v>87</v>
      </c>
    </row>
    <row r="51" spans="1:90" x14ac:dyDescent="0.3">
      <c r="A51" t="s">
        <v>72</v>
      </c>
      <c r="B51" t="s">
        <v>73</v>
      </c>
      <c r="C51" t="s">
        <v>74</v>
      </c>
      <c r="E51" t="str">
        <f>"080069579369"</f>
        <v>080069579369</v>
      </c>
      <c r="F51" s="3">
        <v>45992</v>
      </c>
      <c r="G51">
        <v>202609</v>
      </c>
      <c r="H51" t="s">
        <v>75</v>
      </c>
      <c r="I51" t="s">
        <v>76</v>
      </c>
      <c r="J51" t="s">
        <v>77</v>
      </c>
      <c r="K51" t="s">
        <v>78</v>
      </c>
      <c r="L51" t="s">
        <v>141</v>
      </c>
      <c r="M51" t="s">
        <v>142</v>
      </c>
      <c r="N51" t="s">
        <v>312</v>
      </c>
      <c r="O51" t="s">
        <v>89</v>
      </c>
      <c r="P51" t="str">
        <f>"4170071224                    "</f>
        <v xml:space="preserve">4170071224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77.81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4</v>
      </c>
      <c r="BJ51">
        <v>6.7</v>
      </c>
      <c r="BK51">
        <v>7</v>
      </c>
      <c r="BL51">
        <v>254.65</v>
      </c>
      <c r="BM51">
        <v>38.200000000000003</v>
      </c>
      <c r="BN51">
        <v>292.85000000000002</v>
      </c>
      <c r="BO51">
        <v>292.85000000000002</v>
      </c>
      <c r="BQ51" t="s">
        <v>313</v>
      </c>
      <c r="BR51" t="s">
        <v>82</v>
      </c>
      <c r="BS51" s="3">
        <v>45993</v>
      </c>
      <c r="BT51" s="4">
        <v>0.40208333333333335</v>
      </c>
      <c r="BU51" t="s">
        <v>314</v>
      </c>
      <c r="BV51" t="s">
        <v>84</v>
      </c>
      <c r="BY51">
        <v>33614</v>
      </c>
      <c r="BZ51" t="s">
        <v>125</v>
      </c>
      <c r="CA51" t="s">
        <v>315</v>
      </c>
      <c r="CC51" t="s">
        <v>142</v>
      </c>
      <c r="CD51">
        <v>6001</v>
      </c>
      <c r="CE51" t="s">
        <v>93</v>
      </c>
      <c r="CF51" s="3">
        <v>45993</v>
      </c>
      <c r="CI51">
        <v>1</v>
      </c>
      <c r="CJ51">
        <v>1</v>
      </c>
      <c r="CK51">
        <v>21</v>
      </c>
      <c r="CL51" t="s">
        <v>87</v>
      </c>
    </row>
    <row r="52" spans="1:90" x14ac:dyDescent="0.3">
      <c r="A52" t="s">
        <v>72</v>
      </c>
      <c r="B52" t="s">
        <v>73</v>
      </c>
      <c r="C52" t="s">
        <v>74</v>
      </c>
      <c r="E52" t="str">
        <f>"080069579390"</f>
        <v>080069579390</v>
      </c>
      <c r="F52" s="3">
        <v>45992</v>
      </c>
      <c r="G52">
        <v>202609</v>
      </c>
      <c r="H52" t="s">
        <v>75</v>
      </c>
      <c r="I52" t="s">
        <v>76</v>
      </c>
      <c r="J52" t="s">
        <v>77</v>
      </c>
      <c r="K52" t="s">
        <v>78</v>
      </c>
      <c r="L52" t="s">
        <v>265</v>
      </c>
      <c r="M52" t="s">
        <v>266</v>
      </c>
      <c r="N52" t="s">
        <v>316</v>
      </c>
      <c r="O52" t="s">
        <v>89</v>
      </c>
      <c r="P52" t="str">
        <f>"4170071288                    "</f>
        <v xml:space="preserve">4170071288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17.37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1</v>
      </c>
      <c r="BJ52">
        <v>0.2</v>
      </c>
      <c r="BK52">
        <v>1</v>
      </c>
      <c r="BL52">
        <v>56.85</v>
      </c>
      <c r="BM52">
        <v>8.5299999999999994</v>
      </c>
      <c r="BN52">
        <v>65.38</v>
      </c>
      <c r="BO52">
        <v>65.38</v>
      </c>
      <c r="BQ52" t="s">
        <v>317</v>
      </c>
      <c r="BR52" t="s">
        <v>82</v>
      </c>
      <c r="BS52" s="3">
        <v>45994</v>
      </c>
      <c r="BT52" s="4">
        <v>0.34930555555555554</v>
      </c>
      <c r="BU52" t="s">
        <v>318</v>
      </c>
      <c r="BV52" t="s">
        <v>87</v>
      </c>
      <c r="BW52" t="s">
        <v>174</v>
      </c>
      <c r="BX52" t="s">
        <v>198</v>
      </c>
      <c r="BY52">
        <v>1200</v>
      </c>
      <c r="CA52" t="s">
        <v>319</v>
      </c>
      <c r="CC52" t="s">
        <v>266</v>
      </c>
      <c r="CD52">
        <v>1459</v>
      </c>
      <c r="CE52" t="s">
        <v>134</v>
      </c>
      <c r="CF52" s="3">
        <v>45994</v>
      </c>
      <c r="CI52">
        <v>1</v>
      </c>
      <c r="CJ52">
        <v>2</v>
      </c>
      <c r="CK52">
        <v>22</v>
      </c>
      <c r="CL52" t="s">
        <v>87</v>
      </c>
    </row>
    <row r="53" spans="1:90" x14ac:dyDescent="0.3">
      <c r="A53" t="s">
        <v>72</v>
      </c>
      <c r="B53" t="s">
        <v>73</v>
      </c>
      <c r="C53" t="s">
        <v>74</v>
      </c>
      <c r="E53" t="str">
        <f>"080069579432"</f>
        <v>080069579432</v>
      </c>
      <c r="F53" s="3">
        <v>45992</v>
      </c>
      <c r="G53">
        <v>202609</v>
      </c>
      <c r="H53" t="s">
        <v>75</v>
      </c>
      <c r="I53" t="s">
        <v>76</v>
      </c>
      <c r="J53" t="s">
        <v>77</v>
      </c>
      <c r="K53" t="s">
        <v>78</v>
      </c>
      <c r="L53" t="s">
        <v>100</v>
      </c>
      <c r="M53" t="s">
        <v>101</v>
      </c>
      <c r="N53" t="s">
        <v>320</v>
      </c>
      <c r="O53" t="s">
        <v>89</v>
      </c>
      <c r="P53" t="str">
        <f>"4170071142                    "</f>
        <v xml:space="preserve">4170071142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22.24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1</v>
      </c>
      <c r="BJ53">
        <v>0.9</v>
      </c>
      <c r="BK53">
        <v>1</v>
      </c>
      <c r="BL53">
        <v>72.78</v>
      </c>
      <c r="BM53">
        <v>10.92</v>
      </c>
      <c r="BN53">
        <v>83.7</v>
      </c>
      <c r="BO53">
        <v>83.7</v>
      </c>
      <c r="BQ53" t="s">
        <v>321</v>
      </c>
      <c r="BR53" t="s">
        <v>82</v>
      </c>
      <c r="BS53" s="3">
        <v>45994</v>
      </c>
      <c r="BT53" s="4">
        <v>0.41041666666666665</v>
      </c>
      <c r="BU53" t="s">
        <v>322</v>
      </c>
      <c r="BV53" t="s">
        <v>87</v>
      </c>
      <c r="BW53" t="s">
        <v>105</v>
      </c>
      <c r="BX53" t="s">
        <v>106</v>
      </c>
      <c r="BY53">
        <v>4275</v>
      </c>
      <c r="CA53" t="s">
        <v>323</v>
      </c>
      <c r="CC53" t="s">
        <v>101</v>
      </c>
      <c r="CD53">
        <v>4001</v>
      </c>
      <c r="CE53" t="s">
        <v>86</v>
      </c>
      <c r="CF53" s="3">
        <v>45994</v>
      </c>
      <c r="CI53">
        <v>1</v>
      </c>
      <c r="CJ53">
        <v>2</v>
      </c>
      <c r="CK53">
        <v>21</v>
      </c>
      <c r="CL53" t="s">
        <v>87</v>
      </c>
    </row>
    <row r="54" spans="1:90" x14ac:dyDescent="0.3">
      <c r="A54" t="s">
        <v>72</v>
      </c>
      <c r="B54" t="s">
        <v>73</v>
      </c>
      <c r="C54" t="s">
        <v>74</v>
      </c>
      <c r="E54" t="str">
        <f>"080069580035"</f>
        <v>080069580035</v>
      </c>
      <c r="F54" s="3">
        <v>45992</v>
      </c>
      <c r="G54">
        <v>202609</v>
      </c>
      <c r="H54" t="s">
        <v>75</v>
      </c>
      <c r="I54" t="s">
        <v>76</v>
      </c>
      <c r="J54" t="s">
        <v>77</v>
      </c>
      <c r="K54" t="s">
        <v>78</v>
      </c>
      <c r="L54" t="s">
        <v>141</v>
      </c>
      <c r="M54" t="s">
        <v>142</v>
      </c>
      <c r="N54" t="s">
        <v>324</v>
      </c>
      <c r="O54" t="s">
        <v>89</v>
      </c>
      <c r="P54" t="str">
        <f>"4170071279                    "</f>
        <v xml:space="preserve">4170071279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22.24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1</v>
      </c>
      <c r="BJ54">
        <v>0.2</v>
      </c>
      <c r="BK54">
        <v>1</v>
      </c>
      <c r="BL54">
        <v>72.78</v>
      </c>
      <c r="BM54">
        <v>10.92</v>
      </c>
      <c r="BN54">
        <v>83.7</v>
      </c>
      <c r="BO54">
        <v>83.7</v>
      </c>
      <c r="BQ54" t="s">
        <v>325</v>
      </c>
      <c r="BR54" t="s">
        <v>82</v>
      </c>
      <c r="BS54" s="3">
        <v>45993</v>
      </c>
      <c r="BT54" s="4">
        <v>0.42777777777777776</v>
      </c>
      <c r="BU54" t="s">
        <v>326</v>
      </c>
      <c r="BV54" t="s">
        <v>84</v>
      </c>
      <c r="BY54">
        <v>1200</v>
      </c>
      <c r="BZ54" t="s">
        <v>125</v>
      </c>
      <c r="CA54" t="s">
        <v>327</v>
      </c>
      <c r="CC54" t="s">
        <v>142</v>
      </c>
      <c r="CD54">
        <v>6001</v>
      </c>
      <c r="CE54" t="s">
        <v>127</v>
      </c>
      <c r="CF54" s="3">
        <v>45993</v>
      </c>
      <c r="CI54">
        <v>1</v>
      </c>
      <c r="CJ54">
        <v>1</v>
      </c>
      <c r="CK54">
        <v>21</v>
      </c>
      <c r="CL54" t="s">
        <v>87</v>
      </c>
    </row>
    <row r="55" spans="1:90" x14ac:dyDescent="0.3">
      <c r="A55" t="s">
        <v>72</v>
      </c>
      <c r="B55" t="s">
        <v>73</v>
      </c>
      <c r="C55" t="s">
        <v>74</v>
      </c>
      <c r="E55" t="str">
        <f>"080069580118"</f>
        <v>080069580118</v>
      </c>
      <c r="F55" s="3">
        <v>45992</v>
      </c>
      <c r="G55">
        <v>202609</v>
      </c>
      <c r="H55" t="s">
        <v>75</v>
      </c>
      <c r="I55" t="s">
        <v>76</v>
      </c>
      <c r="J55" t="s">
        <v>77</v>
      </c>
      <c r="K55" t="s">
        <v>78</v>
      </c>
      <c r="L55" t="s">
        <v>75</v>
      </c>
      <c r="M55" t="s">
        <v>76</v>
      </c>
      <c r="N55" t="s">
        <v>328</v>
      </c>
      <c r="O55" t="s">
        <v>89</v>
      </c>
      <c r="P55" t="str">
        <f>"4170071276                    "</f>
        <v xml:space="preserve">4170071276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17.37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1</v>
      </c>
      <c r="BJ55">
        <v>0.2</v>
      </c>
      <c r="BK55">
        <v>1</v>
      </c>
      <c r="BL55">
        <v>56.85</v>
      </c>
      <c r="BM55">
        <v>8.5299999999999994</v>
      </c>
      <c r="BN55">
        <v>65.38</v>
      </c>
      <c r="BO55">
        <v>65.38</v>
      </c>
      <c r="BQ55" t="s">
        <v>329</v>
      </c>
      <c r="BR55" t="s">
        <v>82</v>
      </c>
      <c r="BS55" s="3">
        <v>45994</v>
      </c>
      <c r="BT55" s="4">
        <v>0.41805555555555557</v>
      </c>
      <c r="BU55" t="s">
        <v>330</v>
      </c>
      <c r="BV55" t="s">
        <v>87</v>
      </c>
      <c r="BY55">
        <v>1200</v>
      </c>
      <c r="CA55" t="s">
        <v>331</v>
      </c>
      <c r="CC55" t="s">
        <v>76</v>
      </c>
      <c r="CD55">
        <v>1645</v>
      </c>
      <c r="CE55" t="s">
        <v>134</v>
      </c>
      <c r="CF55" s="3">
        <v>45994</v>
      </c>
      <c r="CI55">
        <v>1</v>
      </c>
      <c r="CJ55">
        <v>2</v>
      </c>
      <c r="CK55">
        <v>22</v>
      </c>
      <c r="CL55" t="s">
        <v>87</v>
      </c>
    </row>
    <row r="56" spans="1:90" x14ac:dyDescent="0.3">
      <c r="A56" t="s">
        <v>72</v>
      </c>
      <c r="B56" t="s">
        <v>73</v>
      </c>
      <c r="C56" t="s">
        <v>74</v>
      </c>
      <c r="E56" t="str">
        <f>"080069580196"</f>
        <v>080069580196</v>
      </c>
      <c r="F56" s="3">
        <v>45992</v>
      </c>
      <c r="G56">
        <v>202609</v>
      </c>
      <c r="H56" t="s">
        <v>75</v>
      </c>
      <c r="I56" t="s">
        <v>76</v>
      </c>
      <c r="J56" t="s">
        <v>77</v>
      </c>
      <c r="K56" t="s">
        <v>78</v>
      </c>
      <c r="L56" t="s">
        <v>332</v>
      </c>
      <c r="M56" t="s">
        <v>333</v>
      </c>
      <c r="N56" t="s">
        <v>334</v>
      </c>
      <c r="O56" t="s">
        <v>89</v>
      </c>
      <c r="P56" t="str">
        <f>"4170071280                    "</f>
        <v xml:space="preserve">4170071280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43.09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1</v>
      </c>
      <c r="BJ56">
        <v>0.2</v>
      </c>
      <c r="BK56">
        <v>1</v>
      </c>
      <c r="BL56">
        <v>141.02000000000001</v>
      </c>
      <c r="BM56">
        <v>21.15</v>
      </c>
      <c r="BN56">
        <v>162.16999999999999</v>
      </c>
      <c r="BO56">
        <v>162.16999999999999</v>
      </c>
      <c r="BQ56" t="s">
        <v>335</v>
      </c>
      <c r="BR56" t="s">
        <v>82</v>
      </c>
      <c r="BS56" s="3">
        <v>45993</v>
      </c>
      <c r="BT56" s="4">
        <v>0.60555555555555551</v>
      </c>
      <c r="BU56" t="s">
        <v>336</v>
      </c>
      <c r="BV56" t="s">
        <v>84</v>
      </c>
      <c r="BY56">
        <v>1200</v>
      </c>
      <c r="CA56">
        <v>9512195092080</v>
      </c>
      <c r="CC56" t="s">
        <v>333</v>
      </c>
      <c r="CD56">
        <v>6500</v>
      </c>
      <c r="CE56" t="s">
        <v>134</v>
      </c>
      <c r="CF56" s="3">
        <v>45993</v>
      </c>
      <c r="CI56">
        <v>1</v>
      </c>
      <c r="CJ56">
        <v>1</v>
      </c>
      <c r="CK56">
        <v>23</v>
      </c>
      <c r="CL56" t="s">
        <v>87</v>
      </c>
    </row>
    <row r="57" spans="1:90" x14ac:dyDescent="0.3">
      <c r="A57" t="s">
        <v>72</v>
      </c>
      <c r="B57" t="s">
        <v>73</v>
      </c>
      <c r="C57" t="s">
        <v>74</v>
      </c>
      <c r="E57" t="str">
        <f>"080069580199"</f>
        <v>080069580199</v>
      </c>
      <c r="F57" s="3">
        <v>45992</v>
      </c>
      <c r="G57">
        <v>202609</v>
      </c>
      <c r="H57" t="s">
        <v>75</v>
      </c>
      <c r="I57" t="s">
        <v>76</v>
      </c>
      <c r="J57" t="s">
        <v>77</v>
      </c>
      <c r="K57" t="s">
        <v>78</v>
      </c>
      <c r="L57" t="s">
        <v>120</v>
      </c>
      <c r="M57" t="s">
        <v>121</v>
      </c>
      <c r="N57" t="s">
        <v>337</v>
      </c>
      <c r="O57" t="s">
        <v>80</v>
      </c>
      <c r="P57" t="str">
        <f>"4170071133                    "</f>
        <v xml:space="preserve">4170071133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48.34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17</v>
      </c>
      <c r="BJ57">
        <v>17.7</v>
      </c>
      <c r="BK57">
        <v>18</v>
      </c>
      <c r="BL57">
        <v>164.3</v>
      </c>
      <c r="BM57">
        <v>24.65</v>
      </c>
      <c r="BN57">
        <v>188.95</v>
      </c>
      <c r="BO57">
        <v>188.95</v>
      </c>
      <c r="BQ57" t="s">
        <v>338</v>
      </c>
      <c r="BR57" t="s">
        <v>82</v>
      </c>
      <c r="BS57" s="3">
        <v>45994</v>
      </c>
      <c r="BT57" s="4">
        <v>0.41736111111111113</v>
      </c>
      <c r="BU57" t="s">
        <v>339</v>
      </c>
      <c r="BV57" t="s">
        <v>84</v>
      </c>
      <c r="BY57">
        <v>88320</v>
      </c>
      <c r="CA57" t="s">
        <v>126</v>
      </c>
      <c r="CC57" t="s">
        <v>121</v>
      </c>
      <c r="CD57">
        <v>6230</v>
      </c>
      <c r="CE57" t="s">
        <v>86</v>
      </c>
      <c r="CF57" s="3">
        <v>45995</v>
      </c>
      <c r="CI57">
        <v>3</v>
      </c>
      <c r="CJ57">
        <v>2</v>
      </c>
      <c r="CK57">
        <v>41</v>
      </c>
      <c r="CL57" t="s">
        <v>87</v>
      </c>
    </row>
    <row r="58" spans="1:90" x14ac:dyDescent="0.3">
      <c r="A58" t="s">
        <v>72</v>
      </c>
      <c r="B58" t="s">
        <v>73</v>
      </c>
      <c r="C58" t="s">
        <v>74</v>
      </c>
      <c r="E58" t="str">
        <f>"080069580275"</f>
        <v>080069580275</v>
      </c>
      <c r="F58" s="3">
        <v>45992</v>
      </c>
      <c r="G58">
        <v>202609</v>
      </c>
      <c r="H58" t="s">
        <v>75</v>
      </c>
      <c r="I58" t="s">
        <v>76</v>
      </c>
      <c r="J58" t="s">
        <v>77</v>
      </c>
      <c r="K58" t="s">
        <v>78</v>
      </c>
      <c r="L58" t="s">
        <v>75</v>
      </c>
      <c r="M58" t="s">
        <v>76</v>
      </c>
      <c r="N58" t="s">
        <v>328</v>
      </c>
      <c r="O58" t="s">
        <v>89</v>
      </c>
      <c r="P58" t="str">
        <f>"4170071269                    "</f>
        <v xml:space="preserve">4170071269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17.37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</v>
      </c>
      <c r="BJ58">
        <v>0.2</v>
      </c>
      <c r="BK58">
        <v>1</v>
      </c>
      <c r="BL58">
        <v>56.85</v>
      </c>
      <c r="BM58">
        <v>8.5299999999999994</v>
      </c>
      <c r="BN58">
        <v>65.38</v>
      </c>
      <c r="BO58">
        <v>65.38</v>
      </c>
      <c r="BQ58" t="s">
        <v>329</v>
      </c>
      <c r="BR58" t="s">
        <v>82</v>
      </c>
      <c r="BS58" s="3">
        <v>45994</v>
      </c>
      <c r="BT58" s="4">
        <v>0.41805555555555557</v>
      </c>
      <c r="BU58" t="s">
        <v>330</v>
      </c>
      <c r="BV58" t="s">
        <v>87</v>
      </c>
      <c r="BY58">
        <v>1200</v>
      </c>
      <c r="CA58" t="s">
        <v>331</v>
      </c>
      <c r="CC58" t="s">
        <v>76</v>
      </c>
      <c r="CD58">
        <v>1645</v>
      </c>
      <c r="CE58" t="s">
        <v>134</v>
      </c>
      <c r="CF58" s="3">
        <v>45994</v>
      </c>
      <c r="CI58">
        <v>1</v>
      </c>
      <c r="CJ58">
        <v>2</v>
      </c>
      <c r="CK58">
        <v>22</v>
      </c>
      <c r="CL58" t="s">
        <v>87</v>
      </c>
    </row>
    <row r="59" spans="1:90" x14ac:dyDescent="0.3">
      <c r="A59" t="s">
        <v>72</v>
      </c>
      <c r="B59" t="s">
        <v>73</v>
      </c>
      <c r="C59" t="s">
        <v>74</v>
      </c>
      <c r="E59" t="str">
        <f>"080069580280"</f>
        <v>080069580280</v>
      </c>
      <c r="F59" s="3">
        <v>45992</v>
      </c>
      <c r="G59">
        <v>202609</v>
      </c>
      <c r="H59" t="s">
        <v>75</v>
      </c>
      <c r="I59" t="s">
        <v>76</v>
      </c>
      <c r="J59" t="s">
        <v>77</v>
      </c>
      <c r="K59" t="s">
        <v>78</v>
      </c>
      <c r="L59" t="s">
        <v>75</v>
      </c>
      <c r="M59" t="s">
        <v>76</v>
      </c>
      <c r="N59" t="s">
        <v>328</v>
      </c>
      <c r="O59" t="s">
        <v>340</v>
      </c>
      <c r="P59" t="str">
        <f>"4170071244                    "</f>
        <v xml:space="preserve">4170071244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17.38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</v>
      </c>
      <c r="BJ59">
        <v>3.4</v>
      </c>
      <c r="BK59">
        <v>4</v>
      </c>
      <c r="BL59">
        <v>56.87</v>
      </c>
      <c r="BM59">
        <v>8.5299999999999994</v>
      </c>
      <c r="BN59">
        <v>65.400000000000006</v>
      </c>
      <c r="BO59">
        <v>65.400000000000006</v>
      </c>
      <c r="BQ59" t="s">
        <v>329</v>
      </c>
      <c r="BR59" t="s">
        <v>82</v>
      </c>
      <c r="BS59" s="3">
        <v>45993</v>
      </c>
      <c r="BT59" s="4">
        <v>0.39097222222222222</v>
      </c>
      <c r="BU59" t="s">
        <v>341</v>
      </c>
      <c r="BV59" t="s">
        <v>84</v>
      </c>
      <c r="BY59">
        <v>16965</v>
      </c>
      <c r="CA59" t="s">
        <v>331</v>
      </c>
      <c r="CC59" t="s">
        <v>76</v>
      </c>
      <c r="CD59">
        <v>1645</v>
      </c>
      <c r="CE59" t="s">
        <v>86</v>
      </c>
      <c r="CF59" s="3">
        <v>45993</v>
      </c>
      <c r="CI59">
        <v>1</v>
      </c>
      <c r="CJ59">
        <v>1</v>
      </c>
      <c r="CK59">
        <v>32</v>
      </c>
      <c r="CL59" t="s">
        <v>87</v>
      </c>
    </row>
    <row r="60" spans="1:90" x14ac:dyDescent="0.3">
      <c r="A60" t="s">
        <v>72</v>
      </c>
      <c r="B60" t="s">
        <v>73</v>
      </c>
      <c r="C60" t="s">
        <v>74</v>
      </c>
      <c r="E60" t="str">
        <f>"080069580443"</f>
        <v>080069580443</v>
      </c>
      <c r="F60" s="3">
        <v>45992</v>
      </c>
      <c r="G60">
        <v>202609</v>
      </c>
      <c r="H60" t="s">
        <v>75</v>
      </c>
      <c r="I60" t="s">
        <v>76</v>
      </c>
      <c r="J60" t="s">
        <v>77</v>
      </c>
      <c r="K60" t="s">
        <v>78</v>
      </c>
      <c r="L60" t="s">
        <v>156</v>
      </c>
      <c r="M60" t="s">
        <v>157</v>
      </c>
      <c r="N60" t="s">
        <v>342</v>
      </c>
      <c r="O60" t="s">
        <v>89</v>
      </c>
      <c r="P60" t="str">
        <f>"4170071296                    "</f>
        <v xml:space="preserve">4170071296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22.24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1</v>
      </c>
      <c r="BJ60">
        <v>0.2</v>
      </c>
      <c r="BK60">
        <v>1</v>
      </c>
      <c r="BL60">
        <v>72.78</v>
      </c>
      <c r="BM60">
        <v>10.92</v>
      </c>
      <c r="BN60">
        <v>83.7</v>
      </c>
      <c r="BO60">
        <v>83.7</v>
      </c>
      <c r="BQ60" t="s">
        <v>343</v>
      </c>
      <c r="BR60" t="s">
        <v>82</v>
      </c>
      <c r="BS60" s="3">
        <v>45993</v>
      </c>
      <c r="BT60" s="4">
        <v>0.63472222222222219</v>
      </c>
      <c r="BU60" t="s">
        <v>344</v>
      </c>
      <c r="BV60" t="s">
        <v>87</v>
      </c>
      <c r="BW60" t="s">
        <v>153</v>
      </c>
      <c r="BX60" t="s">
        <v>345</v>
      </c>
      <c r="BY60">
        <v>1200</v>
      </c>
      <c r="CA60" t="s">
        <v>346</v>
      </c>
      <c r="CC60" t="s">
        <v>157</v>
      </c>
      <c r="CD60">
        <v>7561</v>
      </c>
      <c r="CE60" t="s">
        <v>134</v>
      </c>
      <c r="CF60" s="3">
        <v>45994</v>
      </c>
      <c r="CI60">
        <v>1</v>
      </c>
      <c r="CJ60">
        <v>1</v>
      </c>
      <c r="CK60">
        <v>21</v>
      </c>
      <c r="CL60" t="s">
        <v>87</v>
      </c>
    </row>
    <row r="61" spans="1:90" x14ac:dyDescent="0.3">
      <c r="A61" t="s">
        <v>72</v>
      </c>
      <c r="B61" t="s">
        <v>73</v>
      </c>
      <c r="C61" t="s">
        <v>74</v>
      </c>
      <c r="E61" t="str">
        <f>"080069580418"</f>
        <v>080069580418</v>
      </c>
      <c r="F61" s="3">
        <v>45992</v>
      </c>
      <c r="G61">
        <v>202609</v>
      </c>
      <c r="H61" t="s">
        <v>75</v>
      </c>
      <c r="I61" t="s">
        <v>76</v>
      </c>
      <c r="J61" t="s">
        <v>77</v>
      </c>
      <c r="K61" t="s">
        <v>78</v>
      </c>
      <c r="L61" t="s">
        <v>302</v>
      </c>
      <c r="M61" t="s">
        <v>303</v>
      </c>
      <c r="N61" t="s">
        <v>347</v>
      </c>
      <c r="O61" t="s">
        <v>89</v>
      </c>
      <c r="P61" t="str">
        <f>"4170071208                    "</f>
        <v xml:space="preserve">4170071208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22.24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2</v>
      </c>
      <c r="BJ61">
        <v>1.8</v>
      </c>
      <c r="BK61">
        <v>2</v>
      </c>
      <c r="BL61">
        <v>72.78</v>
      </c>
      <c r="BM61">
        <v>10.92</v>
      </c>
      <c r="BN61">
        <v>83.7</v>
      </c>
      <c r="BO61">
        <v>83.7</v>
      </c>
      <c r="BQ61" t="s">
        <v>348</v>
      </c>
      <c r="BR61" t="s">
        <v>82</v>
      </c>
      <c r="BS61" s="3">
        <v>45993</v>
      </c>
      <c r="BT61" s="4">
        <v>0.42083333333333334</v>
      </c>
      <c r="BU61" t="s">
        <v>349</v>
      </c>
      <c r="BV61" t="s">
        <v>84</v>
      </c>
      <c r="BY61">
        <v>8816</v>
      </c>
      <c r="CA61">
        <v>8507115621084</v>
      </c>
      <c r="CC61" t="s">
        <v>303</v>
      </c>
      <c r="CD61" s="5" t="s">
        <v>350</v>
      </c>
      <c r="CE61" t="s">
        <v>86</v>
      </c>
      <c r="CF61" s="3">
        <v>45993</v>
      </c>
      <c r="CI61">
        <v>1</v>
      </c>
      <c r="CJ61">
        <v>1</v>
      </c>
      <c r="CK61">
        <v>21</v>
      </c>
      <c r="CL61" t="s">
        <v>87</v>
      </c>
    </row>
    <row r="62" spans="1:90" x14ac:dyDescent="0.3">
      <c r="A62" t="s">
        <v>72</v>
      </c>
      <c r="B62" t="s">
        <v>73</v>
      </c>
      <c r="C62" t="s">
        <v>74</v>
      </c>
      <c r="E62" t="str">
        <f>"080069580515"</f>
        <v>080069580515</v>
      </c>
      <c r="F62" s="3">
        <v>45992</v>
      </c>
      <c r="G62">
        <v>202609</v>
      </c>
      <c r="H62" t="s">
        <v>75</v>
      </c>
      <c r="I62" t="s">
        <v>76</v>
      </c>
      <c r="J62" t="s">
        <v>77</v>
      </c>
      <c r="K62" t="s">
        <v>78</v>
      </c>
      <c r="L62" t="s">
        <v>351</v>
      </c>
      <c r="M62" t="s">
        <v>352</v>
      </c>
      <c r="N62" t="s">
        <v>353</v>
      </c>
      <c r="O62" t="s">
        <v>89</v>
      </c>
      <c r="P62" t="str">
        <f>"4170071278                    "</f>
        <v xml:space="preserve">4170071278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31.28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1</v>
      </c>
      <c r="BJ62">
        <v>0.2</v>
      </c>
      <c r="BK62">
        <v>1</v>
      </c>
      <c r="BL62">
        <v>102.36</v>
      </c>
      <c r="BM62">
        <v>15.35</v>
      </c>
      <c r="BN62">
        <v>117.71</v>
      </c>
      <c r="BO62">
        <v>117.71</v>
      </c>
      <c r="BQ62" t="s">
        <v>354</v>
      </c>
      <c r="BR62" t="s">
        <v>82</v>
      </c>
      <c r="BS62" s="3">
        <v>45995</v>
      </c>
      <c r="BT62" s="4">
        <v>0.43680555555555556</v>
      </c>
      <c r="BU62" t="s">
        <v>355</v>
      </c>
      <c r="BV62" t="s">
        <v>87</v>
      </c>
      <c r="BW62" t="s">
        <v>174</v>
      </c>
      <c r="BX62" t="s">
        <v>300</v>
      </c>
      <c r="BY62">
        <v>1200</v>
      </c>
      <c r="CA62" t="s">
        <v>356</v>
      </c>
      <c r="CC62" t="s">
        <v>352</v>
      </c>
      <c r="CD62">
        <v>1438</v>
      </c>
      <c r="CE62" t="s">
        <v>134</v>
      </c>
      <c r="CF62" s="3">
        <v>45996</v>
      </c>
      <c r="CI62">
        <v>1</v>
      </c>
      <c r="CJ62">
        <v>3</v>
      </c>
      <c r="CK62">
        <v>24</v>
      </c>
      <c r="CL62" t="s">
        <v>87</v>
      </c>
    </row>
    <row r="63" spans="1:90" x14ac:dyDescent="0.3">
      <c r="A63" t="s">
        <v>72</v>
      </c>
      <c r="B63" t="s">
        <v>73</v>
      </c>
      <c r="C63" t="s">
        <v>74</v>
      </c>
      <c r="E63" t="str">
        <f>"080069580636"</f>
        <v>080069580636</v>
      </c>
      <c r="F63" s="3">
        <v>45992</v>
      </c>
      <c r="G63">
        <v>202609</v>
      </c>
      <c r="H63" t="s">
        <v>75</v>
      </c>
      <c r="I63" t="s">
        <v>76</v>
      </c>
      <c r="J63" t="s">
        <v>77</v>
      </c>
      <c r="K63" t="s">
        <v>78</v>
      </c>
      <c r="L63" t="s">
        <v>94</v>
      </c>
      <c r="M63" t="s">
        <v>95</v>
      </c>
      <c r="N63" t="s">
        <v>357</v>
      </c>
      <c r="O63" t="s">
        <v>89</v>
      </c>
      <c r="P63" t="str">
        <f>"4170071221                    "</f>
        <v xml:space="preserve">4170071221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22.24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</v>
      </c>
      <c r="BJ63">
        <v>0.2</v>
      </c>
      <c r="BK63">
        <v>1</v>
      </c>
      <c r="BL63">
        <v>72.78</v>
      </c>
      <c r="BM63">
        <v>10.92</v>
      </c>
      <c r="BN63">
        <v>83.7</v>
      </c>
      <c r="BO63">
        <v>83.7</v>
      </c>
      <c r="BQ63" t="s">
        <v>358</v>
      </c>
      <c r="BR63" t="s">
        <v>82</v>
      </c>
      <c r="BS63" s="3">
        <v>45993</v>
      </c>
      <c r="BT63" s="4">
        <v>0.42499999999999999</v>
      </c>
      <c r="BU63" t="s">
        <v>359</v>
      </c>
      <c r="BV63" t="s">
        <v>84</v>
      </c>
      <c r="BY63">
        <v>1200</v>
      </c>
      <c r="BZ63" t="s">
        <v>125</v>
      </c>
      <c r="CC63" t="s">
        <v>95</v>
      </c>
      <c r="CD63">
        <v>3620</v>
      </c>
      <c r="CE63" t="s">
        <v>127</v>
      </c>
      <c r="CF63" s="3">
        <v>45993</v>
      </c>
      <c r="CI63">
        <v>1</v>
      </c>
      <c r="CJ63">
        <v>1</v>
      </c>
      <c r="CK63">
        <v>21</v>
      </c>
      <c r="CL63" t="s">
        <v>87</v>
      </c>
    </row>
    <row r="64" spans="1:90" x14ac:dyDescent="0.3">
      <c r="A64" t="s">
        <v>72</v>
      </c>
      <c r="B64" t="s">
        <v>73</v>
      </c>
      <c r="C64" t="s">
        <v>74</v>
      </c>
      <c r="E64" t="str">
        <f>"080069580601"</f>
        <v>080069580601</v>
      </c>
      <c r="F64" s="3">
        <v>45992</v>
      </c>
      <c r="G64">
        <v>202609</v>
      </c>
      <c r="H64" t="s">
        <v>75</v>
      </c>
      <c r="I64" t="s">
        <v>76</v>
      </c>
      <c r="J64" t="s">
        <v>77</v>
      </c>
      <c r="K64" t="s">
        <v>78</v>
      </c>
      <c r="L64" t="s">
        <v>141</v>
      </c>
      <c r="M64" t="s">
        <v>142</v>
      </c>
      <c r="N64" t="s">
        <v>214</v>
      </c>
      <c r="O64" t="s">
        <v>89</v>
      </c>
      <c r="P64" t="str">
        <f>"4170071293                    "</f>
        <v xml:space="preserve">4170071293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22.24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1</v>
      </c>
      <c r="BJ64">
        <v>0.2</v>
      </c>
      <c r="BK64">
        <v>1</v>
      </c>
      <c r="BL64">
        <v>72.78</v>
      </c>
      <c r="BM64">
        <v>10.92</v>
      </c>
      <c r="BN64">
        <v>83.7</v>
      </c>
      <c r="BO64">
        <v>83.7</v>
      </c>
      <c r="BQ64" t="s">
        <v>215</v>
      </c>
      <c r="BR64" t="s">
        <v>82</v>
      </c>
      <c r="BS64" s="3">
        <v>45993</v>
      </c>
      <c r="BT64" s="4">
        <v>0.39027777777777778</v>
      </c>
      <c r="BU64" t="s">
        <v>360</v>
      </c>
      <c r="BV64" t="s">
        <v>84</v>
      </c>
      <c r="BY64">
        <v>1200</v>
      </c>
      <c r="BZ64" t="s">
        <v>125</v>
      </c>
      <c r="CA64" t="s">
        <v>224</v>
      </c>
      <c r="CC64" t="s">
        <v>142</v>
      </c>
      <c r="CD64">
        <v>6001</v>
      </c>
      <c r="CE64" t="s">
        <v>127</v>
      </c>
      <c r="CF64" s="3">
        <v>45993</v>
      </c>
      <c r="CI64">
        <v>1</v>
      </c>
      <c r="CJ64">
        <v>1</v>
      </c>
      <c r="CK64">
        <v>21</v>
      </c>
      <c r="CL64" t="s">
        <v>87</v>
      </c>
    </row>
    <row r="65" spans="1:90" x14ac:dyDescent="0.3">
      <c r="A65" t="s">
        <v>72</v>
      </c>
      <c r="B65" t="s">
        <v>73</v>
      </c>
      <c r="C65" t="s">
        <v>74</v>
      </c>
      <c r="E65" t="str">
        <f>"080069580689"</f>
        <v>080069580689</v>
      </c>
      <c r="F65" s="3">
        <v>45992</v>
      </c>
      <c r="G65">
        <v>202609</v>
      </c>
      <c r="H65" t="s">
        <v>75</v>
      </c>
      <c r="I65" t="s">
        <v>76</v>
      </c>
      <c r="J65" t="s">
        <v>77</v>
      </c>
      <c r="K65" t="s">
        <v>78</v>
      </c>
      <c r="L65" t="s">
        <v>75</v>
      </c>
      <c r="M65" t="s">
        <v>76</v>
      </c>
      <c r="N65" t="s">
        <v>79</v>
      </c>
      <c r="O65" t="s">
        <v>89</v>
      </c>
      <c r="P65" t="str">
        <f>"4170071273                    "</f>
        <v xml:space="preserve">4170071273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17.37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1</v>
      </c>
      <c r="BJ65">
        <v>0.2</v>
      </c>
      <c r="BK65">
        <v>1</v>
      </c>
      <c r="BL65">
        <v>56.85</v>
      </c>
      <c r="BM65">
        <v>8.5299999999999994</v>
      </c>
      <c r="BN65">
        <v>65.38</v>
      </c>
      <c r="BO65">
        <v>65.38</v>
      </c>
      <c r="BQ65" t="s">
        <v>81</v>
      </c>
      <c r="BR65" t="s">
        <v>82</v>
      </c>
      <c r="BS65" s="3">
        <v>45994</v>
      </c>
      <c r="BT65" s="4">
        <v>0.4152777777777778</v>
      </c>
      <c r="BU65" t="s">
        <v>83</v>
      </c>
      <c r="BV65" t="s">
        <v>87</v>
      </c>
      <c r="BY65">
        <v>1200</v>
      </c>
      <c r="CA65" t="s">
        <v>85</v>
      </c>
      <c r="CC65" t="s">
        <v>76</v>
      </c>
      <c r="CD65">
        <v>1619</v>
      </c>
      <c r="CE65" t="s">
        <v>134</v>
      </c>
      <c r="CF65" s="3">
        <v>45994</v>
      </c>
      <c r="CI65">
        <v>1</v>
      </c>
      <c r="CJ65">
        <v>2</v>
      </c>
      <c r="CK65">
        <v>22</v>
      </c>
      <c r="CL65" t="s">
        <v>87</v>
      </c>
    </row>
    <row r="66" spans="1:90" x14ac:dyDescent="0.3">
      <c r="A66" t="s">
        <v>72</v>
      </c>
      <c r="B66" t="s">
        <v>73</v>
      </c>
      <c r="C66" t="s">
        <v>74</v>
      </c>
      <c r="E66" t="str">
        <f>"080069580753"</f>
        <v>080069580753</v>
      </c>
      <c r="F66" s="3">
        <v>45992</v>
      </c>
      <c r="G66">
        <v>202609</v>
      </c>
      <c r="H66" t="s">
        <v>75</v>
      </c>
      <c r="I66" t="s">
        <v>76</v>
      </c>
      <c r="J66" t="s">
        <v>77</v>
      </c>
      <c r="K66" t="s">
        <v>78</v>
      </c>
      <c r="L66" t="s">
        <v>272</v>
      </c>
      <c r="M66" t="s">
        <v>273</v>
      </c>
      <c r="N66" t="s">
        <v>274</v>
      </c>
      <c r="O66" t="s">
        <v>89</v>
      </c>
      <c r="P66" t="str">
        <f>"4170071277                    "</f>
        <v xml:space="preserve">4170071277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22.24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1</v>
      </c>
      <c r="BJ66">
        <v>0.2</v>
      </c>
      <c r="BK66">
        <v>1</v>
      </c>
      <c r="BL66">
        <v>72.78</v>
      </c>
      <c r="BM66">
        <v>10.92</v>
      </c>
      <c r="BN66">
        <v>83.7</v>
      </c>
      <c r="BO66">
        <v>83.7</v>
      </c>
      <c r="BQ66" t="s">
        <v>275</v>
      </c>
      <c r="BR66" t="s">
        <v>82</v>
      </c>
      <c r="BS66" s="3">
        <v>45993</v>
      </c>
      <c r="BT66" s="4">
        <v>0.42986111111111114</v>
      </c>
      <c r="BU66" t="s">
        <v>276</v>
      </c>
      <c r="BV66" t="s">
        <v>84</v>
      </c>
      <c r="BY66">
        <v>1200</v>
      </c>
      <c r="BZ66" t="s">
        <v>125</v>
      </c>
      <c r="CA66" t="s">
        <v>277</v>
      </c>
      <c r="CC66" t="s">
        <v>273</v>
      </c>
      <c r="CD66">
        <v>6220</v>
      </c>
      <c r="CE66" t="s">
        <v>361</v>
      </c>
      <c r="CF66" s="3">
        <v>45993</v>
      </c>
      <c r="CI66">
        <v>1</v>
      </c>
      <c r="CJ66">
        <v>1</v>
      </c>
      <c r="CK66">
        <v>21</v>
      </c>
      <c r="CL66" t="s">
        <v>87</v>
      </c>
    </row>
    <row r="67" spans="1:90" x14ac:dyDescent="0.3">
      <c r="A67" t="s">
        <v>72</v>
      </c>
      <c r="B67" t="s">
        <v>73</v>
      </c>
      <c r="C67" t="s">
        <v>74</v>
      </c>
      <c r="E67" t="str">
        <f>"080069580797"</f>
        <v>080069580797</v>
      </c>
      <c r="F67" s="3">
        <v>45992</v>
      </c>
      <c r="G67">
        <v>202609</v>
      </c>
      <c r="H67" t="s">
        <v>75</v>
      </c>
      <c r="I67" t="s">
        <v>76</v>
      </c>
      <c r="J67" t="s">
        <v>77</v>
      </c>
      <c r="K67" t="s">
        <v>78</v>
      </c>
      <c r="L67" t="s">
        <v>141</v>
      </c>
      <c r="M67" t="s">
        <v>142</v>
      </c>
      <c r="N67" t="s">
        <v>143</v>
      </c>
      <c r="O67" t="s">
        <v>89</v>
      </c>
      <c r="P67" t="str">
        <f>"4170071266                    "</f>
        <v xml:space="preserve">4170071266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22.24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1</v>
      </c>
      <c r="BJ67">
        <v>0.2</v>
      </c>
      <c r="BK67">
        <v>1</v>
      </c>
      <c r="BL67">
        <v>72.78</v>
      </c>
      <c r="BM67">
        <v>10.92</v>
      </c>
      <c r="BN67">
        <v>83.7</v>
      </c>
      <c r="BO67">
        <v>83.7</v>
      </c>
      <c r="BQ67" t="s">
        <v>144</v>
      </c>
      <c r="BR67" t="s">
        <v>82</v>
      </c>
      <c r="BS67" s="3">
        <v>45993</v>
      </c>
      <c r="BT67" s="4">
        <v>0.43194444444444446</v>
      </c>
      <c r="BU67" t="s">
        <v>145</v>
      </c>
      <c r="BV67" t="s">
        <v>84</v>
      </c>
      <c r="BY67">
        <v>1200</v>
      </c>
      <c r="BZ67" t="s">
        <v>125</v>
      </c>
      <c r="CA67" t="s">
        <v>146</v>
      </c>
      <c r="CC67" t="s">
        <v>142</v>
      </c>
      <c r="CD67">
        <v>6001</v>
      </c>
      <c r="CE67" t="s">
        <v>127</v>
      </c>
      <c r="CF67" s="3">
        <v>45993</v>
      </c>
      <c r="CI67">
        <v>1</v>
      </c>
      <c r="CJ67">
        <v>1</v>
      </c>
      <c r="CK67">
        <v>21</v>
      </c>
      <c r="CL67" t="s">
        <v>87</v>
      </c>
    </row>
    <row r="68" spans="1:90" x14ac:dyDescent="0.3">
      <c r="A68" t="s">
        <v>72</v>
      </c>
      <c r="B68" t="s">
        <v>73</v>
      </c>
      <c r="C68" t="s">
        <v>74</v>
      </c>
      <c r="E68" t="str">
        <f>"080069580877"</f>
        <v>080069580877</v>
      </c>
      <c r="F68" s="3">
        <v>45992</v>
      </c>
      <c r="G68">
        <v>202609</v>
      </c>
      <c r="H68" t="s">
        <v>75</v>
      </c>
      <c r="I68" t="s">
        <v>76</v>
      </c>
      <c r="J68" t="s">
        <v>77</v>
      </c>
      <c r="K68" t="s">
        <v>78</v>
      </c>
      <c r="L68" t="s">
        <v>94</v>
      </c>
      <c r="M68" t="s">
        <v>95</v>
      </c>
      <c r="N68" t="s">
        <v>230</v>
      </c>
      <c r="O68" t="s">
        <v>89</v>
      </c>
      <c r="P68" t="str">
        <f>"4170071263                    "</f>
        <v xml:space="preserve">4170071263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22.24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1</v>
      </c>
      <c r="BJ68">
        <v>0.2</v>
      </c>
      <c r="BK68">
        <v>1</v>
      </c>
      <c r="BL68">
        <v>72.78</v>
      </c>
      <c r="BM68">
        <v>10.92</v>
      </c>
      <c r="BN68">
        <v>83.7</v>
      </c>
      <c r="BO68">
        <v>83.7</v>
      </c>
      <c r="BQ68" t="s">
        <v>231</v>
      </c>
      <c r="BR68" t="s">
        <v>82</v>
      </c>
      <c r="BS68" s="3">
        <v>45993</v>
      </c>
      <c r="BT68" s="4">
        <v>0.3972222222222222</v>
      </c>
      <c r="BU68" t="s">
        <v>232</v>
      </c>
      <c r="BV68" t="s">
        <v>84</v>
      </c>
      <c r="BY68">
        <v>1200</v>
      </c>
      <c r="CC68" t="s">
        <v>95</v>
      </c>
      <c r="CD68">
        <v>3608</v>
      </c>
      <c r="CE68" t="s">
        <v>134</v>
      </c>
      <c r="CF68" s="3">
        <v>45993</v>
      </c>
      <c r="CI68">
        <v>1</v>
      </c>
      <c r="CJ68">
        <v>1</v>
      </c>
      <c r="CK68">
        <v>21</v>
      </c>
      <c r="CL68" t="s">
        <v>87</v>
      </c>
    </row>
    <row r="69" spans="1:90" x14ac:dyDescent="0.3">
      <c r="A69" t="s">
        <v>72</v>
      </c>
      <c r="B69" t="s">
        <v>73</v>
      </c>
      <c r="C69" t="s">
        <v>74</v>
      </c>
      <c r="E69" t="str">
        <f>"080069580993"</f>
        <v>080069580993</v>
      </c>
      <c r="F69" s="3">
        <v>45992</v>
      </c>
      <c r="G69">
        <v>202609</v>
      </c>
      <c r="H69" t="s">
        <v>75</v>
      </c>
      <c r="I69" t="s">
        <v>76</v>
      </c>
      <c r="J69" t="s">
        <v>77</v>
      </c>
      <c r="K69" t="s">
        <v>78</v>
      </c>
      <c r="L69" t="s">
        <v>94</v>
      </c>
      <c r="M69" t="s">
        <v>95</v>
      </c>
      <c r="N69" t="s">
        <v>362</v>
      </c>
      <c r="O69" t="s">
        <v>89</v>
      </c>
      <c r="P69" t="str">
        <f>"4170071265                    "</f>
        <v xml:space="preserve">4170071265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22.24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1</v>
      </c>
      <c r="BJ69">
        <v>0.2</v>
      </c>
      <c r="BK69">
        <v>1</v>
      </c>
      <c r="BL69">
        <v>72.78</v>
      </c>
      <c r="BM69">
        <v>10.92</v>
      </c>
      <c r="BN69">
        <v>83.7</v>
      </c>
      <c r="BO69">
        <v>83.7</v>
      </c>
      <c r="BQ69" t="s">
        <v>363</v>
      </c>
      <c r="BR69" t="s">
        <v>82</v>
      </c>
      <c r="BS69" s="3">
        <v>45993</v>
      </c>
      <c r="BT69" s="4">
        <v>0.37708333333333333</v>
      </c>
      <c r="BU69" t="s">
        <v>251</v>
      </c>
      <c r="BV69" t="s">
        <v>84</v>
      </c>
      <c r="BY69">
        <v>1200</v>
      </c>
      <c r="CC69" t="s">
        <v>95</v>
      </c>
      <c r="CD69">
        <v>3610</v>
      </c>
      <c r="CE69" t="s">
        <v>134</v>
      </c>
      <c r="CF69" s="3">
        <v>45993</v>
      </c>
      <c r="CI69">
        <v>1</v>
      </c>
      <c r="CJ69">
        <v>1</v>
      </c>
      <c r="CK69">
        <v>21</v>
      </c>
      <c r="CL69" t="s">
        <v>87</v>
      </c>
    </row>
    <row r="70" spans="1:90" x14ac:dyDescent="0.3">
      <c r="A70" t="s">
        <v>72</v>
      </c>
      <c r="B70" t="s">
        <v>73</v>
      </c>
      <c r="C70" t="s">
        <v>74</v>
      </c>
      <c r="E70" t="str">
        <f>"080069581087"</f>
        <v>080069581087</v>
      </c>
      <c r="F70" s="3">
        <v>45992</v>
      </c>
      <c r="G70">
        <v>202609</v>
      </c>
      <c r="H70" t="s">
        <v>75</v>
      </c>
      <c r="I70" t="s">
        <v>76</v>
      </c>
      <c r="J70" t="s">
        <v>77</v>
      </c>
      <c r="K70" t="s">
        <v>78</v>
      </c>
      <c r="L70" t="s">
        <v>351</v>
      </c>
      <c r="M70" t="s">
        <v>352</v>
      </c>
      <c r="N70" t="s">
        <v>353</v>
      </c>
      <c r="O70" t="s">
        <v>89</v>
      </c>
      <c r="P70" t="str">
        <f>"4170071260                    "</f>
        <v xml:space="preserve">4170071260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31.28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1</v>
      </c>
      <c r="BJ70">
        <v>0.2</v>
      </c>
      <c r="BK70">
        <v>1</v>
      </c>
      <c r="BL70">
        <v>102.36</v>
      </c>
      <c r="BM70">
        <v>15.35</v>
      </c>
      <c r="BN70">
        <v>117.71</v>
      </c>
      <c r="BO70">
        <v>117.71</v>
      </c>
      <c r="BQ70" t="s">
        <v>354</v>
      </c>
      <c r="BR70" t="s">
        <v>82</v>
      </c>
      <c r="BS70" s="3">
        <v>45994</v>
      </c>
      <c r="BT70" s="4">
        <v>0.4548611111111111</v>
      </c>
      <c r="BU70" t="s">
        <v>364</v>
      </c>
      <c r="BV70" t="s">
        <v>87</v>
      </c>
      <c r="BW70" t="s">
        <v>174</v>
      </c>
      <c r="BX70" t="s">
        <v>198</v>
      </c>
      <c r="BY70">
        <v>1200</v>
      </c>
      <c r="CA70" t="s">
        <v>365</v>
      </c>
      <c r="CC70" t="s">
        <v>352</v>
      </c>
      <c r="CD70">
        <v>1438</v>
      </c>
      <c r="CE70" t="s">
        <v>134</v>
      </c>
      <c r="CF70" s="3">
        <v>45995</v>
      </c>
      <c r="CI70">
        <v>1</v>
      </c>
      <c r="CJ70">
        <v>2</v>
      </c>
      <c r="CK70">
        <v>24</v>
      </c>
      <c r="CL70" t="s">
        <v>87</v>
      </c>
    </row>
    <row r="71" spans="1:90" x14ac:dyDescent="0.3">
      <c r="A71" t="s">
        <v>72</v>
      </c>
      <c r="B71" t="s">
        <v>73</v>
      </c>
      <c r="C71" t="s">
        <v>74</v>
      </c>
      <c r="E71" t="str">
        <f>"080069581117"</f>
        <v>080069581117</v>
      </c>
      <c r="F71" s="3">
        <v>45992</v>
      </c>
      <c r="G71">
        <v>202609</v>
      </c>
      <c r="H71" t="s">
        <v>75</v>
      </c>
      <c r="I71" t="s">
        <v>76</v>
      </c>
      <c r="J71" t="s">
        <v>77</v>
      </c>
      <c r="K71" t="s">
        <v>78</v>
      </c>
      <c r="L71" t="s">
        <v>120</v>
      </c>
      <c r="M71" t="s">
        <v>121</v>
      </c>
      <c r="N71" t="s">
        <v>163</v>
      </c>
      <c r="O71" t="s">
        <v>89</v>
      </c>
      <c r="P71" t="str">
        <f>"4170071289                    "</f>
        <v xml:space="preserve">4170071289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22.24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1</v>
      </c>
      <c r="BJ71">
        <v>0.2</v>
      </c>
      <c r="BK71">
        <v>1</v>
      </c>
      <c r="BL71">
        <v>72.78</v>
      </c>
      <c r="BM71">
        <v>10.92</v>
      </c>
      <c r="BN71">
        <v>83.7</v>
      </c>
      <c r="BO71">
        <v>83.7</v>
      </c>
      <c r="BQ71" t="s">
        <v>164</v>
      </c>
      <c r="BR71" t="s">
        <v>82</v>
      </c>
      <c r="BS71" s="3">
        <v>45993</v>
      </c>
      <c r="BT71" s="4">
        <v>0.41041666666666665</v>
      </c>
      <c r="BU71" t="s">
        <v>165</v>
      </c>
      <c r="BV71" t="s">
        <v>84</v>
      </c>
      <c r="BY71">
        <v>1200</v>
      </c>
      <c r="BZ71" t="s">
        <v>125</v>
      </c>
      <c r="CA71" t="s">
        <v>126</v>
      </c>
      <c r="CC71" t="s">
        <v>121</v>
      </c>
      <c r="CD71">
        <v>6230</v>
      </c>
      <c r="CE71" t="s">
        <v>127</v>
      </c>
      <c r="CF71" s="3">
        <v>45993</v>
      </c>
      <c r="CI71">
        <v>1</v>
      </c>
      <c r="CJ71">
        <v>1</v>
      </c>
      <c r="CK71">
        <v>21</v>
      </c>
      <c r="CL71" t="s">
        <v>87</v>
      </c>
    </row>
    <row r="72" spans="1:90" x14ac:dyDescent="0.3">
      <c r="A72" t="s">
        <v>72</v>
      </c>
      <c r="B72" t="s">
        <v>73</v>
      </c>
      <c r="C72" t="s">
        <v>74</v>
      </c>
      <c r="E72" t="str">
        <f>"080069581178"</f>
        <v>080069581178</v>
      </c>
      <c r="F72" s="3">
        <v>45992</v>
      </c>
      <c r="G72">
        <v>202609</v>
      </c>
      <c r="H72" t="s">
        <v>75</v>
      </c>
      <c r="I72" t="s">
        <v>76</v>
      </c>
      <c r="J72" t="s">
        <v>77</v>
      </c>
      <c r="K72" t="s">
        <v>78</v>
      </c>
      <c r="L72" t="s">
        <v>366</v>
      </c>
      <c r="M72" t="s">
        <v>367</v>
      </c>
      <c r="N72" t="s">
        <v>368</v>
      </c>
      <c r="O72" t="s">
        <v>89</v>
      </c>
      <c r="P72" t="str">
        <f>"4170071282                    "</f>
        <v xml:space="preserve">4170071282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62.55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3</v>
      </c>
      <c r="BJ72">
        <v>1.9</v>
      </c>
      <c r="BK72">
        <v>3</v>
      </c>
      <c r="BL72">
        <v>204.7</v>
      </c>
      <c r="BM72">
        <v>30.71</v>
      </c>
      <c r="BN72">
        <v>235.41</v>
      </c>
      <c r="BO72">
        <v>235.41</v>
      </c>
      <c r="BQ72" t="s">
        <v>369</v>
      </c>
      <c r="BR72" t="s">
        <v>82</v>
      </c>
      <c r="BS72" s="3">
        <v>45993</v>
      </c>
      <c r="BT72" s="4">
        <v>0.4375</v>
      </c>
      <c r="BU72" t="s">
        <v>370</v>
      </c>
      <c r="BV72" t="s">
        <v>84</v>
      </c>
      <c r="BY72">
        <v>9576</v>
      </c>
      <c r="CA72">
        <v>8510125994083</v>
      </c>
      <c r="CC72" t="s">
        <v>367</v>
      </c>
      <c r="CD72">
        <v>1911</v>
      </c>
      <c r="CE72" t="s">
        <v>86</v>
      </c>
      <c r="CF72" s="3">
        <v>45993</v>
      </c>
      <c r="CI72">
        <v>1</v>
      </c>
      <c r="CJ72">
        <v>1</v>
      </c>
      <c r="CK72">
        <v>23</v>
      </c>
      <c r="CL72" t="s">
        <v>87</v>
      </c>
    </row>
    <row r="73" spans="1:90" x14ac:dyDescent="0.3">
      <c r="A73" t="s">
        <v>72</v>
      </c>
      <c r="B73" t="s">
        <v>73</v>
      </c>
      <c r="C73" t="s">
        <v>74</v>
      </c>
      <c r="E73" t="str">
        <f>"080069581251"</f>
        <v>080069581251</v>
      </c>
      <c r="F73" s="3">
        <v>45992</v>
      </c>
      <c r="G73">
        <v>202609</v>
      </c>
      <c r="H73" t="s">
        <v>75</v>
      </c>
      <c r="I73" t="s">
        <v>76</v>
      </c>
      <c r="J73" t="s">
        <v>77</v>
      </c>
      <c r="K73" t="s">
        <v>78</v>
      </c>
      <c r="L73" t="s">
        <v>128</v>
      </c>
      <c r="M73" t="s">
        <v>129</v>
      </c>
      <c r="N73" t="s">
        <v>183</v>
      </c>
      <c r="O73" t="s">
        <v>89</v>
      </c>
      <c r="P73" t="str">
        <f>"4170071290                    "</f>
        <v xml:space="preserve">4170071290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22.24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2</v>
      </c>
      <c r="BJ73">
        <v>1.1000000000000001</v>
      </c>
      <c r="BK73">
        <v>2</v>
      </c>
      <c r="BL73">
        <v>72.78</v>
      </c>
      <c r="BM73">
        <v>10.92</v>
      </c>
      <c r="BN73">
        <v>83.7</v>
      </c>
      <c r="BO73">
        <v>83.7</v>
      </c>
      <c r="BQ73" t="s">
        <v>184</v>
      </c>
      <c r="BR73" t="s">
        <v>82</v>
      </c>
      <c r="BS73" s="3">
        <v>45993</v>
      </c>
      <c r="BT73" s="4">
        <v>0.6381944444444444</v>
      </c>
      <c r="BU73" t="s">
        <v>185</v>
      </c>
      <c r="BV73" t="s">
        <v>87</v>
      </c>
      <c r="BW73" t="s">
        <v>186</v>
      </c>
      <c r="BX73" t="s">
        <v>187</v>
      </c>
      <c r="BY73">
        <v>5320</v>
      </c>
      <c r="CA73" t="s">
        <v>188</v>
      </c>
      <c r="CC73" t="s">
        <v>129</v>
      </c>
      <c r="CD73">
        <v>5200</v>
      </c>
      <c r="CE73" t="s">
        <v>86</v>
      </c>
      <c r="CF73" s="3">
        <v>45994</v>
      </c>
      <c r="CI73">
        <v>1</v>
      </c>
      <c r="CJ73">
        <v>1</v>
      </c>
      <c r="CK73">
        <v>21</v>
      </c>
      <c r="CL73" t="s">
        <v>87</v>
      </c>
    </row>
    <row r="74" spans="1:90" x14ac:dyDescent="0.3">
      <c r="A74" t="s">
        <v>72</v>
      </c>
      <c r="B74" t="s">
        <v>73</v>
      </c>
      <c r="C74" t="s">
        <v>74</v>
      </c>
      <c r="E74" t="str">
        <f>"080069581332"</f>
        <v>080069581332</v>
      </c>
      <c r="F74" s="3">
        <v>45992</v>
      </c>
      <c r="G74">
        <v>202609</v>
      </c>
      <c r="H74" t="s">
        <v>75</v>
      </c>
      <c r="I74" t="s">
        <v>76</v>
      </c>
      <c r="J74" t="s">
        <v>77</v>
      </c>
      <c r="K74" t="s">
        <v>78</v>
      </c>
      <c r="L74" t="s">
        <v>371</v>
      </c>
      <c r="M74" t="s">
        <v>372</v>
      </c>
      <c r="N74" t="s">
        <v>130</v>
      </c>
      <c r="O74" t="s">
        <v>89</v>
      </c>
      <c r="P74" t="str">
        <f>"4170071213                    "</f>
        <v xml:space="preserve">4170071213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22.24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2</v>
      </c>
      <c r="BJ74">
        <v>1.9</v>
      </c>
      <c r="BK74">
        <v>2</v>
      </c>
      <c r="BL74">
        <v>72.78</v>
      </c>
      <c r="BM74">
        <v>10.92</v>
      </c>
      <c r="BN74">
        <v>83.7</v>
      </c>
      <c r="BO74">
        <v>83.7</v>
      </c>
      <c r="BQ74" t="s">
        <v>131</v>
      </c>
      <c r="BR74" t="s">
        <v>82</v>
      </c>
      <c r="BS74" s="3">
        <v>45994</v>
      </c>
      <c r="BT74" s="4">
        <v>0.5083333333333333</v>
      </c>
      <c r="BU74" t="s">
        <v>373</v>
      </c>
      <c r="BV74" t="s">
        <v>87</v>
      </c>
      <c r="BW74" t="s">
        <v>105</v>
      </c>
      <c r="BX74" t="s">
        <v>106</v>
      </c>
      <c r="BY74">
        <v>9576</v>
      </c>
      <c r="CC74" t="s">
        <v>372</v>
      </c>
      <c r="CD74">
        <v>4126</v>
      </c>
      <c r="CE74" t="s">
        <v>86</v>
      </c>
      <c r="CF74" s="3">
        <v>45995</v>
      </c>
      <c r="CI74">
        <v>1</v>
      </c>
      <c r="CJ74">
        <v>2</v>
      </c>
      <c r="CK74">
        <v>21</v>
      </c>
      <c r="CL74" t="s">
        <v>87</v>
      </c>
    </row>
    <row r="75" spans="1:90" x14ac:dyDescent="0.3">
      <c r="A75" t="s">
        <v>72</v>
      </c>
      <c r="B75" t="s">
        <v>73</v>
      </c>
      <c r="C75" t="s">
        <v>74</v>
      </c>
      <c r="E75" t="str">
        <f>"080069581438"</f>
        <v>080069581438</v>
      </c>
      <c r="F75" s="3">
        <v>45992</v>
      </c>
      <c r="G75">
        <v>202609</v>
      </c>
      <c r="H75" t="s">
        <v>75</v>
      </c>
      <c r="I75" t="s">
        <v>76</v>
      </c>
      <c r="J75" t="s">
        <v>77</v>
      </c>
      <c r="K75" t="s">
        <v>78</v>
      </c>
      <c r="L75" t="s">
        <v>75</v>
      </c>
      <c r="M75" t="s">
        <v>76</v>
      </c>
      <c r="N75" t="s">
        <v>328</v>
      </c>
      <c r="O75" t="s">
        <v>89</v>
      </c>
      <c r="P75" t="str">
        <f>"4170071225                    "</f>
        <v xml:space="preserve">4170071225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17.37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2</v>
      </c>
      <c r="BI75">
        <v>6</v>
      </c>
      <c r="BJ75">
        <v>6.7</v>
      </c>
      <c r="BK75">
        <v>7</v>
      </c>
      <c r="BL75">
        <v>56.85</v>
      </c>
      <c r="BM75">
        <v>8.5299999999999994</v>
      </c>
      <c r="BN75">
        <v>65.38</v>
      </c>
      <c r="BO75">
        <v>65.38</v>
      </c>
      <c r="BQ75" t="s">
        <v>329</v>
      </c>
      <c r="BR75" t="s">
        <v>82</v>
      </c>
      <c r="BS75" s="3">
        <v>45993</v>
      </c>
      <c r="BT75" s="4">
        <v>0.39027777777777778</v>
      </c>
      <c r="BU75" t="s">
        <v>341</v>
      </c>
      <c r="BV75" t="s">
        <v>84</v>
      </c>
      <c r="BY75">
        <v>33534</v>
      </c>
      <c r="CA75" t="s">
        <v>331</v>
      </c>
      <c r="CC75" t="s">
        <v>76</v>
      </c>
      <c r="CD75">
        <v>1645</v>
      </c>
      <c r="CE75" t="s">
        <v>86</v>
      </c>
      <c r="CF75" s="3">
        <v>45993</v>
      </c>
      <c r="CI75">
        <v>1</v>
      </c>
      <c r="CJ75">
        <v>1</v>
      </c>
      <c r="CK75">
        <v>22</v>
      </c>
      <c r="CL75" t="s">
        <v>87</v>
      </c>
    </row>
    <row r="76" spans="1:90" x14ac:dyDescent="0.3">
      <c r="A76" t="s">
        <v>72</v>
      </c>
      <c r="B76" t="s">
        <v>73</v>
      </c>
      <c r="C76" t="s">
        <v>74</v>
      </c>
      <c r="E76" t="str">
        <f>"080069581517"</f>
        <v>080069581517</v>
      </c>
      <c r="F76" s="3">
        <v>45992</v>
      </c>
      <c r="G76">
        <v>202609</v>
      </c>
      <c r="H76" t="s">
        <v>75</v>
      </c>
      <c r="I76" t="s">
        <v>76</v>
      </c>
      <c r="J76" t="s">
        <v>77</v>
      </c>
      <c r="K76" t="s">
        <v>78</v>
      </c>
      <c r="L76" t="s">
        <v>148</v>
      </c>
      <c r="M76" t="s">
        <v>149</v>
      </c>
      <c r="N76" t="s">
        <v>150</v>
      </c>
      <c r="O76" t="s">
        <v>89</v>
      </c>
      <c r="P76" t="str">
        <f>"4170071303                    "</f>
        <v xml:space="preserve">4170071303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43.09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1</v>
      </c>
      <c r="BJ76">
        <v>1.8</v>
      </c>
      <c r="BK76">
        <v>2</v>
      </c>
      <c r="BL76">
        <v>141.02000000000001</v>
      </c>
      <c r="BM76">
        <v>21.15</v>
      </c>
      <c r="BN76">
        <v>162.16999999999999</v>
      </c>
      <c r="BO76">
        <v>162.16999999999999</v>
      </c>
      <c r="BQ76" t="s">
        <v>151</v>
      </c>
      <c r="BR76" t="s">
        <v>82</v>
      </c>
      <c r="BS76" s="3">
        <v>45994</v>
      </c>
      <c r="BT76" s="4">
        <v>0.49722222222222223</v>
      </c>
      <c r="BU76" t="s">
        <v>152</v>
      </c>
      <c r="BV76" t="s">
        <v>87</v>
      </c>
      <c r="BW76" t="s">
        <v>153</v>
      </c>
      <c r="BX76" t="s">
        <v>154</v>
      </c>
      <c r="BY76">
        <v>8816</v>
      </c>
      <c r="CA76" t="s">
        <v>155</v>
      </c>
      <c r="CC76" t="s">
        <v>149</v>
      </c>
      <c r="CD76">
        <v>7300</v>
      </c>
      <c r="CE76" t="s">
        <v>86</v>
      </c>
      <c r="CF76" s="3">
        <v>45995</v>
      </c>
      <c r="CI76">
        <v>1</v>
      </c>
      <c r="CJ76">
        <v>2</v>
      </c>
      <c r="CK76">
        <v>23</v>
      </c>
      <c r="CL76" t="s">
        <v>87</v>
      </c>
    </row>
    <row r="77" spans="1:90" x14ac:dyDescent="0.3">
      <c r="A77" t="s">
        <v>72</v>
      </c>
      <c r="B77" t="s">
        <v>73</v>
      </c>
      <c r="C77" t="s">
        <v>74</v>
      </c>
      <c r="E77" t="str">
        <f>"080069581555"</f>
        <v>080069581555</v>
      </c>
      <c r="F77" s="3">
        <v>45992</v>
      </c>
      <c r="G77">
        <v>202609</v>
      </c>
      <c r="H77" t="s">
        <v>75</v>
      </c>
      <c r="I77" t="s">
        <v>76</v>
      </c>
      <c r="J77" t="s">
        <v>77</v>
      </c>
      <c r="K77" t="s">
        <v>78</v>
      </c>
      <c r="L77" t="s">
        <v>189</v>
      </c>
      <c r="M77" t="s">
        <v>190</v>
      </c>
      <c r="N77" t="s">
        <v>308</v>
      </c>
      <c r="O77" t="s">
        <v>89</v>
      </c>
      <c r="P77" t="str">
        <f>"4170071232                    "</f>
        <v xml:space="preserve">4170071232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72.25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17.41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4</v>
      </c>
      <c r="BJ77">
        <v>6.5</v>
      </c>
      <c r="BK77">
        <v>6.5</v>
      </c>
      <c r="BL77">
        <v>253.87</v>
      </c>
      <c r="BM77">
        <v>38.08</v>
      </c>
      <c r="BN77">
        <v>291.95</v>
      </c>
      <c r="BO77">
        <v>291.95</v>
      </c>
      <c r="BQ77" t="s">
        <v>309</v>
      </c>
      <c r="BR77" t="s">
        <v>82</v>
      </c>
      <c r="BS77" s="3">
        <v>45994</v>
      </c>
      <c r="BT77" s="4">
        <v>0.4236111111111111</v>
      </c>
      <c r="BU77" t="s">
        <v>310</v>
      </c>
      <c r="BV77" t="s">
        <v>87</v>
      </c>
      <c r="BY77">
        <v>32256</v>
      </c>
      <c r="BZ77" t="s">
        <v>30</v>
      </c>
      <c r="CA77" t="s">
        <v>311</v>
      </c>
      <c r="CC77" t="s">
        <v>190</v>
      </c>
      <c r="CD77">
        <v>3699</v>
      </c>
      <c r="CE77" t="s">
        <v>229</v>
      </c>
      <c r="CF77" s="3">
        <v>45995</v>
      </c>
      <c r="CI77">
        <v>1</v>
      </c>
      <c r="CJ77">
        <v>2</v>
      </c>
      <c r="CK77">
        <v>21</v>
      </c>
      <c r="CL77" t="s">
        <v>87</v>
      </c>
    </row>
    <row r="78" spans="1:90" x14ac:dyDescent="0.3">
      <c r="A78" t="s">
        <v>72</v>
      </c>
      <c r="B78" t="s">
        <v>73</v>
      </c>
      <c r="C78" t="s">
        <v>74</v>
      </c>
      <c r="E78" t="str">
        <f>"080069581593"</f>
        <v>080069581593</v>
      </c>
      <c r="F78" s="3">
        <v>45992</v>
      </c>
      <c r="G78">
        <v>202609</v>
      </c>
      <c r="H78" t="s">
        <v>75</v>
      </c>
      <c r="I78" t="s">
        <v>76</v>
      </c>
      <c r="J78" t="s">
        <v>77</v>
      </c>
      <c r="K78" t="s">
        <v>78</v>
      </c>
      <c r="L78" t="s">
        <v>374</v>
      </c>
      <c r="M78" t="s">
        <v>375</v>
      </c>
      <c r="N78" t="s">
        <v>376</v>
      </c>
      <c r="O78" t="s">
        <v>89</v>
      </c>
      <c r="P78" t="str">
        <f>"4170071316                    "</f>
        <v xml:space="preserve">4170071316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61.14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5</v>
      </c>
      <c r="BJ78">
        <v>5.5</v>
      </c>
      <c r="BK78">
        <v>5.5</v>
      </c>
      <c r="BL78">
        <v>200.09</v>
      </c>
      <c r="BM78">
        <v>30.01</v>
      </c>
      <c r="BN78">
        <v>230.1</v>
      </c>
      <c r="BO78">
        <v>230.1</v>
      </c>
      <c r="BQ78" t="s">
        <v>377</v>
      </c>
      <c r="BR78" t="s">
        <v>82</v>
      </c>
      <c r="BS78" s="3">
        <v>45993</v>
      </c>
      <c r="BT78" s="4">
        <v>0.45833333333333331</v>
      </c>
      <c r="BU78" t="s">
        <v>378</v>
      </c>
      <c r="BV78" t="s">
        <v>84</v>
      </c>
      <c r="BY78">
        <v>27324</v>
      </c>
      <c r="CC78" t="s">
        <v>375</v>
      </c>
      <c r="CD78">
        <v>7600</v>
      </c>
      <c r="CE78" t="s">
        <v>93</v>
      </c>
      <c r="CF78" s="3">
        <v>45994</v>
      </c>
      <c r="CI78">
        <v>1</v>
      </c>
      <c r="CJ78">
        <v>1</v>
      </c>
      <c r="CK78">
        <v>21</v>
      </c>
      <c r="CL78" t="s">
        <v>87</v>
      </c>
    </row>
    <row r="79" spans="1:90" x14ac:dyDescent="0.3">
      <c r="A79" t="s">
        <v>72</v>
      </c>
      <c r="B79" t="s">
        <v>73</v>
      </c>
      <c r="C79" t="s">
        <v>74</v>
      </c>
      <c r="E79" t="str">
        <f>"080069581608"</f>
        <v>080069581608</v>
      </c>
      <c r="F79" s="3">
        <v>45992</v>
      </c>
      <c r="G79">
        <v>202609</v>
      </c>
      <c r="H79" t="s">
        <v>75</v>
      </c>
      <c r="I79" t="s">
        <v>76</v>
      </c>
      <c r="J79" t="s">
        <v>77</v>
      </c>
      <c r="K79" t="s">
        <v>78</v>
      </c>
      <c r="L79" t="s">
        <v>141</v>
      </c>
      <c r="M79" t="s">
        <v>142</v>
      </c>
      <c r="N79" t="s">
        <v>214</v>
      </c>
      <c r="O79" t="s">
        <v>89</v>
      </c>
      <c r="P79" t="str">
        <f>"4170071137                    "</f>
        <v xml:space="preserve">4170071137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22.24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</v>
      </c>
      <c r="BJ79">
        <v>1.1000000000000001</v>
      </c>
      <c r="BK79">
        <v>1.5</v>
      </c>
      <c r="BL79">
        <v>72.78</v>
      </c>
      <c r="BM79">
        <v>10.92</v>
      </c>
      <c r="BN79">
        <v>83.7</v>
      </c>
      <c r="BO79">
        <v>83.7</v>
      </c>
      <c r="BQ79" t="s">
        <v>215</v>
      </c>
      <c r="BR79" t="s">
        <v>82</v>
      </c>
      <c r="BS79" s="3">
        <v>45993</v>
      </c>
      <c r="BT79" s="4">
        <v>0.38958333333333334</v>
      </c>
      <c r="BU79" t="s">
        <v>223</v>
      </c>
      <c r="BV79" t="s">
        <v>84</v>
      </c>
      <c r="BY79">
        <v>5320</v>
      </c>
      <c r="BZ79" t="s">
        <v>125</v>
      </c>
      <c r="CA79" t="s">
        <v>224</v>
      </c>
      <c r="CC79" t="s">
        <v>142</v>
      </c>
      <c r="CD79">
        <v>6001</v>
      </c>
      <c r="CE79" t="s">
        <v>147</v>
      </c>
      <c r="CF79" s="3">
        <v>45993</v>
      </c>
      <c r="CI79">
        <v>1</v>
      </c>
      <c r="CJ79">
        <v>1</v>
      </c>
      <c r="CK79">
        <v>21</v>
      </c>
      <c r="CL79" t="s">
        <v>87</v>
      </c>
    </row>
    <row r="80" spans="1:90" x14ac:dyDescent="0.3">
      <c r="A80" t="s">
        <v>72</v>
      </c>
      <c r="B80" t="s">
        <v>73</v>
      </c>
      <c r="C80" t="s">
        <v>74</v>
      </c>
      <c r="E80" t="str">
        <f>"080069582042"</f>
        <v>080069582042</v>
      </c>
      <c r="F80" s="3">
        <v>45992</v>
      </c>
      <c r="G80">
        <v>202609</v>
      </c>
      <c r="H80" t="s">
        <v>75</v>
      </c>
      <c r="I80" t="s">
        <v>76</v>
      </c>
      <c r="J80" t="s">
        <v>77</v>
      </c>
      <c r="K80" t="s">
        <v>78</v>
      </c>
      <c r="L80" t="s">
        <v>141</v>
      </c>
      <c r="M80" t="s">
        <v>142</v>
      </c>
      <c r="N80" t="s">
        <v>379</v>
      </c>
      <c r="O80" t="s">
        <v>89</v>
      </c>
      <c r="P80" t="str">
        <f>"4170071219                    "</f>
        <v xml:space="preserve">4170071219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22.24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</v>
      </c>
      <c r="BJ80">
        <v>1.9</v>
      </c>
      <c r="BK80">
        <v>2</v>
      </c>
      <c r="BL80">
        <v>72.78</v>
      </c>
      <c r="BM80">
        <v>10.92</v>
      </c>
      <c r="BN80">
        <v>83.7</v>
      </c>
      <c r="BO80">
        <v>83.7</v>
      </c>
      <c r="BQ80" t="s">
        <v>380</v>
      </c>
      <c r="BR80" t="s">
        <v>82</v>
      </c>
      <c r="BS80" s="3">
        <v>45993</v>
      </c>
      <c r="BT80" s="4">
        <v>0.41666666666666669</v>
      </c>
      <c r="BU80" t="s">
        <v>381</v>
      </c>
      <c r="BV80" t="s">
        <v>84</v>
      </c>
      <c r="BY80">
        <v>9600</v>
      </c>
      <c r="BZ80" t="s">
        <v>125</v>
      </c>
      <c r="CA80" t="s">
        <v>382</v>
      </c>
      <c r="CC80" t="s">
        <v>142</v>
      </c>
      <c r="CD80">
        <v>6001</v>
      </c>
      <c r="CE80" t="s">
        <v>147</v>
      </c>
      <c r="CF80" s="3">
        <v>45993</v>
      </c>
      <c r="CI80">
        <v>1</v>
      </c>
      <c r="CJ80">
        <v>1</v>
      </c>
      <c r="CK80">
        <v>21</v>
      </c>
      <c r="CL80" t="s">
        <v>87</v>
      </c>
    </row>
    <row r="81" spans="1:90" x14ac:dyDescent="0.3">
      <c r="A81" t="s">
        <v>72</v>
      </c>
      <c r="B81" t="s">
        <v>73</v>
      </c>
      <c r="C81" t="s">
        <v>74</v>
      </c>
      <c r="E81" t="str">
        <f>"080069582263"</f>
        <v>080069582263</v>
      </c>
      <c r="F81" s="3">
        <v>45992</v>
      </c>
      <c r="G81">
        <v>202609</v>
      </c>
      <c r="H81" t="s">
        <v>75</v>
      </c>
      <c r="I81" t="s">
        <v>76</v>
      </c>
      <c r="J81" t="s">
        <v>77</v>
      </c>
      <c r="K81" t="s">
        <v>78</v>
      </c>
      <c r="L81" t="s">
        <v>128</v>
      </c>
      <c r="M81" t="s">
        <v>129</v>
      </c>
      <c r="N81" t="s">
        <v>383</v>
      </c>
      <c r="O81" t="s">
        <v>89</v>
      </c>
      <c r="P81" t="str">
        <f>"4170071222                    "</f>
        <v xml:space="preserve">4170071222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77.81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7</v>
      </c>
      <c r="BJ81">
        <v>1.9</v>
      </c>
      <c r="BK81">
        <v>7</v>
      </c>
      <c r="BL81">
        <v>254.65</v>
      </c>
      <c r="BM81">
        <v>38.200000000000003</v>
      </c>
      <c r="BN81">
        <v>292.85000000000002</v>
      </c>
      <c r="BO81">
        <v>292.85000000000002</v>
      </c>
      <c r="BQ81" t="s">
        <v>384</v>
      </c>
      <c r="BR81" t="s">
        <v>82</v>
      </c>
      <c r="BS81" s="3">
        <v>45993</v>
      </c>
      <c r="BT81" s="4">
        <v>0.61944444444444446</v>
      </c>
      <c r="BU81" t="s">
        <v>359</v>
      </c>
      <c r="BV81" t="s">
        <v>87</v>
      </c>
      <c r="BW81" t="s">
        <v>186</v>
      </c>
      <c r="BX81" t="s">
        <v>187</v>
      </c>
      <c r="BY81">
        <v>9600</v>
      </c>
      <c r="CA81" t="s">
        <v>188</v>
      </c>
      <c r="CC81" t="s">
        <v>129</v>
      </c>
      <c r="CD81">
        <v>5201</v>
      </c>
      <c r="CE81" t="s">
        <v>86</v>
      </c>
      <c r="CF81" s="3">
        <v>45994</v>
      </c>
      <c r="CI81">
        <v>1</v>
      </c>
      <c r="CJ81">
        <v>1</v>
      </c>
      <c r="CK81">
        <v>21</v>
      </c>
      <c r="CL81" t="s">
        <v>87</v>
      </c>
    </row>
    <row r="82" spans="1:90" x14ac:dyDescent="0.3">
      <c r="A82" t="s">
        <v>72</v>
      </c>
      <c r="B82" t="s">
        <v>73</v>
      </c>
      <c r="C82" t="s">
        <v>74</v>
      </c>
      <c r="E82" t="str">
        <f>"080069582317"</f>
        <v>080069582317</v>
      </c>
      <c r="F82" s="3">
        <v>45992</v>
      </c>
      <c r="G82">
        <v>202609</v>
      </c>
      <c r="H82" t="s">
        <v>75</v>
      </c>
      <c r="I82" t="s">
        <v>76</v>
      </c>
      <c r="J82" t="s">
        <v>77</v>
      </c>
      <c r="K82" t="s">
        <v>78</v>
      </c>
      <c r="L82" t="s">
        <v>75</v>
      </c>
      <c r="M82" t="s">
        <v>76</v>
      </c>
      <c r="N82" t="s">
        <v>385</v>
      </c>
      <c r="O82" t="s">
        <v>89</v>
      </c>
      <c r="P82" t="str">
        <f>"4170071214                    "</f>
        <v xml:space="preserve">4170071214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17.37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3</v>
      </c>
      <c r="BJ82">
        <v>1.1000000000000001</v>
      </c>
      <c r="BK82">
        <v>3</v>
      </c>
      <c r="BL82">
        <v>56.85</v>
      </c>
      <c r="BM82">
        <v>8.5299999999999994</v>
      </c>
      <c r="BN82">
        <v>65.38</v>
      </c>
      <c r="BO82">
        <v>65.38</v>
      </c>
      <c r="BQ82" t="s">
        <v>386</v>
      </c>
      <c r="BR82" t="s">
        <v>82</v>
      </c>
      <c r="BS82" s="3">
        <v>45993</v>
      </c>
      <c r="BT82" s="4">
        <v>0.34375</v>
      </c>
      <c r="BU82" t="s">
        <v>387</v>
      </c>
      <c r="BV82" t="s">
        <v>84</v>
      </c>
      <c r="BY82">
        <v>5510</v>
      </c>
      <c r="CA82" t="s">
        <v>388</v>
      </c>
      <c r="CC82" t="s">
        <v>76</v>
      </c>
      <c r="CD82">
        <v>1601</v>
      </c>
      <c r="CE82" t="s">
        <v>86</v>
      </c>
      <c r="CF82" s="3">
        <v>45994</v>
      </c>
      <c r="CI82">
        <v>1</v>
      </c>
      <c r="CJ82">
        <v>1</v>
      </c>
      <c r="CK82">
        <v>22</v>
      </c>
      <c r="CL82" t="s">
        <v>87</v>
      </c>
    </row>
    <row r="83" spans="1:90" x14ac:dyDescent="0.3">
      <c r="A83" t="s">
        <v>72</v>
      </c>
      <c r="B83" t="s">
        <v>73</v>
      </c>
      <c r="C83" t="s">
        <v>74</v>
      </c>
      <c r="E83" t="str">
        <f>"080069582370"</f>
        <v>080069582370</v>
      </c>
      <c r="F83" s="3">
        <v>45992</v>
      </c>
      <c r="G83">
        <v>202609</v>
      </c>
      <c r="H83" t="s">
        <v>75</v>
      </c>
      <c r="I83" t="s">
        <v>76</v>
      </c>
      <c r="J83" t="s">
        <v>77</v>
      </c>
      <c r="K83" t="s">
        <v>78</v>
      </c>
      <c r="L83" t="s">
        <v>389</v>
      </c>
      <c r="M83" t="s">
        <v>390</v>
      </c>
      <c r="N83" t="s">
        <v>391</v>
      </c>
      <c r="O83" t="s">
        <v>89</v>
      </c>
      <c r="P83" t="str">
        <f>"4170071243                    "</f>
        <v xml:space="preserve">4170071243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101.46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4.7</v>
      </c>
      <c r="BJ83">
        <v>3.9</v>
      </c>
      <c r="BK83">
        <v>5</v>
      </c>
      <c r="BL83">
        <v>332.05</v>
      </c>
      <c r="BM83">
        <v>49.81</v>
      </c>
      <c r="BN83">
        <v>381.86</v>
      </c>
      <c r="BO83">
        <v>381.86</v>
      </c>
      <c r="BQ83" t="s">
        <v>392</v>
      </c>
      <c r="BR83" t="s">
        <v>82</v>
      </c>
      <c r="BS83" s="3">
        <v>45993</v>
      </c>
      <c r="BT83" s="4">
        <v>0.39652777777777776</v>
      </c>
      <c r="BU83" t="s">
        <v>393</v>
      </c>
      <c r="BV83" t="s">
        <v>84</v>
      </c>
      <c r="BY83">
        <v>19691.099999999999</v>
      </c>
      <c r="CA83" t="s">
        <v>394</v>
      </c>
      <c r="CC83" t="s">
        <v>390</v>
      </c>
      <c r="CD83" s="5" t="s">
        <v>395</v>
      </c>
      <c r="CE83" t="s">
        <v>86</v>
      </c>
      <c r="CF83" s="3">
        <v>45994</v>
      </c>
      <c r="CI83">
        <v>1</v>
      </c>
      <c r="CJ83">
        <v>1</v>
      </c>
      <c r="CK83">
        <v>23</v>
      </c>
      <c r="CL83" t="s">
        <v>87</v>
      </c>
    </row>
    <row r="84" spans="1:90" x14ac:dyDescent="0.3">
      <c r="A84" t="s">
        <v>72</v>
      </c>
      <c r="B84" t="s">
        <v>73</v>
      </c>
      <c r="C84" t="s">
        <v>74</v>
      </c>
      <c r="E84" t="str">
        <f>"080069583503"</f>
        <v>080069583503</v>
      </c>
      <c r="F84" s="3">
        <v>45992</v>
      </c>
      <c r="G84">
        <v>202609</v>
      </c>
      <c r="H84" t="s">
        <v>75</v>
      </c>
      <c r="I84" t="s">
        <v>76</v>
      </c>
      <c r="J84" t="s">
        <v>77</v>
      </c>
      <c r="K84" t="s">
        <v>78</v>
      </c>
      <c r="L84" t="s">
        <v>272</v>
      </c>
      <c r="M84" t="s">
        <v>273</v>
      </c>
      <c r="N84" t="s">
        <v>274</v>
      </c>
      <c r="O84" t="s">
        <v>80</v>
      </c>
      <c r="P84" t="str">
        <f>"4170071315                    "</f>
        <v xml:space="preserve">4170071315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71.45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11</v>
      </c>
      <c r="BJ84">
        <v>30.4</v>
      </c>
      <c r="BK84">
        <v>31</v>
      </c>
      <c r="BL84">
        <v>239.93</v>
      </c>
      <c r="BM84">
        <v>35.99</v>
      </c>
      <c r="BN84">
        <v>275.92</v>
      </c>
      <c r="BO84">
        <v>275.92</v>
      </c>
      <c r="BQ84" t="s">
        <v>275</v>
      </c>
      <c r="BR84" t="s">
        <v>82</v>
      </c>
      <c r="BS84" s="3">
        <v>45994</v>
      </c>
      <c r="BT84" s="4">
        <v>0.4826388888888889</v>
      </c>
      <c r="BU84" t="s">
        <v>276</v>
      </c>
      <c r="BV84" t="s">
        <v>84</v>
      </c>
      <c r="BY84">
        <v>151800</v>
      </c>
      <c r="CA84" t="s">
        <v>277</v>
      </c>
      <c r="CC84" t="s">
        <v>273</v>
      </c>
      <c r="CD84">
        <v>6220</v>
      </c>
      <c r="CE84" t="s">
        <v>86</v>
      </c>
      <c r="CF84" s="3">
        <v>45994</v>
      </c>
      <c r="CI84">
        <v>3</v>
      </c>
      <c r="CJ84">
        <v>2</v>
      </c>
      <c r="CK84">
        <v>41</v>
      </c>
      <c r="CL84" t="s">
        <v>87</v>
      </c>
    </row>
    <row r="85" spans="1:90" x14ac:dyDescent="0.3">
      <c r="A85" t="s">
        <v>72</v>
      </c>
      <c r="B85" t="s">
        <v>73</v>
      </c>
      <c r="C85" t="s">
        <v>74</v>
      </c>
      <c r="E85" t="str">
        <f>"080069583535"</f>
        <v>080069583535</v>
      </c>
      <c r="F85" s="3">
        <v>45992</v>
      </c>
      <c r="G85">
        <v>202609</v>
      </c>
      <c r="H85" t="s">
        <v>75</v>
      </c>
      <c r="I85" t="s">
        <v>76</v>
      </c>
      <c r="J85" t="s">
        <v>77</v>
      </c>
      <c r="K85" t="s">
        <v>78</v>
      </c>
      <c r="L85" t="s">
        <v>100</v>
      </c>
      <c r="M85" t="s">
        <v>101</v>
      </c>
      <c r="N85" t="s">
        <v>396</v>
      </c>
      <c r="O85" t="s">
        <v>89</v>
      </c>
      <c r="P85" t="str">
        <f>"4170071318                    "</f>
        <v xml:space="preserve">4170071318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22.24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1</v>
      </c>
      <c r="BJ85">
        <v>0.2</v>
      </c>
      <c r="BK85">
        <v>1</v>
      </c>
      <c r="BL85">
        <v>72.78</v>
      </c>
      <c r="BM85">
        <v>10.92</v>
      </c>
      <c r="BN85">
        <v>83.7</v>
      </c>
      <c r="BO85">
        <v>83.7</v>
      </c>
      <c r="BQ85" t="s">
        <v>397</v>
      </c>
      <c r="BR85" t="s">
        <v>82</v>
      </c>
      <c r="BS85" s="3">
        <v>45993</v>
      </c>
      <c r="BT85" s="4">
        <v>0.4375</v>
      </c>
      <c r="BU85" t="s">
        <v>251</v>
      </c>
      <c r="BV85" t="s">
        <v>84</v>
      </c>
      <c r="BY85">
        <v>1200</v>
      </c>
      <c r="CC85" t="s">
        <v>101</v>
      </c>
      <c r="CD85">
        <v>4072</v>
      </c>
      <c r="CE85" t="s">
        <v>134</v>
      </c>
      <c r="CF85" s="3">
        <v>45994</v>
      </c>
      <c r="CI85">
        <v>1</v>
      </c>
      <c r="CJ85">
        <v>1</v>
      </c>
      <c r="CK85">
        <v>21</v>
      </c>
      <c r="CL85" t="s">
        <v>87</v>
      </c>
    </row>
    <row r="86" spans="1:90" x14ac:dyDescent="0.3">
      <c r="A86" t="s">
        <v>72</v>
      </c>
      <c r="B86" t="s">
        <v>73</v>
      </c>
      <c r="C86" t="s">
        <v>74</v>
      </c>
      <c r="E86" t="str">
        <f>"080069583581"</f>
        <v>080069583581</v>
      </c>
      <c r="F86" s="3">
        <v>45992</v>
      </c>
      <c r="G86">
        <v>202609</v>
      </c>
      <c r="H86" t="s">
        <v>75</v>
      </c>
      <c r="I86" t="s">
        <v>76</v>
      </c>
      <c r="J86" t="s">
        <v>77</v>
      </c>
      <c r="K86" t="s">
        <v>78</v>
      </c>
      <c r="L86" t="s">
        <v>100</v>
      </c>
      <c r="M86" t="s">
        <v>101</v>
      </c>
      <c r="N86" t="s">
        <v>102</v>
      </c>
      <c r="O86" t="s">
        <v>89</v>
      </c>
      <c r="P86" t="str">
        <f>"4170071234                    "</f>
        <v xml:space="preserve">4170071234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22.24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1</v>
      </c>
      <c r="BJ86">
        <v>0.2</v>
      </c>
      <c r="BK86">
        <v>1</v>
      </c>
      <c r="BL86">
        <v>72.78</v>
      </c>
      <c r="BM86">
        <v>10.92</v>
      </c>
      <c r="BN86">
        <v>83.7</v>
      </c>
      <c r="BO86">
        <v>83.7</v>
      </c>
      <c r="BQ86" t="s">
        <v>103</v>
      </c>
      <c r="BR86" t="s">
        <v>82</v>
      </c>
      <c r="BS86" s="3">
        <v>45993</v>
      </c>
      <c r="BT86" s="4">
        <v>0.36527777777777776</v>
      </c>
      <c r="BU86" t="s">
        <v>398</v>
      </c>
      <c r="BV86" t="s">
        <v>84</v>
      </c>
      <c r="BY86">
        <v>1200</v>
      </c>
      <c r="BZ86" t="s">
        <v>125</v>
      </c>
      <c r="CA86" t="s">
        <v>107</v>
      </c>
      <c r="CC86" t="s">
        <v>101</v>
      </c>
      <c r="CD86">
        <v>4000</v>
      </c>
      <c r="CE86" t="s">
        <v>127</v>
      </c>
      <c r="CF86" s="3">
        <v>45993</v>
      </c>
      <c r="CI86">
        <v>1</v>
      </c>
      <c r="CJ86">
        <v>1</v>
      </c>
      <c r="CK86">
        <v>21</v>
      </c>
      <c r="CL86" t="s">
        <v>87</v>
      </c>
    </row>
    <row r="87" spans="1:90" x14ac:dyDescent="0.3">
      <c r="A87" t="s">
        <v>72</v>
      </c>
      <c r="B87" t="s">
        <v>73</v>
      </c>
      <c r="C87" t="s">
        <v>74</v>
      </c>
      <c r="E87" t="str">
        <f>"080069583602"</f>
        <v>080069583602</v>
      </c>
      <c r="F87" s="3">
        <v>45992</v>
      </c>
      <c r="G87">
        <v>202609</v>
      </c>
      <c r="H87" t="s">
        <v>75</v>
      </c>
      <c r="I87" t="s">
        <v>76</v>
      </c>
      <c r="J87" t="s">
        <v>77</v>
      </c>
      <c r="K87" t="s">
        <v>78</v>
      </c>
      <c r="L87" t="s">
        <v>399</v>
      </c>
      <c r="M87" t="s">
        <v>400</v>
      </c>
      <c r="N87" t="s">
        <v>401</v>
      </c>
      <c r="O87" t="s">
        <v>340</v>
      </c>
      <c r="P87" t="str">
        <f>"4170071321                    "</f>
        <v xml:space="preserve">4170071321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19.32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9</v>
      </c>
      <c r="BJ87">
        <v>3.4</v>
      </c>
      <c r="BK87">
        <v>9</v>
      </c>
      <c r="BL87">
        <v>63.24</v>
      </c>
      <c r="BM87">
        <v>9.49</v>
      </c>
      <c r="BN87">
        <v>72.73</v>
      </c>
      <c r="BO87">
        <v>72.73</v>
      </c>
      <c r="BQ87" t="s">
        <v>402</v>
      </c>
      <c r="BR87" t="s">
        <v>82</v>
      </c>
      <c r="BS87" s="3">
        <v>45993</v>
      </c>
      <c r="BT87" s="4">
        <v>0.4</v>
      </c>
      <c r="BU87" t="s">
        <v>403</v>
      </c>
      <c r="BV87" t="s">
        <v>84</v>
      </c>
      <c r="BY87">
        <v>16965</v>
      </c>
      <c r="BZ87" t="s">
        <v>404</v>
      </c>
      <c r="CA87" t="s">
        <v>405</v>
      </c>
      <c r="CC87" t="s">
        <v>400</v>
      </c>
      <c r="CD87">
        <v>1724</v>
      </c>
      <c r="CE87" t="s">
        <v>147</v>
      </c>
      <c r="CF87" s="3">
        <v>45993</v>
      </c>
      <c r="CI87">
        <v>1</v>
      </c>
      <c r="CJ87">
        <v>1</v>
      </c>
      <c r="CK87">
        <v>32</v>
      </c>
      <c r="CL87" t="s">
        <v>87</v>
      </c>
    </row>
    <row r="88" spans="1:90" x14ac:dyDescent="0.3">
      <c r="A88" t="s">
        <v>72</v>
      </c>
      <c r="B88" t="s">
        <v>73</v>
      </c>
      <c r="C88" t="s">
        <v>74</v>
      </c>
      <c r="E88" t="str">
        <f>"080069583654"</f>
        <v>080069583654</v>
      </c>
      <c r="F88" s="3">
        <v>45992</v>
      </c>
      <c r="G88">
        <v>202609</v>
      </c>
      <c r="H88" t="s">
        <v>75</v>
      </c>
      <c r="I88" t="s">
        <v>76</v>
      </c>
      <c r="J88" t="s">
        <v>77</v>
      </c>
      <c r="K88" t="s">
        <v>78</v>
      </c>
      <c r="L88" t="s">
        <v>100</v>
      </c>
      <c r="M88" t="s">
        <v>101</v>
      </c>
      <c r="N88" t="s">
        <v>102</v>
      </c>
      <c r="O88" t="s">
        <v>89</v>
      </c>
      <c r="P88" t="str">
        <f>"4170071254                    "</f>
        <v xml:space="preserve">4170071254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22.24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2</v>
      </c>
      <c r="BJ88">
        <v>1.1000000000000001</v>
      </c>
      <c r="BK88">
        <v>2</v>
      </c>
      <c r="BL88">
        <v>72.78</v>
      </c>
      <c r="BM88">
        <v>10.92</v>
      </c>
      <c r="BN88">
        <v>83.7</v>
      </c>
      <c r="BO88">
        <v>83.7</v>
      </c>
      <c r="BQ88" t="s">
        <v>103</v>
      </c>
      <c r="BR88" t="s">
        <v>82</v>
      </c>
      <c r="BS88" s="3">
        <v>45993</v>
      </c>
      <c r="BT88" s="4">
        <v>0.36527777777777776</v>
      </c>
      <c r="BU88" t="s">
        <v>398</v>
      </c>
      <c r="BV88" t="s">
        <v>84</v>
      </c>
      <c r="BY88">
        <v>5510</v>
      </c>
      <c r="BZ88" t="s">
        <v>125</v>
      </c>
      <c r="CC88" t="s">
        <v>101</v>
      </c>
      <c r="CD88">
        <v>4051</v>
      </c>
      <c r="CE88" t="s">
        <v>147</v>
      </c>
      <c r="CF88" s="3">
        <v>45993</v>
      </c>
      <c r="CI88">
        <v>1</v>
      </c>
      <c r="CJ88">
        <v>1</v>
      </c>
      <c r="CK88">
        <v>21</v>
      </c>
      <c r="CL88" t="s">
        <v>87</v>
      </c>
    </row>
    <row r="89" spans="1:90" x14ac:dyDescent="0.3">
      <c r="A89" t="s">
        <v>72</v>
      </c>
      <c r="B89" t="s">
        <v>73</v>
      </c>
      <c r="C89" t="s">
        <v>74</v>
      </c>
      <c r="E89" t="str">
        <f>"080069583650"</f>
        <v>080069583650</v>
      </c>
      <c r="F89" s="3">
        <v>45992</v>
      </c>
      <c r="G89">
        <v>202609</v>
      </c>
      <c r="H89" t="s">
        <v>75</v>
      </c>
      <c r="I89" t="s">
        <v>76</v>
      </c>
      <c r="J89" t="s">
        <v>77</v>
      </c>
      <c r="K89" t="s">
        <v>78</v>
      </c>
      <c r="L89" t="s">
        <v>176</v>
      </c>
      <c r="M89" t="s">
        <v>177</v>
      </c>
      <c r="N89" t="s">
        <v>406</v>
      </c>
      <c r="O89" t="s">
        <v>89</v>
      </c>
      <c r="P89" t="str">
        <f>"4170071236                    "</f>
        <v xml:space="preserve">4170071236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17.37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</v>
      </c>
      <c r="BJ89">
        <v>0.2</v>
      </c>
      <c r="BK89">
        <v>1</v>
      </c>
      <c r="BL89">
        <v>56.85</v>
      </c>
      <c r="BM89">
        <v>8.5299999999999994</v>
      </c>
      <c r="BN89">
        <v>65.38</v>
      </c>
      <c r="BO89">
        <v>65.38</v>
      </c>
      <c r="BQ89" t="s">
        <v>407</v>
      </c>
      <c r="BR89" t="s">
        <v>82</v>
      </c>
      <c r="BS89" s="3">
        <v>45994</v>
      </c>
      <c r="BT89" s="4">
        <v>0.37569444444444444</v>
      </c>
      <c r="BU89" t="s">
        <v>408</v>
      </c>
      <c r="BV89" t="s">
        <v>87</v>
      </c>
      <c r="BW89" t="s">
        <v>174</v>
      </c>
      <c r="BX89" t="s">
        <v>198</v>
      </c>
      <c r="BY89">
        <v>1200</v>
      </c>
      <c r="CA89" t="s">
        <v>409</v>
      </c>
      <c r="CC89" t="s">
        <v>177</v>
      </c>
      <c r="CD89">
        <v>2001</v>
      </c>
      <c r="CE89" t="s">
        <v>134</v>
      </c>
      <c r="CF89" s="3">
        <v>45995</v>
      </c>
      <c r="CI89">
        <v>1</v>
      </c>
      <c r="CJ89">
        <v>2</v>
      </c>
      <c r="CK89">
        <v>22</v>
      </c>
      <c r="CL89" t="s">
        <v>87</v>
      </c>
    </row>
    <row r="90" spans="1:90" x14ac:dyDescent="0.3">
      <c r="A90" t="s">
        <v>72</v>
      </c>
      <c r="B90" t="s">
        <v>73</v>
      </c>
      <c r="C90" t="s">
        <v>74</v>
      </c>
      <c r="E90" t="str">
        <f>"080069583675"</f>
        <v>080069583675</v>
      </c>
      <c r="F90" s="3">
        <v>45992</v>
      </c>
      <c r="G90">
        <v>202609</v>
      </c>
      <c r="H90" t="s">
        <v>75</v>
      </c>
      <c r="I90" t="s">
        <v>76</v>
      </c>
      <c r="J90" t="s">
        <v>77</v>
      </c>
      <c r="K90" t="s">
        <v>78</v>
      </c>
      <c r="L90" t="s">
        <v>176</v>
      </c>
      <c r="M90" t="s">
        <v>177</v>
      </c>
      <c r="N90" t="s">
        <v>410</v>
      </c>
      <c r="O90" t="s">
        <v>89</v>
      </c>
      <c r="P90" t="str">
        <f>"4170071217                    "</f>
        <v xml:space="preserve">4170071217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17.37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1</v>
      </c>
      <c r="BJ90">
        <v>0.2</v>
      </c>
      <c r="BK90">
        <v>1</v>
      </c>
      <c r="BL90">
        <v>56.85</v>
      </c>
      <c r="BM90">
        <v>8.5299999999999994</v>
      </c>
      <c r="BN90">
        <v>65.38</v>
      </c>
      <c r="BO90">
        <v>65.38</v>
      </c>
      <c r="BQ90" t="s">
        <v>411</v>
      </c>
      <c r="BR90" t="s">
        <v>82</v>
      </c>
      <c r="BS90" s="3">
        <v>45994</v>
      </c>
      <c r="BT90" s="4">
        <v>0.39583333333333331</v>
      </c>
      <c r="BU90" t="s">
        <v>412</v>
      </c>
      <c r="BV90" t="s">
        <v>87</v>
      </c>
      <c r="BW90" t="s">
        <v>174</v>
      </c>
      <c r="BX90" t="s">
        <v>198</v>
      </c>
      <c r="BY90">
        <v>1200</v>
      </c>
      <c r="CA90" t="s">
        <v>413</v>
      </c>
      <c r="CC90" t="s">
        <v>177</v>
      </c>
      <c r="CD90">
        <v>2013</v>
      </c>
      <c r="CE90" t="s">
        <v>134</v>
      </c>
      <c r="CF90" s="3">
        <v>45995</v>
      </c>
      <c r="CI90">
        <v>1</v>
      </c>
      <c r="CJ90">
        <v>2</v>
      </c>
      <c r="CK90">
        <v>22</v>
      </c>
      <c r="CL90" t="s">
        <v>87</v>
      </c>
    </row>
    <row r="91" spans="1:90" x14ac:dyDescent="0.3">
      <c r="A91" t="s">
        <v>72</v>
      </c>
      <c r="B91" t="s">
        <v>73</v>
      </c>
      <c r="C91" t="s">
        <v>74</v>
      </c>
      <c r="E91" t="str">
        <f>"080069583686"</f>
        <v>080069583686</v>
      </c>
      <c r="F91" s="3">
        <v>45992</v>
      </c>
      <c r="G91">
        <v>202609</v>
      </c>
      <c r="H91" t="s">
        <v>75</v>
      </c>
      <c r="I91" t="s">
        <v>76</v>
      </c>
      <c r="J91" t="s">
        <v>77</v>
      </c>
      <c r="K91" t="s">
        <v>78</v>
      </c>
      <c r="L91" t="s">
        <v>265</v>
      </c>
      <c r="M91" t="s">
        <v>266</v>
      </c>
      <c r="N91" t="s">
        <v>414</v>
      </c>
      <c r="O91" t="s">
        <v>89</v>
      </c>
      <c r="P91" t="str">
        <f>"4170071216                    "</f>
        <v xml:space="preserve">4170071216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17.37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3</v>
      </c>
      <c r="BJ91">
        <v>1.8</v>
      </c>
      <c r="BK91">
        <v>3</v>
      </c>
      <c r="BL91">
        <v>56.85</v>
      </c>
      <c r="BM91">
        <v>8.5299999999999994</v>
      </c>
      <c r="BN91">
        <v>65.38</v>
      </c>
      <c r="BO91">
        <v>65.38</v>
      </c>
      <c r="BQ91" t="s">
        <v>415</v>
      </c>
      <c r="BR91" t="s">
        <v>82</v>
      </c>
      <c r="BS91" s="3">
        <v>45993</v>
      </c>
      <c r="BT91" s="4">
        <v>0.3125</v>
      </c>
      <c r="BU91" t="s">
        <v>416</v>
      </c>
      <c r="BV91" t="s">
        <v>84</v>
      </c>
      <c r="BY91">
        <v>8816</v>
      </c>
      <c r="CA91" t="s">
        <v>417</v>
      </c>
      <c r="CC91" t="s">
        <v>266</v>
      </c>
      <c r="CD91">
        <v>1459</v>
      </c>
      <c r="CE91" t="s">
        <v>86</v>
      </c>
      <c r="CF91" s="3">
        <v>45994</v>
      </c>
      <c r="CI91">
        <v>1</v>
      </c>
      <c r="CJ91">
        <v>1</v>
      </c>
      <c r="CK91">
        <v>22</v>
      </c>
      <c r="CL91" t="s">
        <v>87</v>
      </c>
    </row>
    <row r="92" spans="1:90" x14ac:dyDescent="0.3">
      <c r="A92" t="s">
        <v>72</v>
      </c>
      <c r="B92" t="s">
        <v>73</v>
      </c>
      <c r="C92" t="s">
        <v>74</v>
      </c>
      <c r="E92" t="str">
        <f>"080069583736"</f>
        <v>080069583736</v>
      </c>
      <c r="F92" s="3">
        <v>45992</v>
      </c>
      <c r="G92">
        <v>202609</v>
      </c>
      <c r="H92" t="s">
        <v>75</v>
      </c>
      <c r="I92" t="s">
        <v>76</v>
      </c>
      <c r="J92" t="s">
        <v>77</v>
      </c>
      <c r="K92" t="s">
        <v>78</v>
      </c>
      <c r="L92" t="s">
        <v>418</v>
      </c>
      <c r="M92" t="s">
        <v>419</v>
      </c>
      <c r="N92" t="s">
        <v>420</v>
      </c>
      <c r="O92" t="s">
        <v>89</v>
      </c>
      <c r="P92" t="str">
        <f>"4170071223                    "</f>
        <v xml:space="preserve">4170071223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43.09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1</v>
      </c>
      <c r="BJ92">
        <v>0.2</v>
      </c>
      <c r="BK92">
        <v>1</v>
      </c>
      <c r="BL92">
        <v>141.02000000000001</v>
      </c>
      <c r="BM92">
        <v>21.15</v>
      </c>
      <c r="BN92">
        <v>162.16999999999999</v>
      </c>
      <c r="BO92">
        <v>162.16999999999999</v>
      </c>
      <c r="BQ92" t="s">
        <v>421</v>
      </c>
      <c r="BR92" t="s">
        <v>82</v>
      </c>
      <c r="BS92" s="3">
        <v>45993</v>
      </c>
      <c r="BT92" s="4">
        <v>0.46041666666666664</v>
      </c>
      <c r="BU92" t="s">
        <v>422</v>
      </c>
      <c r="BV92" t="s">
        <v>84</v>
      </c>
      <c r="BY92">
        <v>1200</v>
      </c>
      <c r="CA92" t="s">
        <v>423</v>
      </c>
      <c r="CC92" t="s">
        <v>419</v>
      </c>
      <c r="CD92" s="5" t="s">
        <v>424</v>
      </c>
      <c r="CE92" t="s">
        <v>134</v>
      </c>
      <c r="CF92" s="3">
        <v>45993</v>
      </c>
      <c r="CI92">
        <v>1</v>
      </c>
      <c r="CJ92">
        <v>1</v>
      </c>
      <c r="CK92">
        <v>23</v>
      </c>
      <c r="CL92" t="s">
        <v>87</v>
      </c>
    </row>
    <row r="93" spans="1:90" x14ac:dyDescent="0.3">
      <c r="A93" t="s">
        <v>72</v>
      </c>
      <c r="B93" t="s">
        <v>73</v>
      </c>
      <c r="C93" t="s">
        <v>74</v>
      </c>
      <c r="E93" t="str">
        <f>"080069583830"</f>
        <v>080069583830</v>
      </c>
      <c r="F93" s="3">
        <v>45992</v>
      </c>
      <c r="G93">
        <v>202609</v>
      </c>
      <c r="H93" t="s">
        <v>75</v>
      </c>
      <c r="I93" t="s">
        <v>76</v>
      </c>
      <c r="J93" t="s">
        <v>77</v>
      </c>
      <c r="K93" t="s">
        <v>78</v>
      </c>
      <c r="L93" t="s">
        <v>302</v>
      </c>
      <c r="M93" t="s">
        <v>303</v>
      </c>
      <c r="N93" t="s">
        <v>425</v>
      </c>
      <c r="O93" t="s">
        <v>89</v>
      </c>
      <c r="P93" t="str">
        <f>"4170071346                    "</f>
        <v xml:space="preserve">4170071346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22.24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</v>
      </c>
      <c r="BJ93">
        <v>0.2</v>
      </c>
      <c r="BK93">
        <v>1</v>
      </c>
      <c r="BL93">
        <v>72.78</v>
      </c>
      <c r="BM93">
        <v>10.92</v>
      </c>
      <c r="BN93">
        <v>83.7</v>
      </c>
      <c r="BO93">
        <v>83.7</v>
      </c>
      <c r="BQ93" t="s">
        <v>426</v>
      </c>
      <c r="BR93" t="s">
        <v>82</v>
      </c>
      <c r="BS93" s="3">
        <v>45993</v>
      </c>
      <c r="BT93" s="4">
        <v>0.3263888888888889</v>
      </c>
      <c r="BU93" t="s">
        <v>427</v>
      </c>
      <c r="BV93" t="s">
        <v>84</v>
      </c>
      <c r="BY93">
        <v>1200</v>
      </c>
      <c r="CA93">
        <v>7712195338085</v>
      </c>
      <c r="CC93" t="s">
        <v>303</v>
      </c>
      <c r="CD93" s="5" t="s">
        <v>350</v>
      </c>
      <c r="CE93" t="s">
        <v>134</v>
      </c>
      <c r="CF93" s="3">
        <v>45993</v>
      </c>
      <c r="CI93">
        <v>1</v>
      </c>
      <c r="CJ93">
        <v>1</v>
      </c>
      <c r="CK93">
        <v>21</v>
      </c>
      <c r="CL93" t="s">
        <v>87</v>
      </c>
    </row>
    <row r="94" spans="1:90" x14ac:dyDescent="0.3">
      <c r="A94" t="s">
        <v>72</v>
      </c>
      <c r="B94" t="s">
        <v>73</v>
      </c>
      <c r="C94" t="s">
        <v>74</v>
      </c>
      <c r="E94" t="str">
        <f>"080069583882"</f>
        <v>080069583882</v>
      </c>
      <c r="F94" s="3">
        <v>45992</v>
      </c>
      <c r="G94">
        <v>202609</v>
      </c>
      <c r="H94" t="s">
        <v>75</v>
      </c>
      <c r="I94" t="s">
        <v>76</v>
      </c>
      <c r="J94" t="s">
        <v>77</v>
      </c>
      <c r="K94" t="s">
        <v>78</v>
      </c>
      <c r="L94" t="s">
        <v>202</v>
      </c>
      <c r="M94" t="s">
        <v>203</v>
      </c>
      <c r="N94" t="s">
        <v>204</v>
      </c>
      <c r="O94" t="s">
        <v>89</v>
      </c>
      <c r="P94" t="str">
        <f>"4170071250                    "</f>
        <v xml:space="preserve">4170071250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43.09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1</v>
      </c>
      <c r="BJ94">
        <v>0.2</v>
      </c>
      <c r="BK94">
        <v>1</v>
      </c>
      <c r="BL94">
        <v>141.02000000000001</v>
      </c>
      <c r="BM94">
        <v>21.15</v>
      </c>
      <c r="BN94">
        <v>162.16999999999999</v>
      </c>
      <c r="BO94">
        <v>162.16999999999999</v>
      </c>
      <c r="BQ94" t="s">
        <v>205</v>
      </c>
      <c r="BR94" t="s">
        <v>82</v>
      </c>
      <c r="BS94" s="3">
        <v>45993</v>
      </c>
      <c r="BT94" s="4">
        <v>0.49027777777777776</v>
      </c>
      <c r="BU94" t="s">
        <v>206</v>
      </c>
      <c r="BV94" t="s">
        <v>84</v>
      </c>
      <c r="BY94">
        <v>1200</v>
      </c>
      <c r="CA94" t="s">
        <v>207</v>
      </c>
      <c r="CC94" t="s">
        <v>203</v>
      </c>
      <c r="CD94">
        <v>2531</v>
      </c>
      <c r="CE94" t="s">
        <v>134</v>
      </c>
      <c r="CF94" s="3">
        <v>45994</v>
      </c>
      <c r="CI94">
        <v>1</v>
      </c>
      <c r="CJ94">
        <v>1</v>
      </c>
      <c r="CK94">
        <v>23</v>
      </c>
      <c r="CL94" t="s">
        <v>87</v>
      </c>
    </row>
    <row r="95" spans="1:90" x14ac:dyDescent="0.3">
      <c r="A95" t="s">
        <v>72</v>
      </c>
      <c r="B95" t="s">
        <v>73</v>
      </c>
      <c r="C95" t="s">
        <v>74</v>
      </c>
      <c r="E95" t="str">
        <f>"080069583917"</f>
        <v>080069583917</v>
      </c>
      <c r="F95" s="3">
        <v>45992</v>
      </c>
      <c r="G95">
        <v>202609</v>
      </c>
      <c r="H95" t="s">
        <v>75</v>
      </c>
      <c r="I95" t="s">
        <v>76</v>
      </c>
      <c r="J95" t="s">
        <v>77</v>
      </c>
      <c r="K95" t="s">
        <v>78</v>
      </c>
      <c r="L95" t="s">
        <v>302</v>
      </c>
      <c r="M95" t="s">
        <v>303</v>
      </c>
      <c r="N95" t="s">
        <v>425</v>
      </c>
      <c r="O95" t="s">
        <v>89</v>
      </c>
      <c r="P95" t="str">
        <f>"4170071245                    "</f>
        <v xml:space="preserve">4170071245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22.24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1</v>
      </c>
      <c r="BJ95">
        <v>0.2</v>
      </c>
      <c r="BK95">
        <v>1</v>
      </c>
      <c r="BL95">
        <v>72.78</v>
      </c>
      <c r="BM95">
        <v>10.92</v>
      </c>
      <c r="BN95">
        <v>83.7</v>
      </c>
      <c r="BO95">
        <v>83.7</v>
      </c>
      <c r="BQ95" t="s">
        <v>426</v>
      </c>
      <c r="BR95" t="s">
        <v>82</v>
      </c>
      <c r="BS95" s="3">
        <v>45993</v>
      </c>
      <c r="BT95" s="4">
        <v>0.32708333333333334</v>
      </c>
      <c r="BU95" t="s">
        <v>427</v>
      </c>
      <c r="BV95" t="s">
        <v>84</v>
      </c>
      <c r="BY95">
        <v>1200</v>
      </c>
      <c r="CA95">
        <v>7712195338085</v>
      </c>
      <c r="CC95" t="s">
        <v>303</v>
      </c>
      <c r="CD95" s="5" t="s">
        <v>350</v>
      </c>
      <c r="CE95" t="s">
        <v>134</v>
      </c>
      <c r="CF95" s="3">
        <v>45993</v>
      </c>
      <c r="CI95">
        <v>1</v>
      </c>
      <c r="CJ95">
        <v>1</v>
      </c>
      <c r="CK95">
        <v>21</v>
      </c>
      <c r="CL95" t="s">
        <v>87</v>
      </c>
    </row>
    <row r="96" spans="1:90" x14ac:dyDescent="0.3">
      <c r="A96" t="s">
        <v>72</v>
      </c>
      <c r="B96" t="s">
        <v>73</v>
      </c>
      <c r="C96" t="s">
        <v>74</v>
      </c>
      <c r="E96" t="str">
        <f>"080069583928"</f>
        <v>080069583928</v>
      </c>
      <c r="F96" s="3">
        <v>45992</v>
      </c>
      <c r="G96">
        <v>202609</v>
      </c>
      <c r="H96" t="s">
        <v>75</v>
      </c>
      <c r="I96" t="s">
        <v>76</v>
      </c>
      <c r="J96" t="s">
        <v>77</v>
      </c>
      <c r="K96" t="s">
        <v>78</v>
      </c>
      <c r="L96" t="s">
        <v>302</v>
      </c>
      <c r="M96" t="s">
        <v>303</v>
      </c>
      <c r="N96" t="s">
        <v>428</v>
      </c>
      <c r="O96" t="s">
        <v>80</v>
      </c>
      <c r="P96" t="str">
        <f>"4170071333                    "</f>
        <v xml:space="preserve">4170071333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103.44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2</v>
      </c>
      <c r="BI96">
        <v>40</v>
      </c>
      <c r="BJ96">
        <v>48.6</v>
      </c>
      <c r="BK96">
        <v>49</v>
      </c>
      <c r="BL96">
        <v>344.64</v>
      </c>
      <c r="BM96">
        <v>51.7</v>
      </c>
      <c r="BN96">
        <v>396.34</v>
      </c>
      <c r="BO96">
        <v>396.34</v>
      </c>
      <c r="BQ96" t="s">
        <v>429</v>
      </c>
      <c r="BR96" t="s">
        <v>82</v>
      </c>
      <c r="BS96" s="3">
        <v>45996</v>
      </c>
      <c r="BT96" s="4">
        <v>0.55902777777777779</v>
      </c>
      <c r="BU96" t="s">
        <v>430</v>
      </c>
      <c r="BV96" t="s">
        <v>87</v>
      </c>
      <c r="BW96" t="s">
        <v>174</v>
      </c>
      <c r="BX96" t="s">
        <v>431</v>
      </c>
      <c r="BY96">
        <v>242880</v>
      </c>
      <c r="CA96" t="s">
        <v>432</v>
      </c>
      <c r="CC96" t="s">
        <v>303</v>
      </c>
      <c r="CD96" s="5" t="s">
        <v>433</v>
      </c>
      <c r="CE96" t="s">
        <v>86</v>
      </c>
      <c r="CF96" s="3">
        <v>45996</v>
      </c>
      <c r="CI96">
        <v>1</v>
      </c>
      <c r="CJ96">
        <v>4</v>
      </c>
      <c r="CK96">
        <v>41</v>
      </c>
      <c r="CL96" t="s">
        <v>87</v>
      </c>
    </row>
    <row r="97" spans="1:90" x14ac:dyDescent="0.3">
      <c r="A97" t="s">
        <v>72</v>
      </c>
      <c r="B97" t="s">
        <v>73</v>
      </c>
      <c r="C97" t="s">
        <v>74</v>
      </c>
      <c r="E97" t="str">
        <f>"080069583949"</f>
        <v>080069583949</v>
      </c>
      <c r="F97" s="3">
        <v>45992</v>
      </c>
      <c r="G97">
        <v>202609</v>
      </c>
      <c r="H97" t="s">
        <v>75</v>
      </c>
      <c r="I97" t="s">
        <v>76</v>
      </c>
      <c r="J97" t="s">
        <v>77</v>
      </c>
      <c r="K97" t="s">
        <v>78</v>
      </c>
      <c r="L97" t="s">
        <v>156</v>
      </c>
      <c r="M97" t="s">
        <v>157</v>
      </c>
      <c r="N97" t="s">
        <v>261</v>
      </c>
      <c r="O97" t="s">
        <v>89</v>
      </c>
      <c r="P97" t="str">
        <f>"4170071218                    "</f>
        <v xml:space="preserve">4170071218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22.24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</v>
      </c>
      <c r="BJ97">
        <v>0.2</v>
      </c>
      <c r="BK97">
        <v>1</v>
      </c>
      <c r="BL97">
        <v>72.78</v>
      </c>
      <c r="BM97">
        <v>10.92</v>
      </c>
      <c r="BN97">
        <v>83.7</v>
      </c>
      <c r="BO97">
        <v>83.7</v>
      </c>
      <c r="BQ97" t="s">
        <v>262</v>
      </c>
      <c r="BR97" t="s">
        <v>82</v>
      </c>
      <c r="BS97" s="3">
        <v>45993</v>
      </c>
      <c r="BT97" s="4">
        <v>0.42083333333333334</v>
      </c>
      <c r="BU97" t="s">
        <v>263</v>
      </c>
      <c r="BV97" t="s">
        <v>84</v>
      </c>
      <c r="BY97">
        <v>1200</v>
      </c>
      <c r="BZ97" t="s">
        <v>125</v>
      </c>
      <c r="CA97" t="s">
        <v>264</v>
      </c>
      <c r="CC97" t="s">
        <v>157</v>
      </c>
      <c r="CD97">
        <v>7441</v>
      </c>
      <c r="CE97" t="s">
        <v>127</v>
      </c>
      <c r="CF97" s="3">
        <v>45994</v>
      </c>
      <c r="CI97">
        <v>1</v>
      </c>
      <c r="CJ97">
        <v>1</v>
      </c>
      <c r="CK97">
        <v>21</v>
      </c>
      <c r="CL97" t="s">
        <v>87</v>
      </c>
    </row>
    <row r="98" spans="1:90" x14ac:dyDescent="0.3">
      <c r="A98" t="s">
        <v>72</v>
      </c>
      <c r="B98" t="s">
        <v>73</v>
      </c>
      <c r="C98" t="s">
        <v>74</v>
      </c>
      <c r="E98" t="str">
        <f>"080069583984"</f>
        <v>080069583984</v>
      </c>
      <c r="F98" s="3">
        <v>45992</v>
      </c>
      <c r="G98">
        <v>202609</v>
      </c>
      <c r="H98" t="s">
        <v>75</v>
      </c>
      <c r="I98" t="s">
        <v>76</v>
      </c>
      <c r="J98" t="s">
        <v>77</v>
      </c>
      <c r="K98" t="s">
        <v>78</v>
      </c>
      <c r="L98" t="s">
        <v>302</v>
      </c>
      <c r="M98" t="s">
        <v>303</v>
      </c>
      <c r="N98" t="s">
        <v>425</v>
      </c>
      <c r="O98" t="s">
        <v>89</v>
      </c>
      <c r="P98" t="str">
        <f>"4170071320                    "</f>
        <v xml:space="preserve">4170071320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22.24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1</v>
      </c>
      <c r="BJ98">
        <v>0.2</v>
      </c>
      <c r="BK98">
        <v>1</v>
      </c>
      <c r="BL98">
        <v>72.78</v>
      </c>
      <c r="BM98">
        <v>10.92</v>
      </c>
      <c r="BN98">
        <v>83.7</v>
      </c>
      <c r="BO98">
        <v>83.7</v>
      </c>
      <c r="BQ98" t="s">
        <v>426</v>
      </c>
      <c r="BR98" t="s">
        <v>82</v>
      </c>
      <c r="BS98" s="3">
        <v>45993</v>
      </c>
      <c r="BT98" s="4">
        <v>0.32708333333333334</v>
      </c>
      <c r="BU98" t="s">
        <v>427</v>
      </c>
      <c r="BV98" t="s">
        <v>84</v>
      </c>
      <c r="BY98">
        <v>1200</v>
      </c>
      <c r="CA98">
        <v>7712195338085</v>
      </c>
      <c r="CC98" t="s">
        <v>303</v>
      </c>
      <c r="CD98" s="5" t="s">
        <v>350</v>
      </c>
      <c r="CE98" t="s">
        <v>134</v>
      </c>
      <c r="CF98" s="3">
        <v>45993</v>
      </c>
      <c r="CI98">
        <v>1</v>
      </c>
      <c r="CJ98">
        <v>1</v>
      </c>
      <c r="CK98">
        <v>21</v>
      </c>
      <c r="CL98" t="s">
        <v>87</v>
      </c>
    </row>
    <row r="99" spans="1:90" x14ac:dyDescent="0.3">
      <c r="A99" t="s">
        <v>72</v>
      </c>
      <c r="B99" t="s">
        <v>73</v>
      </c>
      <c r="C99" t="s">
        <v>74</v>
      </c>
      <c r="E99" t="str">
        <f>"080069584134"</f>
        <v>080069584134</v>
      </c>
      <c r="F99" s="3">
        <v>45992</v>
      </c>
      <c r="G99">
        <v>202609</v>
      </c>
      <c r="H99" t="s">
        <v>75</v>
      </c>
      <c r="I99" t="s">
        <v>76</v>
      </c>
      <c r="J99" t="s">
        <v>77</v>
      </c>
      <c r="K99" t="s">
        <v>78</v>
      </c>
      <c r="L99" t="s">
        <v>156</v>
      </c>
      <c r="M99" t="s">
        <v>157</v>
      </c>
      <c r="N99" t="s">
        <v>434</v>
      </c>
      <c r="O99" t="s">
        <v>89</v>
      </c>
      <c r="P99" t="str">
        <f>"4170071310                    "</f>
        <v xml:space="preserve">4170071310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22.24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1</v>
      </c>
      <c r="BJ99">
        <v>0.2</v>
      </c>
      <c r="BK99">
        <v>1</v>
      </c>
      <c r="BL99">
        <v>72.78</v>
      </c>
      <c r="BM99">
        <v>10.92</v>
      </c>
      <c r="BN99">
        <v>83.7</v>
      </c>
      <c r="BO99">
        <v>83.7</v>
      </c>
      <c r="BQ99" t="s">
        <v>435</v>
      </c>
      <c r="BR99" t="s">
        <v>82</v>
      </c>
      <c r="BS99" s="3">
        <v>45993</v>
      </c>
      <c r="BT99" s="4">
        <v>0.43333333333333335</v>
      </c>
      <c r="BU99" t="s">
        <v>436</v>
      </c>
      <c r="BV99" t="s">
        <v>84</v>
      </c>
      <c r="BY99">
        <v>1200</v>
      </c>
      <c r="BZ99" t="s">
        <v>125</v>
      </c>
      <c r="CC99" t="s">
        <v>157</v>
      </c>
      <c r="CD99">
        <v>7441</v>
      </c>
      <c r="CE99" t="s">
        <v>127</v>
      </c>
      <c r="CF99" s="3">
        <v>45994</v>
      </c>
      <c r="CI99">
        <v>1</v>
      </c>
      <c r="CJ99">
        <v>1</v>
      </c>
      <c r="CK99">
        <v>21</v>
      </c>
      <c r="CL99" t="s">
        <v>87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"080069584182"</f>
        <v>080069584182</v>
      </c>
      <c r="F100" s="3">
        <v>45992</v>
      </c>
      <c r="G100">
        <v>202609</v>
      </c>
      <c r="H100" t="s">
        <v>75</v>
      </c>
      <c r="I100" t="s">
        <v>76</v>
      </c>
      <c r="J100" t="s">
        <v>77</v>
      </c>
      <c r="K100" t="s">
        <v>78</v>
      </c>
      <c r="L100" t="s">
        <v>100</v>
      </c>
      <c r="M100" t="s">
        <v>101</v>
      </c>
      <c r="N100" t="s">
        <v>102</v>
      </c>
      <c r="O100" t="s">
        <v>89</v>
      </c>
      <c r="P100" t="str">
        <f>"4170071235                    "</f>
        <v xml:space="preserve">4170071235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22.24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</v>
      </c>
      <c r="BJ100">
        <v>0.2</v>
      </c>
      <c r="BK100">
        <v>1</v>
      </c>
      <c r="BL100">
        <v>72.78</v>
      </c>
      <c r="BM100">
        <v>10.92</v>
      </c>
      <c r="BN100">
        <v>83.7</v>
      </c>
      <c r="BO100">
        <v>83.7</v>
      </c>
      <c r="BQ100" t="s">
        <v>103</v>
      </c>
      <c r="BR100" t="s">
        <v>82</v>
      </c>
      <c r="BS100" s="3">
        <v>45993</v>
      </c>
      <c r="BT100" s="4">
        <v>0.36527777777777776</v>
      </c>
      <c r="BU100" t="s">
        <v>398</v>
      </c>
      <c r="BV100" t="s">
        <v>84</v>
      </c>
      <c r="BY100">
        <v>1200</v>
      </c>
      <c r="BZ100" t="s">
        <v>125</v>
      </c>
      <c r="CA100" t="s">
        <v>107</v>
      </c>
      <c r="CC100" t="s">
        <v>101</v>
      </c>
      <c r="CD100">
        <v>4051</v>
      </c>
      <c r="CE100" t="s">
        <v>127</v>
      </c>
      <c r="CF100" s="3">
        <v>45993</v>
      </c>
      <c r="CI100">
        <v>1</v>
      </c>
      <c r="CJ100">
        <v>1</v>
      </c>
      <c r="CK100">
        <v>21</v>
      </c>
      <c r="CL100" t="s">
        <v>87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"080069584229"</f>
        <v>080069584229</v>
      </c>
      <c r="F101" s="3">
        <v>45992</v>
      </c>
      <c r="G101">
        <v>202609</v>
      </c>
      <c r="H101" t="s">
        <v>75</v>
      </c>
      <c r="I101" t="s">
        <v>76</v>
      </c>
      <c r="J101" t="s">
        <v>77</v>
      </c>
      <c r="K101" t="s">
        <v>78</v>
      </c>
      <c r="L101" t="s">
        <v>437</v>
      </c>
      <c r="M101" t="s">
        <v>438</v>
      </c>
      <c r="N101" t="s">
        <v>439</v>
      </c>
      <c r="O101" t="s">
        <v>89</v>
      </c>
      <c r="P101" t="str">
        <f>"4170071227                    "</f>
        <v xml:space="preserve">4170071227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43.09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1</v>
      </c>
      <c r="BJ101">
        <v>0.2</v>
      </c>
      <c r="BK101">
        <v>1</v>
      </c>
      <c r="BL101">
        <v>141.02000000000001</v>
      </c>
      <c r="BM101">
        <v>21.15</v>
      </c>
      <c r="BN101">
        <v>162.16999999999999</v>
      </c>
      <c r="BO101">
        <v>162.16999999999999</v>
      </c>
      <c r="BQ101" t="s">
        <v>440</v>
      </c>
      <c r="BR101" t="s">
        <v>82</v>
      </c>
      <c r="BS101" s="3">
        <v>45995</v>
      </c>
      <c r="BT101" s="4">
        <v>0.73402777777777772</v>
      </c>
      <c r="BU101" t="s">
        <v>441</v>
      </c>
      <c r="BV101" t="s">
        <v>87</v>
      </c>
      <c r="BY101">
        <v>1200</v>
      </c>
      <c r="CA101" t="s">
        <v>442</v>
      </c>
      <c r="CC101" t="s">
        <v>438</v>
      </c>
      <c r="CD101">
        <v>3290</v>
      </c>
      <c r="CE101" t="s">
        <v>134</v>
      </c>
      <c r="CF101" s="3">
        <v>45996</v>
      </c>
      <c r="CI101">
        <v>1</v>
      </c>
      <c r="CJ101">
        <v>3</v>
      </c>
      <c r="CK101">
        <v>23</v>
      </c>
      <c r="CL101" t="s">
        <v>87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"080069584284"</f>
        <v>080069584284</v>
      </c>
      <c r="F102" s="3">
        <v>45992</v>
      </c>
      <c r="G102">
        <v>202609</v>
      </c>
      <c r="H102" t="s">
        <v>75</v>
      </c>
      <c r="I102" t="s">
        <v>76</v>
      </c>
      <c r="J102" t="s">
        <v>77</v>
      </c>
      <c r="K102" t="s">
        <v>78</v>
      </c>
      <c r="L102" t="s">
        <v>156</v>
      </c>
      <c r="M102" t="s">
        <v>157</v>
      </c>
      <c r="N102" t="s">
        <v>443</v>
      </c>
      <c r="O102" t="s">
        <v>89</v>
      </c>
      <c r="P102" t="str">
        <f>"4170071210                    "</f>
        <v xml:space="preserve">4170071210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22.24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</v>
      </c>
      <c r="BJ102">
        <v>0.2</v>
      </c>
      <c r="BK102">
        <v>1</v>
      </c>
      <c r="BL102">
        <v>72.78</v>
      </c>
      <c r="BM102">
        <v>10.92</v>
      </c>
      <c r="BN102">
        <v>83.7</v>
      </c>
      <c r="BO102">
        <v>83.7</v>
      </c>
      <c r="BQ102" t="s">
        <v>444</v>
      </c>
      <c r="BR102" t="s">
        <v>82</v>
      </c>
      <c r="BS102" s="3">
        <v>45993</v>
      </c>
      <c r="BT102" s="4">
        <v>0.4513888888888889</v>
      </c>
      <c r="BU102" t="s">
        <v>445</v>
      </c>
      <c r="BV102" t="s">
        <v>87</v>
      </c>
      <c r="BW102" t="s">
        <v>153</v>
      </c>
      <c r="BX102" t="s">
        <v>345</v>
      </c>
      <c r="BY102">
        <v>1200</v>
      </c>
      <c r="CA102" t="s">
        <v>346</v>
      </c>
      <c r="CC102" t="s">
        <v>157</v>
      </c>
      <c r="CD102">
        <v>7530</v>
      </c>
      <c r="CE102" t="s">
        <v>134</v>
      </c>
      <c r="CF102" s="3">
        <v>45994</v>
      </c>
      <c r="CI102">
        <v>1</v>
      </c>
      <c r="CJ102">
        <v>1</v>
      </c>
      <c r="CK102">
        <v>21</v>
      </c>
      <c r="CL102" t="s">
        <v>87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"080069584335"</f>
        <v>080069584335</v>
      </c>
      <c r="F103" s="3">
        <v>45992</v>
      </c>
      <c r="G103">
        <v>202609</v>
      </c>
      <c r="H103" t="s">
        <v>75</v>
      </c>
      <c r="I103" t="s">
        <v>76</v>
      </c>
      <c r="J103" t="s">
        <v>77</v>
      </c>
      <c r="K103" t="s">
        <v>78</v>
      </c>
      <c r="L103" t="s">
        <v>156</v>
      </c>
      <c r="M103" t="s">
        <v>157</v>
      </c>
      <c r="N103" t="s">
        <v>261</v>
      </c>
      <c r="O103" t="s">
        <v>89</v>
      </c>
      <c r="P103" t="str">
        <f>"4170071241                    "</f>
        <v xml:space="preserve">4170071241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22.24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</v>
      </c>
      <c r="BJ103">
        <v>0.2</v>
      </c>
      <c r="BK103">
        <v>1</v>
      </c>
      <c r="BL103">
        <v>72.78</v>
      </c>
      <c r="BM103">
        <v>10.92</v>
      </c>
      <c r="BN103">
        <v>83.7</v>
      </c>
      <c r="BO103">
        <v>83.7</v>
      </c>
      <c r="BQ103" t="s">
        <v>262</v>
      </c>
      <c r="BR103" t="s">
        <v>82</v>
      </c>
      <c r="BS103" s="3">
        <v>45993</v>
      </c>
      <c r="BT103" s="4">
        <v>0.42083333333333334</v>
      </c>
      <c r="BU103" t="s">
        <v>263</v>
      </c>
      <c r="BV103" t="s">
        <v>84</v>
      </c>
      <c r="BY103">
        <v>1200</v>
      </c>
      <c r="BZ103" t="s">
        <v>125</v>
      </c>
      <c r="CA103" t="s">
        <v>264</v>
      </c>
      <c r="CC103" t="s">
        <v>157</v>
      </c>
      <c r="CD103">
        <v>7441</v>
      </c>
      <c r="CE103" t="s">
        <v>127</v>
      </c>
      <c r="CF103" s="3">
        <v>45994</v>
      </c>
      <c r="CI103">
        <v>1</v>
      </c>
      <c r="CJ103">
        <v>1</v>
      </c>
      <c r="CK103">
        <v>21</v>
      </c>
      <c r="CL103" t="s">
        <v>87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"080069584396"</f>
        <v>080069584396</v>
      </c>
      <c r="F104" s="3">
        <v>45992</v>
      </c>
      <c r="G104">
        <v>202609</v>
      </c>
      <c r="H104" t="s">
        <v>75</v>
      </c>
      <c r="I104" t="s">
        <v>76</v>
      </c>
      <c r="J104" t="s">
        <v>77</v>
      </c>
      <c r="K104" t="s">
        <v>78</v>
      </c>
      <c r="L104" t="s">
        <v>156</v>
      </c>
      <c r="M104" t="s">
        <v>157</v>
      </c>
      <c r="N104" t="s">
        <v>446</v>
      </c>
      <c r="O104" t="s">
        <v>89</v>
      </c>
      <c r="P104" t="str">
        <f>"4170071246                    "</f>
        <v xml:space="preserve">4170071246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22.24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0.2</v>
      </c>
      <c r="BK104">
        <v>1</v>
      </c>
      <c r="BL104">
        <v>72.78</v>
      </c>
      <c r="BM104">
        <v>10.92</v>
      </c>
      <c r="BN104">
        <v>83.7</v>
      </c>
      <c r="BO104">
        <v>83.7</v>
      </c>
      <c r="BQ104" t="s">
        <v>447</v>
      </c>
      <c r="BR104" t="s">
        <v>82</v>
      </c>
      <c r="BS104" s="3">
        <v>45993</v>
      </c>
      <c r="BT104" s="4">
        <v>0.57847222222222228</v>
      </c>
      <c r="BU104" t="s">
        <v>448</v>
      </c>
      <c r="BV104" t="s">
        <v>87</v>
      </c>
      <c r="BW104" t="s">
        <v>153</v>
      </c>
      <c r="BX104" t="s">
        <v>161</v>
      </c>
      <c r="BY104">
        <v>1200</v>
      </c>
      <c r="CA104" t="s">
        <v>162</v>
      </c>
      <c r="CC104" t="s">
        <v>157</v>
      </c>
      <c r="CD104">
        <v>7530</v>
      </c>
      <c r="CE104" t="s">
        <v>134</v>
      </c>
      <c r="CF104" s="3">
        <v>45994</v>
      </c>
      <c r="CI104">
        <v>1</v>
      </c>
      <c r="CJ104">
        <v>1</v>
      </c>
      <c r="CK104">
        <v>21</v>
      </c>
      <c r="CL104" t="s">
        <v>87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"080069584462"</f>
        <v>080069584462</v>
      </c>
      <c r="F105" s="3">
        <v>45992</v>
      </c>
      <c r="G105">
        <v>202609</v>
      </c>
      <c r="H105" t="s">
        <v>75</v>
      </c>
      <c r="I105" t="s">
        <v>76</v>
      </c>
      <c r="J105" t="s">
        <v>77</v>
      </c>
      <c r="K105" t="s">
        <v>78</v>
      </c>
      <c r="L105" t="s">
        <v>75</v>
      </c>
      <c r="M105" t="s">
        <v>76</v>
      </c>
      <c r="N105" t="s">
        <v>195</v>
      </c>
      <c r="O105" t="s">
        <v>89</v>
      </c>
      <c r="P105" t="str">
        <f>"4170071251                    "</f>
        <v xml:space="preserve">4170071251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17.37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0.2</v>
      </c>
      <c r="BK105">
        <v>1</v>
      </c>
      <c r="BL105">
        <v>56.85</v>
      </c>
      <c r="BM105">
        <v>8.5299999999999994</v>
      </c>
      <c r="BN105">
        <v>65.38</v>
      </c>
      <c r="BO105">
        <v>65.38</v>
      </c>
      <c r="BQ105" t="s">
        <v>196</v>
      </c>
      <c r="BR105" t="s">
        <v>82</v>
      </c>
      <c r="BS105" s="3">
        <v>45993</v>
      </c>
      <c r="BT105" s="4">
        <v>0.32569444444444445</v>
      </c>
      <c r="BU105" t="s">
        <v>449</v>
      </c>
      <c r="BV105" t="s">
        <v>84</v>
      </c>
      <c r="BY105">
        <v>1200</v>
      </c>
      <c r="CA105" t="s">
        <v>92</v>
      </c>
      <c r="CC105" t="s">
        <v>76</v>
      </c>
      <c r="CD105">
        <v>1600</v>
      </c>
      <c r="CE105" t="s">
        <v>450</v>
      </c>
      <c r="CF105" s="3">
        <v>45994</v>
      </c>
      <c r="CI105">
        <v>1</v>
      </c>
      <c r="CJ105">
        <v>1</v>
      </c>
      <c r="CK105">
        <v>22</v>
      </c>
      <c r="CL105" t="s">
        <v>87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"080069584469"</f>
        <v>080069584469</v>
      </c>
      <c r="F106" s="3">
        <v>45992</v>
      </c>
      <c r="G106">
        <v>202609</v>
      </c>
      <c r="H106" t="s">
        <v>75</v>
      </c>
      <c r="I106" t="s">
        <v>76</v>
      </c>
      <c r="J106" t="s">
        <v>77</v>
      </c>
      <c r="K106" t="s">
        <v>78</v>
      </c>
      <c r="L106" t="s">
        <v>399</v>
      </c>
      <c r="M106" t="s">
        <v>400</v>
      </c>
      <c r="N106" t="s">
        <v>451</v>
      </c>
      <c r="O106" t="s">
        <v>89</v>
      </c>
      <c r="P106" t="str">
        <f>"4170071305                    "</f>
        <v xml:space="preserve">4170071305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17.37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4</v>
      </c>
      <c r="BJ106">
        <v>1.8</v>
      </c>
      <c r="BK106">
        <v>4</v>
      </c>
      <c r="BL106">
        <v>56.85</v>
      </c>
      <c r="BM106">
        <v>8.5299999999999994</v>
      </c>
      <c r="BN106">
        <v>65.38</v>
      </c>
      <c r="BO106">
        <v>65.38</v>
      </c>
      <c r="BQ106" t="s">
        <v>452</v>
      </c>
      <c r="BR106" t="s">
        <v>82</v>
      </c>
      <c r="BS106" s="3">
        <v>45993</v>
      </c>
      <c r="BT106" s="4">
        <v>0.35416666666666669</v>
      </c>
      <c r="BU106" t="s">
        <v>453</v>
      </c>
      <c r="BV106" t="s">
        <v>84</v>
      </c>
      <c r="BY106">
        <v>8775</v>
      </c>
      <c r="BZ106" t="s">
        <v>125</v>
      </c>
      <c r="CA106" t="s">
        <v>405</v>
      </c>
      <c r="CC106" t="s">
        <v>400</v>
      </c>
      <c r="CD106">
        <v>1724</v>
      </c>
      <c r="CE106" t="s">
        <v>147</v>
      </c>
      <c r="CF106" s="3">
        <v>45993</v>
      </c>
      <c r="CI106">
        <v>1</v>
      </c>
      <c r="CJ106">
        <v>1</v>
      </c>
      <c r="CK106">
        <v>22</v>
      </c>
      <c r="CL106" t="s">
        <v>87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"080069584507"</f>
        <v>080069584507</v>
      </c>
      <c r="F107" s="3">
        <v>45992</v>
      </c>
      <c r="G107">
        <v>202609</v>
      </c>
      <c r="H107" t="s">
        <v>75</v>
      </c>
      <c r="I107" t="s">
        <v>76</v>
      </c>
      <c r="J107" t="s">
        <v>77</v>
      </c>
      <c r="K107" t="s">
        <v>78</v>
      </c>
      <c r="L107" t="s">
        <v>176</v>
      </c>
      <c r="M107" t="s">
        <v>177</v>
      </c>
      <c r="N107" t="s">
        <v>454</v>
      </c>
      <c r="O107" t="s">
        <v>89</v>
      </c>
      <c r="P107" t="str">
        <f>"4170071247                    "</f>
        <v xml:space="preserve">4170071247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17.37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</v>
      </c>
      <c r="BJ107">
        <v>0.2</v>
      </c>
      <c r="BK107">
        <v>1</v>
      </c>
      <c r="BL107">
        <v>56.85</v>
      </c>
      <c r="BM107">
        <v>8.5299999999999994</v>
      </c>
      <c r="BN107">
        <v>65.38</v>
      </c>
      <c r="BO107">
        <v>65.38</v>
      </c>
      <c r="BQ107" t="s">
        <v>455</v>
      </c>
      <c r="BR107" t="s">
        <v>82</v>
      </c>
      <c r="BS107" s="3">
        <v>45993</v>
      </c>
      <c r="BT107" s="4">
        <v>0.36319444444444443</v>
      </c>
      <c r="BU107" t="s">
        <v>456</v>
      </c>
      <c r="BV107" t="s">
        <v>84</v>
      </c>
      <c r="BY107">
        <v>1200</v>
      </c>
      <c r="CA107" t="s">
        <v>457</v>
      </c>
      <c r="CC107" t="s">
        <v>177</v>
      </c>
      <c r="CD107">
        <v>2001</v>
      </c>
      <c r="CE107" t="s">
        <v>134</v>
      </c>
      <c r="CF107" s="3">
        <v>45994</v>
      </c>
      <c r="CI107">
        <v>1</v>
      </c>
      <c r="CJ107">
        <v>1</v>
      </c>
      <c r="CK107">
        <v>22</v>
      </c>
      <c r="CL107" t="s">
        <v>87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"080069584540"</f>
        <v>080069584540</v>
      </c>
      <c r="F108" s="3">
        <v>45992</v>
      </c>
      <c r="G108">
        <v>202609</v>
      </c>
      <c r="H108" t="s">
        <v>75</v>
      </c>
      <c r="I108" t="s">
        <v>76</v>
      </c>
      <c r="J108" t="s">
        <v>77</v>
      </c>
      <c r="K108" t="s">
        <v>78</v>
      </c>
      <c r="L108" t="s">
        <v>458</v>
      </c>
      <c r="M108" t="s">
        <v>459</v>
      </c>
      <c r="N108" t="s">
        <v>460</v>
      </c>
      <c r="O108" t="s">
        <v>89</v>
      </c>
      <c r="P108" t="str">
        <f>"4170071309                    "</f>
        <v xml:space="preserve">4170071309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101.46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5</v>
      </c>
      <c r="BJ108">
        <v>1.9</v>
      </c>
      <c r="BK108">
        <v>5</v>
      </c>
      <c r="BL108">
        <v>332.05</v>
      </c>
      <c r="BM108">
        <v>49.81</v>
      </c>
      <c r="BN108">
        <v>381.86</v>
      </c>
      <c r="BO108">
        <v>381.86</v>
      </c>
      <c r="BQ108" t="s">
        <v>461</v>
      </c>
      <c r="BR108" t="s">
        <v>82</v>
      </c>
      <c r="BS108" s="3">
        <v>45993</v>
      </c>
      <c r="BT108" s="4">
        <v>0.59513888888888888</v>
      </c>
      <c r="BU108" t="s">
        <v>462</v>
      </c>
      <c r="BV108" t="s">
        <v>87</v>
      </c>
      <c r="BW108" t="s">
        <v>153</v>
      </c>
      <c r="BX108" t="s">
        <v>345</v>
      </c>
      <c r="BY108">
        <v>9576</v>
      </c>
      <c r="CA108" t="s">
        <v>463</v>
      </c>
      <c r="CC108" t="s">
        <v>459</v>
      </c>
      <c r="CD108">
        <v>7130</v>
      </c>
      <c r="CE108" t="s">
        <v>86</v>
      </c>
      <c r="CF108" s="3">
        <v>45994</v>
      </c>
      <c r="CI108">
        <v>1</v>
      </c>
      <c r="CJ108">
        <v>1</v>
      </c>
      <c r="CK108">
        <v>23</v>
      </c>
      <c r="CL108" t="s">
        <v>87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"080069584536"</f>
        <v>080069584536</v>
      </c>
      <c r="F109" s="3">
        <v>45992</v>
      </c>
      <c r="G109">
        <v>202609</v>
      </c>
      <c r="H109" t="s">
        <v>75</v>
      </c>
      <c r="I109" t="s">
        <v>76</v>
      </c>
      <c r="J109" t="s">
        <v>77</v>
      </c>
      <c r="K109" t="s">
        <v>78</v>
      </c>
      <c r="L109" t="s">
        <v>189</v>
      </c>
      <c r="M109" t="s">
        <v>190</v>
      </c>
      <c r="N109" t="s">
        <v>191</v>
      </c>
      <c r="O109" t="s">
        <v>80</v>
      </c>
      <c r="P109" t="str">
        <f>"4170071308                    "</f>
        <v xml:space="preserve">4170071308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48.34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8</v>
      </c>
      <c r="BJ109">
        <v>17.7</v>
      </c>
      <c r="BK109">
        <v>18</v>
      </c>
      <c r="BL109">
        <v>164.3</v>
      </c>
      <c r="BM109">
        <v>24.65</v>
      </c>
      <c r="BN109">
        <v>188.95</v>
      </c>
      <c r="BO109">
        <v>188.95</v>
      </c>
      <c r="BQ109" t="s">
        <v>192</v>
      </c>
      <c r="BR109" t="s">
        <v>82</v>
      </c>
      <c r="BS109" s="3">
        <v>45994</v>
      </c>
      <c r="BT109" s="4">
        <v>0.41805555555555557</v>
      </c>
      <c r="BU109" t="s">
        <v>464</v>
      </c>
      <c r="BV109" t="s">
        <v>84</v>
      </c>
      <c r="BY109">
        <v>88320</v>
      </c>
      <c r="CA109" t="s">
        <v>194</v>
      </c>
      <c r="CC109" t="s">
        <v>190</v>
      </c>
      <c r="CD109">
        <v>3201</v>
      </c>
      <c r="CE109" t="s">
        <v>86</v>
      </c>
      <c r="CF109" s="3">
        <v>45995</v>
      </c>
      <c r="CI109">
        <v>2</v>
      </c>
      <c r="CJ109">
        <v>2</v>
      </c>
      <c r="CK109">
        <v>41</v>
      </c>
      <c r="CL109" t="s">
        <v>87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"080069584592"</f>
        <v>080069584592</v>
      </c>
      <c r="F110" s="3">
        <v>45992</v>
      </c>
      <c r="G110">
        <v>202609</v>
      </c>
      <c r="H110" t="s">
        <v>75</v>
      </c>
      <c r="I110" t="s">
        <v>76</v>
      </c>
      <c r="J110" t="s">
        <v>77</v>
      </c>
      <c r="K110" t="s">
        <v>78</v>
      </c>
      <c r="L110" t="s">
        <v>465</v>
      </c>
      <c r="M110" t="s">
        <v>466</v>
      </c>
      <c r="N110" t="s">
        <v>467</v>
      </c>
      <c r="O110" t="s">
        <v>340</v>
      </c>
      <c r="P110" t="str">
        <f>"4170071323                    "</f>
        <v xml:space="preserve">4170071323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17.38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2</v>
      </c>
      <c r="BJ110">
        <v>6.8</v>
      </c>
      <c r="BK110">
        <v>7</v>
      </c>
      <c r="BL110">
        <v>56.87</v>
      </c>
      <c r="BM110">
        <v>8.5299999999999994</v>
      </c>
      <c r="BN110">
        <v>65.400000000000006</v>
      </c>
      <c r="BO110">
        <v>65.400000000000006</v>
      </c>
      <c r="BQ110" t="s">
        <v>468</v>
      </c>
      <c r="BR110" t="s">
        <v>82</v>
      </c>
      <c r="BS110" s="3">
        <v>45993</v>
      </c>
      <c r="BT110" s="4">
        <v>0.4375</v>
      </c>
      <c r="BU110" t="s">
        <v>469</v>
      </c>
      <c r="BV110" t="s">
        <v>84</v>
      </c>
      <c r="BY110">
        <v>34125</v>
      </c>
      <c r="CC110" t="s">
        <v>466</v>
      </c>
      <c r="CD110">
        <v>1401</v>
      </c>
      <c r="CE110" t="s">
        <v>93</v>
      </c>
      <c r="CF110" s="3">
        <v>45994</v>
      </c>
      <c r="CI110">
        <v>1</v>
      </c>
      <c r="CJ110">
        <v>1</v>
      </c>
      <c r="CK110">
        <v>32</v>
      </c>
      <c r="CL110" t="s">
        <v>87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"080069584591"</f>
        <v>080069584591</v>
      </c>
      <c r="F111" s="3">
        <v>45992</v>
      </c>
      <c r="G111">
        <v>202609</v>
      </c>
      <c r="H111" t="s">
        <v>75</v>
      </c>
      <c r="I111" t="s">
        <v>76</v>
      </c>
      <c r="J111" t="s">
        <v>77</v>
      </c>
      <c r="K111" t="s">
        <v>78</v>
      </c>
      <c r="L111" t="s">
        <v>141</v>
      </c>
      <c r="M111" t="s">
        <v>142</v>
      </c>
      <c r="N111" t="s">
        <v>214</v>
      </c>
      <c r="O111" t="s">
        <v>89</v>
      </c>
      <c r="P111" t="str">
        <f>"4170071231                    "</f>
        <v xml:space="preserve">4170071231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22.24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1.1000000000000001</v>
      </c>
      <c r="BK111">
        <v>1.5</v>
      </c>
      <c r="BL111">
        <v>72.78</v>
      </c>
      <c r="BM111">
        <v>10.92</v>
      </c>
      <c r="BN111">
        <v>83.7</v>
      </c>
      <c r="BO111">
        <v>83.7</v>
      </c>
      <c r="BQ111" t="s">
        <v>215</v>
      </c>
      <c r="BR111" t="s">
        <v>82</v>
      </c>
      <c r="BS111" s="3">
        <v>45993</v>
      </c>
      <c r="BT111" s="4">
        <v>0.3923611111111111</v>
      </c>
      <c r="BU111" t="s">
        <v>216</v>
      </c>
      <c r="BV111" t="s">
        <v>84</v>
      </c>
      <c r="BY111">
        <v>5320</v>
      </c>
      <c r="BZ111" t="s">
        <v>125</v>
      </c>
      <c r="CA111" t="s">
        <v>217</v>
      </c>
      <c r="CC111" t="s">
        <v>142</v>
      </c>
      <c r="CD111">
        <v>6001</v>
      </c>
      <c r="CE111" t="s">
        <v>147</v>
      </c>
      <c r="CF111" s="3">
        <v>45993</v>
      </c>
      <c r="CI111">
        <v>1</v>
      </c>
      <c r="CJ111">
        <v>1</v>
      </c>
      <c r="CK111">
        <v>21</v>
      </c>
      <c r="CL111" t="s">
        <v>87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"080069584657"</f>
        <v>080069584657</v>
      </c>
      <c r="F112" s="3">
        <v>45992</v>
      </c>
      <c r="G112">
        <v>202609</v>
      </c>
      <c r="H112" t="s">
        <v>75</v>
      </c>
      <c r="I112" t="s">
        <v>76</v>
      </c>
      <c r="J112" t="s">
        <v>77</v>
      </c>
      <c r="K112" t="s">
        <v>78</v>
      </c>
      <c r="L112" t="s">
        <v>156</v>
      </c>
      <c r="M112" t="s">
        <v>157</v>
      </c>
      <c r="N112" t="s">
        <v>470</v>
      </c>
      <c r="O112" t="s">
        <v>89</v>
      </c>
      <c r="P112" t="str">
        <f>"4170071328                    "</f>
        <v xml:space="preserve">4170071328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22.24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2</v>
      </c>
      <c r="BJ112">
        <v>1.1000000000000001</v>
      </c>
      <c r="BK112">
        <v>2</v>
      </c>
      <c r="BL112">
        <v>72.78</v>
      </c>
      <c r="BM112">
        <v>10.92</v>
      </c>
      <c r="BN112">
        <v>83.7</v>
      </c>
      <c r="BO112">
        <v>83.7</v>
      </c>
      <c r="BQ112" t="s">
        <v>471</v>
      </c>
      <c r="BR112" t="s">
        <v>82</v>
      </c>
      <c r="BS112" s="3">
        <v>45993</v>
      </c>
      <c r="BT112" s="4">
        <v>0.4375</v>
      </c>
      <c r="BU112" t="s">
        <v>472</v>
      </c>
      <c r="BV112" t="s">
        <v>84</v>
      </c>
      <c r="BY112">
        <v>5320</v>
      </c>
      <c r="CA112" t="s">
        <v>473</v>
      </c>
      <c r="CC112" t="s">
        <v>157</v>
      </c>
      <c r="CD112">
        <v>7480</v>
      </c>
      <c r="CE112" t="s">
        <v>86</v>
      </c>
      <c r="CF112" s="3">
        <v>45994</v>
      </c>
      <c r="CI112">
        <v>1</v>
      </c>
      <c r="CJ112">
        <v>1</v>
      </c>
      <c r="CK112">
        <v>21</v>
      </c>
      <c r="CL112" t="s">
        <v>87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"080069584697"</f>
        <v>080069584697</v>
      </c>
      <c r="F113" s="3">
        <v>45992</v>
      </c>
      <c r="G113">
        <v>202609</v>
      </c>
      <c r="H113" t="s">
        <v>75</v>
      </c>
      <c r="I113" t="s">
        <v>76</v>
      </c>
      <c r="J113" t="s">
        <v>77</v>
      </c>
      <c r="K113" t="s">
        <v>78</v>
      </c>
      <c r="L113" t="s">
        <v>265</v>
      </c>
      <c r="M113" t="s">
        <v>266</v>
      </c>
      <c r="N113" t="s">
        <v>474</v>
      </c>
      <c r="O113" t="s">
        <v>89</v>
      </c>
      <c r="P113" t="str">
        <f>"4170071322                    "</f>
        <v xml:space="preserve">4170071322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17.37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2</v>
      </c>
      <c r="BJ113">
        <v>4.0999999999999996</v>
      </c>
      <c r="BK113">
        <v>5</v>
      </c>
      <c r="BL113">
        <v>56.85</v>
      </c>
      <c r="BM113">
        <v>8.5299999999999994</v>
      </c>
      <c r="BN113">
        <v>65.38</v>
      </c>
      <c r="BO113">
        <v>65.38</v>
      </c>
      <c r="BQ113" t="s">
        <v>475</v>
      </c>
      <c r="BR113" t="s">
        <v>82</v>
      </c>
      <c r="BS113" s="3">
        <v>45993</v>
      </c>
      <c r="BT113" s="4">
        <v>0.34930555555555554</v>
      </c>
      <c r="BU113" t="s">
        <v>476</v>
      </c>
      <c r="BV113" t="s">
        <v>84</v>
      </c>
      <c r="BY113">
        <v>20358</v>
      </c>
      <c r="CA113" t="s">
        <v>417</v>
      </c>
      <c r="CC113" t="s">
        <v>266</v>
      </c>
      <c r="CD113">
        <v>1459</v>
      </c>
      <c r="CE113" t="s">
        <v>86</v>
      </c>
      <c r="CF113" s="3">
        <v>45994</v>
      </c>
      <c r="CI113">
        <v>1</v>
      </c>
      <c r="CJ113">
        <v>1</v>
      </c>
      <c r="CK113">
        <v>22</v>
      </c>
      <c r="CL113" t="s">
        <v>87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"080069585020"</f>
        <v>080069585020</v>
      </c>
      <c r="F114" s="3">
        <v>45992</v>
      </c>
      <c r="G114">
        <v>202609</v>
      </c>
      <c r="H114" t="s">
        <v>75</v>
      </c>
      <c r="I114" t="s">
        <v>76</v>
      </c>
      <c r="J114" t="s">
        <v>77</v>
      </c>
      <c r="K114" t="s">
        <v>78</v>
      </c>
      <c r="L114" t="s">
        <v>295</v>
      </c>
      <c r="M114" t="s">
        <v>296</v>
      </c>
      <c r="N114" t="s">
        <v>477</v>
      </c>
      <c r="O114" t="s">
        <v>80</v>
      </c>
      <c r="P114" t="str">
        <f>"4170071344                    "</f>
        <v xml:space="preserve">4170071344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38.020000000000003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20</v>
      </c>
      <c r="BJ114">
        <v>9.4</v>
      </c>
      <c r="BK114">
        <v>20</v>
      </c>
      <c r="BL114">
        <v>130.54</v>
      </c>
      <c r="BM114">
        <v>19.579999999999998</v>
      </c>
      <c r="BN114">
        <v>150.12</v>
      </c>
      <c r="BO114">
        <v>150.12</v>
      </c>
      <c r="BQ114" t="s">
        <v>478</v>
      </c>
      <c r="BR114" t="s">
        <v>82</v>
      </c>
      <c r="BS114" s="3">
        <v>45993</v>
      </c>
      <c r="BT114" s="4">
        <v>0.35347222222222224</v>
      </c>
      <c r="BU114" t="s">
        <v>479</v>
      </c>
      <c r="BV114" t="s">
        <v>84</v>
      </c>
      <c r="BY114">
        <v>46800</v>
      </c>
      <c r="CA114" t="s">
        <v>301</v>
      </c>
      <c r="CC114" t="s">
        <v>296</v>
      </c>
      <c r="CD114">
        <v>1501</v>
      </c>
      <c r="CE114" t="s">
        <v>86</v>
      </c>
      <c r="CF114" s="3">
        <v>45994</v>
      </c>
      <c r="CI114">
        <v>1</v>
      </c>
      <c r="CJ114">
        <v>1</v>
      </c>
      <c r="CK114">
        <v>42</v>
      </c>
      <c r="CL114" t="s">
        <v>87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"080069585085"</f>
        <v>080069585085</v>
      </c>
      <c r="F115" s="3">
        <v>45992</v>
      </c>
      <c r="G115">
        <v>202609</v>
      </c>
      <c r="H115" t="s">
        <v>75</v>
      </c>
      <c r="I115" t="s">
        <v>76</v>
      </c>
      <c r="J115" t="s">
        <v>77</v>
      </c>
      <c r="K115" t="s">
        <v>78</v>
      </c>
      <c r="L115" t="s">
        <v>156</v>
      </c>
      <c r="M115" t="s">
        <v>157</v>
      </c>
      <c r="N115" t="s">
        <v>261</v>
      </c>
      <c r="O115" t="s">
        <v>89</v>
      </c>
      <c r="P115" t="str">
        <f>"4170071342                    "</f>
        <v xml:space="preserve">4170071342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188.95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17</v>
      </c>
      <c r="BJ115">
        <v>9.4</v>
      </c>
      <c r="BK115">
        <v>17</v>
      </c>
      <c r="BL115">
        <v>618.39</v>
      </c>
      <c r="BM115">
        <v>92.76</v>
      </c>
      <c r="BN115">
        <v>711.15</v>
      </c>
      <c r="BO115">
        <v>711.15</v>
      </c>
      <c r="BQ115" t="s">
        <v>262</v>
      </c>
      <c r="BR115" t="s">
        <v>82</v>
      </c>
      <c r="BS115" s="3">
        <v>45993</v>
      </c>
      <c r="BT115" s="4">
        <v>0.42083333333333334</v>
      </c>
      <c r="BU115" t="s">
        <v>263</v>
      </c>
      <c r="BV115" t="s">
        <v>84</v>
      </c>
      <c r="BY115">
        <v>46800</v>
      </c>
      <c r="BZ115" t="s">
        <v>125</v>
      </c>
      <c r="CA115" t="s">
        <v>264</v>
      </c>
      <c r="CC115" t="s">
        <v>157</v>
      </c>
      <c r="CD115">
        <v>7441</v>
      </c>
      <c r="CE115" t="s">
        <v>147</v>
      </c>
      <c r="CF115" s="3">
        <v>45994</v>
      </c>
      <c r="CI115">
        <v>1</v>
      </c>
      <c r="CJ115">
        <v>1</v>
      </c>
      <c r="CK115">
        <v>21</v>
      </c>
      <c r="CL115" t="s">
        <v>87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"080069585170"</f>
        <v>080069585170</v>
      </c>
      <c r="F116" s="3">
        <v>45992</v>
      </c>
      <c r="G116">
        <v>202609</v>
      </c>
      <c r="H116" t="s">
        <v>75</v>
      </c>
      <c r="I116" t="s">
        <v>76</v>
      </c>
      <c r="J116" t="s">
        <v>77</v>
      </c>
      <c r="K116" t="s">
        <v>78</v>
      </c>
      <c r="L116" t="s">
        <v>100</v>
      </c>
      <c r="M116" t="s">
        <v>101</v>
      </c>
      <c r="N116" t="s">
        <v>199</v>
      </c>
      <c r="O116" t="s">
        <v>89</v>
      </c>
      <c r="P116" t="str">
        <f>"4170071341                    "</f>
        <v xml:space="preserve">4170071341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133.38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12</v>
      </c>
      <c r="BJ116">
        <v>9.4</v>
      </c>
      <c r="BK116">
        <v>12</v>
      </c>
      <c r="BL116">
        <v>436.52</v>
      </c>
      <c r="BM116">
        <v>65.48</v>
      </c>
      <c r="BN116">
        <v>502</v>
      </c>
      <c r="BO116">
        <v>502</v>
      </c>
      <c r="BQ116" t="s">
        <v>200</v>
      </c>
      <c r="BR116" t="s">
        <v>82</v>
      </c>
      <c r="BS116" s="3">
        <v>45993</v>
      </c>
      <c r="BT116" s="4">
        <v>0.77847222222222223</v>
      </c>
      <c r="BU116" t="s">
        <v>480</v>
      </c>
      <c r="BV116" t="s">
        <v>87</v>
      </c>
      <c r="BW116" t="s">
        <v>246</v>
      </c>
      <c r="BX116" t="s">
        <v>294</v>
      </c>
      <c r="BY116">
        <v>46800</v>
      </c>
      <c r="CA116" t="s">
        <v>481</v>
      </c>
      <c r="CC116" t="s">
        <v>101</v>
      </c>
      <c r="CD116">
        <v>4001</v>
      </c>
      <c r="CE116" t="s">
        <v>86</v>
      </c>
      <c r="CF116" s="3">
        <v>45994</v>
      </c>
      <c r="CI116">
        <v>1</v>
      </c>
      <c r="CJ116">
        <v>1</v>
      </c>
      <c r="CK116">
        <v>21</v>
      </c>
      <c r="CL116" t="s">
        <v>87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"080069585394"</f>
        <v>080069585394</v>
      </c>
      <c r="F117" s="3">
        <v>45992</v>
      </c>
      <c r="G117">
        <v>202609</v>
      </c>
      <c r="H117" t="s">
        <v>75</v>
      </c>
      <c r="I117" t="s">
        <v>76</v>
      </c>
      <c r="J117" t="s">
        <v>77</v>
      </c>
      <c r="K117" t="s">
        <v>78</v>
      </c>
      <c r="L117" t="s">
        <v>482</v>
      </c>
      <c r="M117" t="s">
        <v>483</v>
      </c>
      <c r="N117" t="s">
        <v>484</v>
      </c>
      <c r="O117" t="s">
        <v>89</v>
      </c>
      <c r="P117" t="str">
        <f>"4170071331                    "</f>
        <v xml:space="preserve">4170071331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43.09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1</v>
      </c>
      <c r="BJ117">
        <v>0.2</v>
      </c>
      <c r="BK117">
        <v>1</v>
      </c>
      <c r="BL117">
        <v>141.02000000000001</v>
      </c>
      <c r="BM117">
        <v>21.15</v>
      </c>
      <c r="BN117">
        <v>162.16999999999999</v>
      </c>
      <c r="BO117">
        <v>162.16999999999999</v>
      </c>
      <c r="BQ117" t="s">
        <v>485</v>
      </c>
      <c r="BR117" t="s">
        <v>82</v>
      </c>
      <c r="BS117" s="3">
        <v>45993</v>
      </c>
      <c r="BT117" s="4">
        <v>0.42222222222222222</v>
      </c>
      <c r="BU117" t="s">
        <v>176</v>
      </c>
      <c r="BV117" t="s">
        <v>84</v>
      </c>
      <c r="BY117">
        <v>1200</v>
      </c>
      <c r="CA117">
        <v>7711215278081</v>
      </c>
      <c r="CC117" t="s">
        <v>483</v>
      </c>
      <c r="CD117">
        <v>1873</v>
      </c>
      <c r="CE117" t="s">
        <v>134</v>
      </c>
      <c r="CF117" s="3">
        <v>45994</v>
      </c>
      <c r="CI117">
        <v>1</v>
      </c>
      <c r="CJ117">
        <v>1</v>
      </c>
      <c r="CK117">
        <v>23</v>
      </c>
      <c r="CL117" t="s">
        <v>87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"080069585429"</f>
        <v>080069585429</v>
      </c>
      <c r="F118" s="3">
        <v>45992</v>
      </c>
      <c r="G118">
        <v>202609</v>
      </c>
      <c r="H118" t="s">
        <v>75</v>
      </c>
      <c r="I118" t="s">
        <v>76</v>
      </c>
      <c r="J118" t="s">
        <v>77</v>
      </c>
      <c r="K118" t="s">
        <v>78</v>
      </c>
      <c r="L118" t="s">
        <v>141</v>
      </c>
      <c r="M118" t="s">
        <v>142</v>
      </c>
      <c r="N118" t="s">
        <v>486</v>
      </c>
      <c r="O118" t="s">
        <v>89</v>
      </c>
      <c r="P118" t="str">
        <f>"4170071330                    "</f>
        <v xml:space="preserve">4170071330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22.24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</v>
      </c>
      <c r="BJ118">
        <v>0.2</v>
      </c>
      <c r="BK118">
        <v>1</v>
      </c>
      <c r="BL118">
        <v>72.78</v>
      </c>
      <c r="BM118">
        <v>10.92</v>
      </c>
      <c r="BN118">
        <v>83.7</v>
      </c>
      <c r="BO118">
        <v>83.7</v>
      </c>
      <c r="BQ118" t="s">
        <v>487</v>
      </c>
      <c r="BR118" t="s">
        <v>82</v>
      </c>
      <c r="BS118" s="3">
        <v>45993</v>
      </c>
      <c r="BT118" s="4">
        <v>0.40486111111111112</v>
      </c>
      <c r="BU118" t="s">
        <v>488</v>
      </c>
      <c r="BV118" t="s">
        <v>84</v>
      </c>
      <c r="BY118">
        <v>1200</v>
      </c>
      <c r="BZ118" t="s">
        <v>125</v>
      </c>
      <c r="CA118" t="s">
        <v>489</v>
      </c>
      <c r="CC118" t="s">
        <v>142</v>
      </c>
      <c r="CD118">
        <v>6012</v>
      </c>
      <c r="CE118" t="s">
        <v>127</v>
      </c>
      <c r="CF118" s="3">
        <v>45993</v>
      </c>
      <c r="CI118">
        <v>1</v>
      </c>
      <c r="CJ118">
        <v>1</v>
      </c>
      <c r="CK118">
        <v>21</v>
      </c>
      <c r="CL118" t="s">
        <v>87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"080069585460"</f>
        <v>080069585460</v>
      </c>
      <c r="F119" s="3">
        <v>45992</v>
      </c>
      <c r="G119">
        <v>202609</v>
      </c>
      <c r="H119" t="s">
        <v>75</v>
      </c>
      <c r="I119" t="s">
        <v>76</v>
      </c>
      <c r="J119" t="s">
        <v>77</v>
      </c>
      <c r="K119" t="s">
        <v>78</v>
      </c>
      <c r="L119" t="s">
        <v>176</v>
      </c>
      <c r="M119" t="s">
        <v>177</v>
      </c>
      <c r="N119" t="s">
        <v>490</v>
      </c>
      <c r="O119" t="s">
        <v>89</v>
      </c>
      <c r="P119" t="str">
        <f>"4170071324                    "</f>
        <v xml:space="preserve">4170071324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17.37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1</v>
      </c>
      <c r="BJ119">
        <v>0.2</v>
      </c>
      <c r="BK119">
        <v>1</v>
      </c>
      <c r="BL119">
        <v>56.85</v>
      </c>
      <c r="BM119">
        <v>8.5299999999999994</v>
      </c>
      <c r="BN119">
        <v>65.38</v>
      </c>
      <c r="BO119">
        <v>65.38</v>
      </c>
      <c r="BQ119" t="s">
        <v>491</v>
      </c>
      <c r="BR119" t="s">
        <v>82</v>
      </c>
      <c r="BS119" s="3">
        <v>45993</v>
      </c>
      <c r="BT119" s="4">
        <v>0.40277777777777779</v>
      </c>
      <c r="BU119" t="s">
        <v>492</v>
      </c>
      <c r="BV119" t="s">
        <v>84</v>
      </c>
      <c r="BY119">
        <v>1200</v>
      </c>
      <c r="CA119" t="s">
        <v>493</v>
      </c>
      <c r="CC119" t="s">
        <v>177</v>
      </c>
      <c r="CD119">
        <v>2169</v>
      </c>
      <c r="CE119" t="s">
        <v>134</v>
      </c>
      <c r="CF119" s="3">
        <v>45994</v>
      </c>
      <c r="CI119">
        <v>1</v>
      </c>
      <c r="CJ119">
        <v>1</v>
      </c>
      <c r="CK119">
        <v>22</v>
      </c>
      <c r="CL119" t="s">
        <v>87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"080069585499"</f>
        <v>080069585499</v>
      </c>
      <c r="F120" s="3">
        <v>45992</v>
      </c>
      <c r="G120">
        <v>202609</v>
      </c>
      <c r="H120" t="s">
        <v>75</v>
      </c>
      <c r="I120" t="s">
        <v>76</v>
      </c>
      <c r="J120" t="s">
        <v>77</v>
      </c>
      <c r="K120" t="s">
        <v>78</v>
      </c>
      <c r="L120" t="s">
        <v>75</v>
      </c>
      <c r="M120" t="s">
        <v>76</v>
      </c>
      <c r="N120" t="s">
        <v>494</v>
      </c>
      <c r="O120" t="s">
        <v>89</v>
      </c>
      <c r="P120" t="str">
        <f>"4170071336                    "</f>
        <v xml:space="preserve">4170071336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17.37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</v>
      </c>
      <c r="BJ120">
        <v>0.2</v>
      </c>
      <c r="BK120">
        <v>1</v>
      </c>
      <c r="BL120">
        <v>56.85</v>
      </c>
      <c r="BM120">
        <v>8.5299999999999994</v>
      </c>
      <c r="BN120">
        <v>65.38</v>
      </c>
      <c r="BO120">
        <v>65.38</v>
      </c>
      <c r="BQ120" t="s">
        <v>495</v>
      </c>
      <c r="BR120" t="s">
        <v>82</v>
      </c>
      <c r="BS120" s="3">
        <v>45993</v>
      </c>
      <c r="BT120" s="4">
        <v>0.40555555555555556</v>
      </c>
      <c r="BU120" t="s">
        <v>496</v>
      </c>
      <c r="BV120" t="s">
        <v>84</v>
      </c>
      <c r="BY120">
        <v>1200</v>
      </c>
      <c r="CA120" t="s">
        <v>497</v>
      </c>
      <c r="CC120" t="s">
        <v>76</v>
      </c>
      <c r="CD120">
        <v>1614</v>
      </c>
      <c r="CE120" t="s">
        <v>134</v>
      </c>
      <c r="CF120" s="3">
        <v>45994</v>
      </c>
      <c r="CI120">
        <v>1</v>
      </c>
      <c r="CJ120">
        <v>1</v>
      </c>
      <c r="CK120">
        <v>22</v>
      </c>
      <c r="CL120" t="s">
        <v>87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"080069585538"</f>
        <v>080069585538</v>
      </c>
      <c r="F121" s="3">
        <v>45992</v>
      </c>
      <c r="G121">
        <v>202609</v>
      </c>
      <c r="H121" t="s">
        <v>75</v>
      </c>
      <c r="I121" t="s">
        <v>76</v>
      </c>
      <c r="J121" t="s">
        <v>77</v>
      </c>
      <c r="K121" t="s">
        <v>78</v>
      </c>
      <c r="L121" t="s">
        <v>100</v>
      </c>
      <c r="M121" t="s">
        <v>101</v>
      </c>
      <c r="N121" t="s">
        <v>498</v>
      </c>
      <c r="O121" t="s">
        <v>89</v>
      </c>
      <c r="P121" t="str">
        <f>"4170071334                    "</f>
        <v xml:space="preserve">4170071334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22.24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2</v>
      </c>
      <c r="BJ121">
        <v>1.8</v>
      </c>
      <c r="BK121">
        <v>2</v>
      </c>
      <c r="BL121">
        <v>72.78</v>
      </c>
      <c r="BM121">
        <v>10.92</v>
      </c>
      <c r="BN121">
        <v>83.7</v>
      </c>
      <c r="BO121">
        <v>83.7</v>
      </c>
      <c r="BQ121" t="s">
        <v>499</v>
      </c>
      <c r="BR121" t="s">
        <v>82</v>
      </c>
      <c r="BS121" t="s">
        <v>500</v>
      </c>
      <c r="BY121">
        <v>9216</v>
      </c>
      <c r="CC121" t="s">
        <v>101</v>
      </c>
      <c r="CD121">
        <v>4052</v>
      </c>
      <c r="CE121" t="s">
        <v>93</v>
      </c>
      <c r="CI121">
        <v>1</v>
      </c>
      <c r="CJ121" t="s">
        <v>500</v>
      </c>
      <c r="CK121">
        <v>21</v>
      </c>
      <c r="CL121" t="s">
        <v>87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"080069585586"</f>
        <v>080069585586</v>
      </c>
      <c r="F122" s="3">
        <v>45992</v>
      </c>
      <c r="G122">
        <v>202609</v>
      </c>
      <c r="H122" t="s">
        <v>75</v>
      </c>
      <c r="I122" t="s">
        <v>76</v>
      </c>
      <c r="J122" t="s">
        <v>77</v>
      </c>
      <c r="K122" t="s">
        <v>78</v>
      </c>
      <c r="L122" t="s">
        <v>283</v>
      </c>
      <c r="M122" t="s">
        <v>284</v>
      </c>
      <c r="N122" t="s">
        <v>285</v>
      </c>
      <c r="O122" t="s">
        <v>89</v>
      </c>
      <c r="P122" t="str">
        <f>"4170071228                    "</f>
        <v xml:space="preserve">4170071228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43.09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2</v>
      </c>
      <c r="BJ122">
        <v>1.4</v>
      </c>
      <c r="BK122">
        <v>2</v>
      </c>
      <c r="BL122">
        <v>141.02000000000001</v>
      </c>
      <c r="BM122">
        <v>21.15</v>
      </c>
      <c r="BN122">
        <v>162.16999999999999</v>
      </c>
      <c r="BO122">
        <v>162.16999999999999</v>
      </c>
      <c r="BQ122" t="s">
        <v>286</v>
      </c>
      <c r="BR122" t="s">
        <v>82</v>
      </c>
      <c r="BS122" s="3">
        <v>45993</v>
      </c>
      <c r="BT122" s="4">
        <v>0.34861111111111109</v>
      </c>
      <c r="BU122" t="s">
        <v>501</v>
      </c>
      <c r="BV122" t="s">
        <v>84</v>
      </c>
      <c r="BY122">
        <v>7000</v>
      </c>
      <c r="BZ122" t="s">
        <v>125</v>
      </c>
      <c r="CA122">
        <v>6805135560080</v>
      </c>
      <c r="CC122" t="s">
        <v>284</v>
      </c>
      <c r="CD122">
        <v>1947</v>
      </c>
      <c r="CE122" t="s">
        <v>147</v>
      </c>
      <c r="CF122" s="3">
        <v>45993</v>
      </c>
      <c r="CI122">
        <v>1</v>
      </c>
      <c r="CJ122">
        <v>1</v>
      </c>
      <c r="CK122">
        <v>23</v>
      </c>
      <c r="CL122" t="s">
        <v>87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"080069585637"</f>
        <v>080069585637</v>
      </c>
      <c r="F123" s="3">
        <v>45992</v>
      </c>
      <c r="G123">
        <v>202609</v>
      </c>
      <c r="H123" t="s">
        <v>75</v>
      </c>
      <c r="I123" t="s">
        <v>76</v>
      </c>
      <c r="J123" t="s">
        <v>77</v>
      </c>
      <c r="K123" t="s">
        <v>78</v>
      </c>
      <c r="L123" t="s">
        <v>502</v>
      </c>
      <c r="M123" t="s">
        <v>503</v>
      </c>
      <c r="N123" t="s">
        <v>504</v>
      </c>
      <c r="O123" t="s">
        <v>89</v>
      </c>
      <c r="P123" t="str">
        <f>"4170071240                    "</f>
        <v xml:space="preserve">4170071240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17.37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1</v>
      </c>
      <c r="BJ123">
        <v>1.1000000000000001</v>
      </c>
      <c r="BK123">
        <v>2</v>
      </c>
      <c r="BL123">
        <v>56.85</v>
      </c>
      <c r="BM123">
        <v>8.5299999999999994</v>
      </c>
      <c r="BN123">
        <v>65.38</v>
      </c>
      <c r="BO123">
        <v>65.38</v>
      </c>
      <c r="BQ123" t="s">
        <v>505</v>
      </c>
      <c r="BR123" t="s">
        <v>82</v>
      </c>
      <c r="BS123" s="3">
        <v>45993</v>
      </c>
      <c r="BT123" s="4">
        <v>0.36388888888888887</v>
      </c>
      <c r="BU123" t="s">
        <v>506</v>
      </c>
      <c r="BV123" t="s">
        <v>84</v>
      </c>
      <c r="BY123">
        <v>5510</v>
      </c>
      <c r="CA123" t="s">
        <v>507</v>
      </c>
      <c r="CC123" t="s">
        <v>503</v>
      </c>
      <c r="CD123">
        <v>1559</v>
      </c>
      <c r="CE123" t="s">
        <v>86</v>
      </c>
      <c r="CF123" s="3">
        <v>45993</v>
      </c>
      <c r="CI123">
        <v>1</v>
      </c>
      <c r="CJ123">
        <v>1</v>
      </c>
      <c r="CK123">
        <v>22</v>
      </c>
      <c r="CL123" t="s">
        <v>87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"080069585932"</f>
        <v>080069585932</v>
      </c>
      <c r="F124" s="3">
        <v>45992</v>
      </c>
      <c r="G124">
        <v>202609</v>
      </c>
      <c r="H124" t="s">
        <v>75</v>
      </c>
      <c r="I124" t="s">
        <v>76</v>
      </c>
      <c r="J124" t="s">
        <v>77</v>
      </c>
      <c r="K124" t="s">
        <v>78</v>
      </c>
      <c r="L124" t="s">
        <v>156</v>
      </c>
      <c r="M124" t="s">
        <v>157</v>
      </c>
      <c r="N124" t="s">
        <v>508</v>
      </c>
      <c r="O124" t="s">
        <v>89</v>
      </c>
      <c r="P124" t="str">
        <f>"4170071211                    "</f>
        <v xml:space="preserve">4170071211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22.24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0.2</v>
      </c>
      <c r="BK124">
        <v>1</v>
      </c>
      <c r="BL124">
        <v>72.78</v>
      </c>
      <c r="BM124">
        <v>10.92</v>
      </c>
      <c r="BN124">
        <v>83.7</v>
      </c>
      <c r="BO124">
        <v>83.7</v>
      </c>
      <c r="BQ124" t="s">
        <v>509</v>
      </c>
      <c r="BR124" t="s">
        <v>82</v>
      </c>
      <c r="BS124" s="3">
        <v>45993</v>
      </c>
      <c r="BT124" s="4">
        <v>0.50208333333333333</v>
      </c>
      <c r="BU124" t="s">
        <v>510</v>
      </c>
      <c r="BV124" t="s">
        <v>87</v>
      </c>
      <c r="BW124" t="s">
        <v>153</v>
      </c>
      <c r="BX124" t="s">
        <v>161</v>
      </c>
      <c r="BY124">
        <v>1200</v>
      </c>
      <c r="CA124" t="s">
        <v>162</v>
      </c>
      <c r="CC124" t="s">
        <v>157</v>
      </c>
      <c r="CD124">
        <v>7530</v>
      </c>
      <c r="CE124" t="s">
        <v>134</v>
      </c>
      <c r="CF124" s="3">
        <v>45994</v>
      </c>
      <c r="CI124">
        <v>1</v>
      </c>
      <c r="CJ124">
        <v>1</v>
      </c>
      <c r="CK124">
        <v>21</v>
      </c>
      <c r="CL124" t="s">
        <v>87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"080069585972"</f>
        <v>080069585972</v>
      </c>
      <c r="F125" s="3">
        <v>45992</v>
      </c>
      <c r="G125">
        <v>202609</v>
      </c>
      <c r="H125" t="s">
        <v>75</v>
      </c>
      <c r="I125" t="s">
        <v>76</v>
      </c>
      <c r="J125" t="s">
        <v>77</v>
      </c>
      <c r="K125" t="s">
        <v>78</v>
      </c>
      <c r="L125" t="s">
        <v>109</v>
      </c>
      <c r="M125" t="s">
        <v>110</v>
      </c>
      <c r="N125" t="s">
        <v>511</v>
      </c>
      <c r="O125" t="s">
        <v>89</v>
      </c>
      <c r="P125" t="str">
        <f>"4170071351                    "</f>
        <v xml:space="preserve">4170071351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31.28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1</v>
      </c>
      <c r="BJ125">
        <v>0.2</v>
      </c>
      <c r="BK125">
        <v>1</v>
      </c>
      <c r="BL125">
        <v>102.36</v>
      </c>
      <c r="BM125">
        <v>15.35</v>
      </c>
      <c r="BN125">
        <v>117.71</v>
      </c>
      <c r="BO125">
        <v>117.71</v>
      </c>
      <c r="BQ125" t="s">
        <v>512</v>
      </c>
      <c r="BR125" t="s">
        <v>82</v>
      </c>
      <c r="BS125" t="s">
        <v>500</v>
      </c>
      <c r="BY125">
        <v>1200</v>
      </c>
      <c r="CC125" t="s">
        <v>110</v>
      </c>
      <c r="CD125">
        <v>1748</v>
      </c>
      <c r="CE125" t="s">
        <v>134</v>
      </c>
      <c r="CI125">
        <v>1</v>
      </c>
      <c r="CJ125" t="s">
        <v>500</v>
      </c>
      <c r="CK125">
        <v>24</v>
      </c>
      <c r="CL125" t="s">
        <v>87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"080069586026"</f>
        <v>080069586026</v>
      </c>
      <c r="F126" s="3">
        <v>45992</v>
      </c>
      <c r="G126">
        <v>202609</v>
      </c>
      <c r="H126" t="s">
        <v>75</v>
      </c>
      <c r="I126" t="s">
        <v>76</v>
      </c>
      <c r="J126" t="s">
        <v>77</v>
      </c>
      <c r="K126" t="s">
        <v>78</v>
      </c>
      <c r="L126" t="s">
        <v>189</v>
      </c>
      <c r="M126" t="s">
        <v>190</v>
      </c>
      <c r="N126" t="s">
        <v>308</v>
      </c>
      <c r="O126" t="s">
        <v>89</v>
      </c>
      <c r="P126" t="str">
        <f>"4170071319                    "</f>
        <v xml:space="preserve">4170071319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188.95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17.41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2</v>
      </c>
      <c r="BI126">
        <v>16.899999999999999</v>
      </c>
      <c r="BJ126">
        <v>8.1999999999999993</v>
      </c>
      <c r="BK126">
        <v>17</v>
      </c>
      <c r="BL126">
        <v>635.79999999999995</v>
      </c>
      <c r="BM126">
        <v>95.37</v>
      </c>
      <c r="BN126">
        <v>731.17</v>
      </c>
      <c r="BO126">
        <v>731.17</v>
      </c>
      <c r="BQ126" t="s">
        <v>309</v>
      </c>
      <c r="BR126" t="s">
        <v>82</v>
      </c>
      <c r="BS126" s="3">
        <v>45994</v>
      </c>
      <c r="BT126" s="4">
        <v>0.45833333333333331</v>
      </c>
      <c r="BU126" t="s">
        <v>310</v>
      </c>
      <c r="BV126" t="s">
        <v>87</v>
      </c>
      <c r="BY126">
        <v>40938.269999999997</v>
      </c>
      <c r="BZ126" t="s">
        <v>30</v>
      </c>
      <c r="CA126" t="s">
        <v>311</v>
      </c>
      <c r="CC126" t="s">
        <v>190</v>
      </c>
      <c r="CD126">
        <v>3699</v>
      </c>
      <c r="CE126" t="s">
        <v>134</v>
      </c>
      <c r="CF126" s="3">
        <v>45995</v>
      </c>
      <c r="CI126">
        <v>1</v>
      </c>
      <c r="CJ126">
        <v>2</v>
      </c>
      <c r="CK126">
        <v>21</v>
      </c>
      <c r="CL126" t="s">
        <v>87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"080069586033"</f>
        <v>080069586033</v>
      </c>
      <c r="F127" s="3">
        <v>45992</v>
      </c>
      <c r="G127">
        <v>202609</v>
      </c>
      <c r="H127" t="s">
        <v>75</v>
      </c>
      <c r="I127" t="s">
        <v>76</v>
      </c>
      <c r="J127" t="s">
        <v>77</v>
      </c>
      <c r="K127" t="s">
        <v>78</v>
      </c>
      <c r="L127" t="s">
        <v>141</v>
      </c>
      <c r="M127" t="s">
        <v>142</v>
      </c>
      <c r="N127" t="s">
        <v>324</v>
      </c>
      <c r="O127" t="s">
        <v>89</v>
      </c>
      <c r="P127" t="str">
        <f>"4170071325                    "</f>
        <v xml:space="preserve">4170071325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22.24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1</v>
      </c>
      <c r="BJ127">
        <v>0.2</v>
      </c>
      <c r="BK127">
        <v>1</v>
      </c>
      <c r="BL127">
        <v>72.78</v>
      </c>
      <c r="BM127">
        <v>10.92</v>
      </c>
      <c r="BN127">
        <v>83.7</v>
      </c>
      <c r="BO127">
        <v>83.7</v>
      </c>
      <c r="BQ127" t="s">
        <v>325</v>
      </c>
      <c r="BR127" t="s">
        <v>82</v>
      </c>
      <c r="BS127" s="3">
        <v>45993</v>
      </c>
      <c r="BT127" s="4">
        <v>0.42777777777777776</v>
      </c>
      <c r="BU127" t="s">
        <v>326</v>
      </c>
      <c r="BV127" t="s">
        <v>84</v>
      </c>
      <c r="BY127">
        <v>1200</v>
      </c>
      <c r="BZ127" t="s">
        <v>125</v>
      </c>
      <c r="CA127" t="s">
        <v>327</v>
      </c>
      <c r="CC127" t="s">
        <v>142</v>
      </c>
      <c r="CD127">
        <v>6001</v>
      </c>
      <c r="CE127" t="s">
        <v>127</v>
      </c>
      <c r="CF127" s="3">
        <v>45993</v>
      </c>
      <c r="CI127">
        <v>1</v>
      </c>
      <c r="CJ127">
        <v>1</v>
      </c>
      <c r="CK127">
        <v>21</v>
      </c>
      <c r="CL127" t="s">
        <v>87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"080069586077"</f>
        <v>080069586077</v>
      </c>
      <c r="F128" s="3">
        <v>45992</v>
      </c>
      <c r="G128">
        <v>202609</v>
      </c>
      <c r="H128" t="s">
        <v>75</v>
      </c>
      <c r="I128" t="s">
        <v>76</v>
      </c>
      <c r="J128" t="s">
        <v>77</v>
      </c>
      <c r="K128" t="s">
        <v>78</v>
      </c>
      <c r="L128" t="s">
        <v>513</v>
      </c>
      <c r="M128" t="s">
        <v>514</v>
      </c>
      <c r="N128" t="s">
        <v>515</v>
      </c>
      <c r="O128" t="s">
        <v>89</v>
      </c>
      <c r="P128" t="str">
        <f>"4170071332                    "</f>
        <v xml:space="preserve">4170071332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43.09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1</v>
      </c>
      <c r="BJ128">
        <v>1.1000000000000001</v>
      </c>
      <c r="BK128">
        <v>1.5</v>
      </c>
      <c r="BL128">
        <v>141.02000000000001</v>
      </c>
      <c r="BM128">
        <v>21.15</v>
      </c>
      <c r="BN128">
        <v>162.16999999999999</v>
      </c>
      <c r="BO128">
        <v>162.16999999999999</v>
      </c>
      <c r="BQ128" t="s">
        <v>516</v>
      </c>
      <c r="BR128" t="s">
        <v>82</v>
      </c>
      <c r="BS128" s="3">
        <v>45993</v>
      </c>
      <c r="BT128" s="4">
        <v>0.40972222222222221</v>
      </c>
      <c r="BU128" t="s">
        <v>517</v>
      </c>
      <c r="BV128" t="s">
        <v>84</v>
      </c>
      <c r="BY128">
        <v>5510</v>
      </c>
      <c r="CA128" t="s">
        <v>518</v>
      </c>
      <c r="CC128" t="s">
        <v>514</v>
      </c>
      <c r="CD128">
        <v>6300</v>
      </c>
      <c r="CE128" t="s">
        <v>86</v>
      </c>
      <c r="CF128" s="3">
        <v>45993</v>
      </c>
      <c r="CI128">
        <v>2</v>
      </c>
      <c r="CJ128">
        <v>1</v>
      </c>
      <c r="CK128">
        <v>23</v>
      </c>
      <c r="CL128" t="s">
        <v>87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"080069586123"</f>
        <v>080069586123</v>
      </c>
      <c r="F129" s="3">
        <v>45992</v>
      </c>
      <c r="G129">
        <v>202609</v>
      </c>
      <c r="H129" t="s">
        <v>75</v>
      </c>
      <c r="I129" t="s">
        <v>76</v>
      </c>
      <c r="J129" t="s">
        <v>77</v>
      </c>
      <c r="K129" t="s">
        <v>78</v>
      </c>
      <c r="L129" t="s">
        <v>482</v>
      </c>
      <c r="M129" t="s">
        <v>483</v>
      </c>
      <c r="N129" t="s">
        <v>484</v>
      </c>
      <c r="O129" t="s">
        <v>89</v>
      </c>
      <c r="P129" t="str">
        <f>"4170071329                    "</f>
        <v xml:space="preserve">4170071329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43.09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1</v>
      </c>
      <c r="BJ129">
        <v>1.4</v>
      </c>
      <c r="BK129">
        <v>1.5</v>
      </c>
      <c r="BL129">
        <v>141.02000000000001</v>
      </c>
      <c r="BM129">
        <v>21.15</v>
      </c>
      <c r="BN129">
        <v>162.16999999999999</v>
      </c>
      <c r="BO129">
        <v>162.16999999999999</v>
      </c>
      <c r="BQ129" t="s">
        <v>485</v>
      </c>
      <c r="BR129" t="s">
        <v>82</v>
      </c>
      <c r="BS129" s="3">
        <v>45993</v>
      </c>
      <c r="BT129" s="4">
        <v>0.41875000000000001</v>
      </c>
      <c r="BU129" t="s">
        <v>176</v>
      </c>
      <c r="BV129" t="s">
        <v>84</v>
      </c>
      <c r="BY129">
        <v>7000</v>
      </c>
      <c r="CA129">
        <v>7711215278081</v>
      </c>
      <c r="CC129" t="s">
        <v>483</v>
      </c>
      <c r="CD129">
        <v>1873</v>
      </c>
      <c r="CE129" t="s">
        <v>86</v>
      </c>
      <c r="CF129" s="3">
        <v>45994</v>
      </c>
      <c r="CI129">
        <v>1</v>
      </c>
      <c r="CJ129">
        <v>1</v>
      </c>
      <c r="CK129">
        <v>23</v>
      </c>
      <c r="CL129" t="s">
        <v>87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"080069586341"</f>
        <v>080069586341</v>
      </c>
      <c r="F130" s="3">
        <v>45992</v>
      </c>
      <c r="G130">
        <v>202609</v>
      </c>
      <c r="H130" t="s">
        <v>75</v>
      </c>
      <c r="I130" t="s">
        <v>76</v>
      </c>
      <c r="J130" t="s">
        <v>77</v>
      </c>
      <c r="K130" t="s">
        <v>78</v>
      </c>
      <c r="L130" t="s">
        <v>265</v>
      </c>
      <c r="M130" t="s">
        <v>266</v>
      </c>
      <c r="N130" t="s">
        <v>414</v>
      </c>
      <c r="O130" t="s">
        <v>89</v>
      </c>
      <c r="P130" t="str">
        <f>"4170071242                    "</f>
        <v xml:space="preserve">4170071242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17.37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1</v>
      </c>
      <c r="BJ130">
        <v>1.1000000000000001</v>
      </c>
      <c r="BK130">
        <v>2</v>
      </c>
      <c r="BL130">
        <v>56.85</v>
      </c>
      <c r="BM130">
        <v>8.5299999999999994</v>
      </c>
      <c r="BN130">
        <v>65.38</v>
      </c>
      <c r="BO130">
        <v>65.38</v>
      </c>
      <c r="BQ130" t="s">
        <v>415</v>
      </c>
      <c r="BR130" t="s">
        <v>82</v>
      </c>
      <c r="BS130" s="3">
        <v>45993</v>
      </c>
      <c r="BT130" s="4">
        <v>0.31388888888888888</v>
      </c>
      <c r="BU130" t="s">
        <v>416</v>
      </c>
      <c r="BV130" t="s">
        <v>84</v>
      </c>
      <c r="BY130">
        <v>5510</v>
      </c>
      <c r="CA130" t="s">
        <v>417</v>
      </c>
      <c r="CC130" t="s">
        <v>266</v>
      </c>
      <c r="CD130">
        <v>1459</v>
      </c>
      <c r="CE130" t="s">
        <v>86</v>
      </c>
      <c r="CF130" s="3">
        <v>45994</v>
      </c>
      <c r="CI130">
        <v>1</v>
      </c>
      <c r="CJ130">
        <v>1</v>
      </c>
      <c r="CK130">
        <v>22</v>
      </c>
      <c r="CL130" t="s">
        <v>87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"080069586453"</f>
        <v>080069586453</v>
      </c>
      <c r="F131" s="3">
        <v>45992</v>
      </c>
      <c r="G131">
        <v>202609</v>
      </c>
      <c r="H131" t="s">
        <v>75</v>
      </c>
      <c r="I131" t="s">
        <v>76</v>
      </c>
      <c r="J131" t="s">
        <v>77</v>
      </c>
      <c r="K131" t="s">
        <v>78</v>
      </c>
      <c r="L131" t="s">
        <v>366</v>
      </c>
      <c r="M131" t="s">
        <v>367</v>
      </c>
      <c r="N131" t="s">
        <v>519</v>
      </c>
      <c r="O131" t="s">
        <v>89</v>
      </c>
      <c r="P131" t="str">
        <f>"4170071327                    "</f>
        <v xml:space="preserve">4170071327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43.09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2</v>
      </c>
      <c r="BJ131">
        <v>1.1000000000000001</v>
      </c>
      <c r="BK131">
        <v>2</v>
      </c>
      <c r="BL131">
        <v>141.02000000000001</v>
      </c>
      <c r="BM131">
        <v>21.15</v>
      </c>
      <c r="BN131">
        <v>162.16999999999999</v>
      </c>
      <c r="BO131">
        <v>162.16999999999999</v>
      </c>
      <c r="BQ131" t="s">
        <v>520</v>
      </c>
      <c r="BR131" t="s">
        <v>82</v>
      </c>
      <c r="BS131" s="3">
        <v>45993</v>
      </c>
      <c r="BT131" s="4">
        <v>0.4375</v>
      </c>
      <c r="BU131" t="s">
        <v>521</v>
      </c>
      <c r="BV131" t="s">
        <v>84</v>
      </c>
      <c r="BY131">
        <v>5510</v>
      </c>
      <c r="CA131">
        <v>8510125994083</v>
      </c>
      <c r="CC131" t="s">
        <v>367</v>
      </c>
      <c r="CD131">
        <v>1900</v>
      </c>
      <c r="CE131" t="s">
        <v>86</v>
      </c>
      <c r="CF131" s="3">
        <v>45993</v>
      </c>
      <c r="CI131">
        <v>1</v>
      </c>
      <c r="CJ131">
        <v>1</v>
      </c>
      <c r="CK131">
        <v>23</v>
      </c>
      <c r="CL131" t="s">
        <v>87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"080069587575"</f>
        <v>080069587575</v>
      </c>
      <c r="F132" s="3">
        <v>45992</v>
      </c>
      <c r="G132">
        <v>202609</v>
      </c>
      <c r="H132" t="s">
        <v>75</v>
      </c>
      <c r="I132" t="s">
        <v>76</v>
      </c>
      <c r="J132" t="s">
        <v>77</v>
      </c>
      <c r="K132" t="s">
        <v>78</v>
      </c>
      <c r="L132" t="s">
        <v>302</v>
      </c>
      <c r="M132" t="s">
        <v>303</v>
      </c>
      <c r="N132" t="s">
        <v>425</v>
      </c>
      <c r="O132" t="s">
        <v>80</v>
      </c>
      <c r="P132" t="str">
        <f>"4170071348                    "</f>
        <v xml:space="preserve">4170071348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89.22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2</v>
      </c>
      <c r="BI132">
        <v>38</v>
      </c>
      <c r="BJ132">
        <v>40.299999999999997</v>
      </c>
      <c r="BK132">
        <v>41</v>
      </c>
      <c r="BL132">
        <v>298.10000000000002</v>
      </c>
      <c r="BM132">
        <v>44.72</v>
      </c>
      <c r="BN132">
        <v>342.82</v>
      </c>
      <c r="BO132">
        <v>342.82</v>
      </c>
      <c r="BQ132" t="s">
        <v>426</v>
      </c>
      <c r="BR132" t="s">
        <v>82</v>
      </c>
      <c r="BS132" s="3">
        <v>45993</v>
      </c>
      <c r="BT132" s="4">
        <v>0.6791666666666667</v>
      </c>
      <c r="BU132" t="s">
        <v>522</v>
      </c>
      <c r="BV132" t="s">
        <v>84</v>
      </c>
      <c r="BY132">
        <v>100800</v>
      </c>
      <c r="CA132">
        <v>9803125957082</v>
      </c>
      <c r="CC132" t="s">
        <v>303</v>
      </c>
      <c r="CD132" s="5" t="s">
        <v>350</v>
      </c>
      <c r="CE132" t="s">
        <v>108</v>
      </c>
      <c r="CF132" s="3">
        <v>45993</v>
      </c>
      <c r="CI132">
        <v>1</v>
      </c>
      <c r="CJ132">
        <v>1</v>
      </c>
      <c r="CK132">
        <v>41</v>
      </c>
      <c r="CL132" t="s">
        <v>87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"080069587614"</f>
        <v>080069587614</v>
      </c>
      <c r="F133" s="3">
        <v>45992</v>
      </c>
      <c r="G133">
        <v>202609</v>
      </c>
      <c r="H133" t="s">
        <v>75</v>
      </c>
      <c r="I133" t="s">
        <v>76</v>
      </c>
      <c r="J133" t="s">
        <v>77</v>
      </c>
      <c r="K133" t="s">
        <v>78</v>
      </c>
      <c r="L133" t="s">
        <v>189</v>
      </c>
      <c r="M133" t="s">
        <v>190</v>
      </c>
      <c r="N133" t="s">
        <v>191</v>
      </c>
      <c r="O133" t="s">
        <v>89</v>
      </c>
      <c r="P133" t="str">
        <f>"4170071339                    "</f>
        <v xml:space="preserve">4170071339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38.909999999999997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3.1</v>
      </c>
      <c r="BJ133">
        <v>1.6</v>
      </c>
      <c r="BK133">
        <v>3.5</v>
      </c>
      <c r="BL133">
        <v>127.34</v>
      </c>
      <c r="BM133">
        <v>19.100000000000001</v>
      </c>
      <c r="BN133">
        <v>146.44</v>
      </c>
      <c r="BO133">
        <v>146.44</v>
      </c>
      <c r="BQ133" t="s">
        <v>192</v>
      </c>
      <c r="BR133" t="s">
        <v>82</v>
      </c>
      <c r="BS133" s="3">
        <v>45994</v>
      </c>
      <c r="BT133" s="4">
        <v>0.41805555555555557</v>
      </c>
      <c r="BU133" t="s">
        <v>464</v>
      </c>
      <c r="BV133" t="s">
        <v>87</v>
      </c>
      <c r="BY133">
        <v>8103.65</v>
      </c>
      <c r="CA133" t="s">
        <v>194</v>
      </c>
      <c r="CC133" t="s">
        <v>190</v>
      </c>
      <c r="CD133">
        <v>3201</v>
      </c>
      <c r="CE133" t="s">
        <v>86</v>
      </c>
      <c r="CF133" s="3">
        <v>45995</v>
      </c>
      <c r="CI133">
        <v>1</v>
      </c>
      <c r="CJ133">
        <v>2</v>
      </c>
      <c r="CK133">
        <v>21</v>
      </c>
      <c r="CL133" t="s">
        <v>87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"080069587668"</f>
        <v>080069587668</v>
      </c>
      <c r="F134" s="3">
        <v>45992</v>
      </c>
      <c r="G134">
        <v>202609</v>
      </c>
      <c r="H134" t="s">
        <v>75</v>
      </c>
      <c r="I134" t="s">
        <v>76</v>
      </c>
      <c r="J134" t="s">
        <v>77</v>
      </c>
      <c r="K134" t="s">
        <v>78</v>
      </c>
      <c r="L134" t="s">
        <v>169</v>
      </c>
      <c r="M134" t="s">
        <v>170</v>
      </c>
      <c r="N134" t="s">
        <v>523</v>
      </c>
      <c r="O134" t="s">
        <v>89</v>
      </c>
      <c r="P134" t="str">
        <f>"4170071212                    "</f>
        <v xml:space="preserve">4170071212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62.55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3</v>
      </c>
      <c r="BJ134">
        <v>1.8</v>
      </c>
      <c r="BK134">
        <v>3</v>
      </c>
      <c r="BL134">
        <v>204.7</v>
      </c>
      <c r="BM134">
        <v>30.71</v>
      </c>
      <c r="BN134">
        <v>235.41</v>
      </c>
      <c r="BO134">
        <v>235.41</v>
      </c>
      <c r="BQ134" t="s">
        <v>524</v>
      </c>
      <c r="BR134" t="s">
        <v>82</v>
      </c>
      <c r="BS134" s="3">
        <v>45993</v>
      </c>
      <c r="BT134" s="4">
        <v>0.53402777777777777</v>
      </c>
      <c r="BU134" t="s">
        <v>525</v>
      </c>
      <c r="BV134" t="s">
        <v>84</v>
      </c>
      <c r="BY134">
        <v>8816</v>
      </c>
      <c r="BZ134" t="s">
        <v>125</v>
      </c>
      <c r="CA134">
        <v>8608105569083</v>
      </c>
      <c r="CC134" t="s">
        <v>170</v>
      </c>
      <c r="CD134">
        <v>1020</v>
      </c>
      <c r="CE134" t="s">
        <v>147</v>
      </c>
      <c r="CF134" s="3">
        <v>45993</v>
      </c>
      <c r="CI134">
        <v>1</v>
      </c>
      <c r="CJ134">
        <v>1</v>
      </c>
      <c r="CK134">
        <v>23</v>
      </c>
      <c r="CL134" t="s">
        <v>87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"080069587705"</f>
        <v>080069587705</v>
      </c>
      <c r="F135" s="3">
        <v>45992</v>
      </c>
      <c r="G135">
        <v>202609</v>
      </c>
      <c r="H135" t="s">
        <v>75</v>
      </c>
      <c r="I135" t="s">
        <v>76</v>
      </c>
      <c r="J135" t="s">
        <v>77</v>
      </c>
      <c r="K135" t="s">
        <v>78</v>
      </c>
      <c r="L135" t="s">
        <v>265</v>
      </c>
      <c r="M135" t="s">
        <v>266</v>
      </c>
      <c r="N135" t="s">
        <v>474</v>
      </c>
      <c r="O135" t="s">
        <v>89</v>
      </c>
      <c r="P135" t="str">
        <f>"4170071337                    "</f>
        <v xml:space="preserve">4170071337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17.37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2</v>
      </c>
      <c r="BJ135">
        <v>1.1000000000000001</v>
      </c>
      <c r="BK135">
        <v>2</v>
      </c>
      <c r="BL135">
        <v>56.85</v>
      </c>
      <c r="BM135">
        <v>8.5299999999999994</v>
      </c>
      <c r="BN135">
        <v>65.38</v>
      </c>
      <c r="BO135">
        <v>65.38</v>
      </c>
      <c r="BQ135" t="s">
        <v>475</v>
      </c>
      <c r="BR135" t="s">
        <v>82</v>
      </c>
      <c r="BS135" s="3">
        <v>45993</v>
      </c>
      <c r="BT135" s="4">
        <v>0.35</v>
      </c>
      <c r="BU135" t="s">
        <v>476</v>
      </c>
      <c r="BV135" t="s">
        <v>84</v>
      </c>
      <c r="BY135">
        <v>5510</v>
      </c>
      <c r="CA135" t="s">
        <v>417</v>
      </c>
      <c r="CC135" t="s">
        <v>266</v>
      </c>
      <c r="CD135">
        <v>1459</v>
      </c>
      <c r="CE135" t="s">
        <v>86</v>
      </c>
      <c r="CF135" s="3">
        <v>45994</v>
      </c>
      <c r="CI135">
        <v>1</v>
      </c>
      <c r="CJ135">
        <v>1</v>
      </c>
      <c r="CK135">
        <v>22</v>
      </c>
      <c r="CL135" t="s">
        <v>87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"080069587742"</f>
        <v>080069587742</v>
      </c>
      <c r="F136" s="3">
        <v>45992</v>
      </c>
      <c r="G136">
        <v>202609</v>
      </c>
      <c r="H136" t="s">
        <v>75</v>
      </c>
      <c r="I136" t="s">
        <v>76</v>
      </c>
      <c r="J136" t="s">
        <v>77</v>
      </c>
      <c r="K136" t="s">
        <v>78</v>
      </c>
      <c r="L136" t="s">
        <v>526</v>
      </c>
      <c r="M136" t="s">
        <v>527</v>
      </c>
      <c r="N136" t="s">
        <v>528</v>
      </c>
      <c r="O136" t="s">
        <v>89</v>
      </c>
      <c r="P136" t="str">
        <f>"4170071238                    "</f>
        <v xml:space="preserve">4170071238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43.09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17.41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2</v>
      </c>
      <c r="BJ136">
        <v>0.9</v>
      </c>
      <c r="BK136">
        <v>2</v>
      </c>
      <c r="BL136">
        <v>158.43</v>
      </c>
      <c r="BM136">
        <v>23.76</v>
      </c>
      <c r="BN136">
        <v>182.19</v>
      </c>
      <c r="BO136">
        <v>182.19</v>
      </c>
      <c r="BQ136" t="s">
        <v>529</v>
      </c>
      <c r="BR136" t="s">
        <v>82</v>
      </c>
      <c r="BS136" s="3">
        <v>45993</v>
      </c>
      <c r="BT136" s="4">
        <v>0.63680555555555551</v>
      </c>
      <c r="BU136" t="s">
        <v>530</v>
      </c>
      <c r="BV136" t="s">
        <v>84</v>
      </c>
      <c r="BY136">
        <v>4560</v>
      </c>
      <c r="BZ136" t="s">
        <v>30</v>
      </c>
      <c r="CA136" t="s">
        <v>531</v>
      </c>
      <c r="CC136" t="s">
        <v>527</v>
      </c>
      <c r="CD136" s="5" t="s">
        <v>532</v>
      </c>
      <c r="CE136" t="s">
        <v>86</v>
      </c>
      <c r="CF136" s="3">
        <v>45994</v>
      </c>
      <c r="CI136">
        <v>1</v>
      </c>
      <c r="CJ136">
        <v>1</v>
      </c>
      <c r="CK136">
        <v>23</v>
      </c>
      <c r="CL136" t="s">
        <v>87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"080069588168"</f>
        <v>080069588168</v>
      </c>
      <c r="F137" s="3">
        <v>45992</v>
      </c>
      <c r="G137">
        <v>202609</v>
      </c>
      <c r="H137" t="s">
        <v>75</v>
      </c>
      <c r="I137" t="s">
        <v>76</v>
      </c>
      <c r="J137" t="s">
        <v>77</v>
      </c>
      <c r="K137" t="s">
        <v>78</v>
      </c>
      <c r="L137" t="s">
        <v>533</v>
      </c>
      <c r="M137" t="s">
        <v>533</v>
      </c>
      <c r="N137" t="s">
        <v>534</v>
      </c>
      <c r="O137" t="s">
        <v>89</v>
      </c>
      <c r="P137" t="str">
        <f>"4170071345                    "</f>
        <v xml:space="preserve">4170071345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257.11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13</v>
      </c>
      <c r="BJ137">
        <v>9.1</v>
      </c>
      <c r="BK137">
        <v>13</v>
      </c>
      <c r="BL137">
        <v>841.46</v>
      </c>
      <c r="BM137">
        <v>126.22</v>
      </c>
      <c r="BN137">
        <v>967.68</v>
      </c>
      <c r="BO137">
        <v>967.68</v>
      </c>
      <c r="BQ137" t="s">
        <v>535</v>
      </c>
      <c r="BR137" t="s">
        <v>82</v>
      </c>
      <c r="BS137" s="3">
        <v>45993</v>
      </c>
      <c r="BT137" s="4">
        <v>0.47916666666666669</v>
      </c>
      <c r="BU137" t="s">
        <v>536</v>
      </c>
      <c r="BV137" t="s">
        <v>84</v>
      </c>
      <c r="BY137">
        <v>45375</v>
      </c>
      <c r="CA137" t="s">
        <v>537</v>
      </c>
      <c r="CC137" t="s">
        <v>533</v>
      </c>
      <c r="CD137">
        <v>7646</v>
      </c>
      <c r="CE137" t="s">
        <v>108</v>
      </c>
      <c r="CF137" s="3">
        <v>45994</v>
      </c>
      <c r="CI137">
        <v>1</v>
      </c>
      <c r="CJ137">
        <v>1</v>
      </c>
      <c r="CK137">
        <v>23</v>
      </c>
      <c r="CL137" t="s">
        <v>87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"080069588781"</f>
        <v>080069588781</v>
      </c>
      <c r="F138" s="3">
        <v>45992</v>
      </c>
      <c r="G138">
        <v>202609</v>
      </c>
      <c r="H138" t="s">
        <v>75</v>
      </c>
      <c r="I138" t="s">
        <v>76</v>
      </c>
      <c r="J138" t="s">
        <v>77</v>
      </c>
      <c r="K138" t="s">
        <v>78</v>
      </c>
      <c r="L138" t="s">
        <v>458</v>
      </c>
      <c r="M138" t="s">
        <v>459</v>
      </c>
      <c r="N138" t="s">
        <v>460</v>
      </c>
      <c r="O138" t="s">
        <v>89</v>
      </c>
      <c r="P138" t="str">
        <f>"4170071349                    "</f>
        <v xml:space="preserve">4170071349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43.09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2</v>
      </c>
      <c r="BJ138">
        <v>1.4</v>
      </c>
      <c r="BK138">
        <v>2</v>
      </c>
      <c r="BL138">
        <v>141.02000000000001</v>
      </c>
      <c r="BM138">
        <v>21.15</v>
      </c>
      <c r="BN138">
        <v>162.16999999999999</v>
      </c>
      <c r="BO138">
        <v>162.16999999999999</v>
      </c>
      <c r="BQ138" t="s">
        <v>461</v>
      </c>
      <c r="BR138" t="s">
        <v>82</v>
      </c>
      <c r="BS138" s="3">
        <v>45993</v>
      </c>
      <c r="BT138" s="4">
        <v>0.59513888888888888</v>
      </c>
      <c r="BU138" t="s">
        <v>462</v>
      </c>
      <c r="BV138" t="s">
        <v>87</v>
      </c>
      <c r="BW138" t="s">
        <v>153</v>
      </c>
      <c r="BX138" t="s">
        <v>345</v>
      </c>
      <c r="BY138">
        <v>7000</v>
      </c>
      <c r="CA138" t="s">
        <v>463</v>
      </c>
      <c r="CC138" t="s">
        <v>459</v>
      </c>
      <c r="CD138">
        <v>7130</v>
      </c>
      <c r="CE138" t="s">
        <v>86</v>
      </c>
      <c r="CF138" s="3">
        <v>45994</v>
      </c>
      <c r="CI138">
        <v>1</v>
      </c>
      <c r="CJ138">
        <v>1</v>
      </c>
      <c r="CK138">
        <v>23</v>
      </c>
      <c r="CL138" t="s">
        <v>87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"080069588967"</f>
        <v>080069588967</v>
      </c>
      <c r="F139" s="3">
        <v>45992</v>
      </c>
      <c r="G139">
        <v>202609</v>
      </c>
      <c r="H139" t="s">
        <v>75</v>
      </c>
      <c r="I139" t="s">
        <v>76</v>
      </c>
      <c r="J139" t="s">
        <v>77</v>
      </c>
      <c r="K139" t="s">
        <v>78</v>
      </c>
      <c r="L139" t="s">
        <v>128</v>
      </c>
      <c r="M139" t="s">
        <v>129</v>
      </c>
      <c r="N139" t="s">
        <v>383</v>
      </c>
      <c r="O139" t="s">
        <v>89</v>
      </c>
      <c r="P139" t="str">
        <f>"4170071385                    "</f>
        <v xml:space="preserve">4170071385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44.47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4</v>
      </c>
      <c r="BJ139">
        <v>1.8</v>
      </c>
      <c r="BK139">
        <v>4</v>
      </c>
      <c r="BL139">
        <v>145.53</v>
      </c>
      <c r="BM139">
        <v>21.83</v>
      </c>
      <c r="BN139">
        <v>167.36</v>
      </c>
      <c r="BO139">
        <v>167.36</v>
      </c>
      <c r="BQ139" t="s">
        <v>384</v>
      </c>
      <c r="BR139" t="s">
        <v>82</v>
      </c>
      <c r="BS139" s="3">
        <v>45993</v>
      </c>
      <c r="BT139" s="4">
        <v>0.61944444444444446</v>
      </c>
      <c r="BU139" t="s">
        <v>359</v>
      </c>
      <c r="BV139" t="s">
        <v>87</v>
      </c>
      <c r="BW139" t="s">
        <v>186</v>
      </c>
      <c r="BX139" t="s">
        <v>187</v>
      </c>
      <c r="BY139">
        <v>8816</v>
      </c>
      <c r="CA139" t="s">
        <v>188</v>
      </c>
      <c r="CC139" t="s">
        <v>129</v>
      </c>
      <c r="CD139">
        <v>5201</v>
      </c>
      <c r="CE139" t="s">
        <v>86</v>
      </c>
      <c r="CF139" s="3">
        <v>45994</v>
      </c>
      <c r="CI139">
        <v>1</v>
      </c>
      <c r="CJ139">
        <v>1</v>
      </c>
      <c r="CK139">
        <v>21</v>
      </c>
      <c r="CL139" t="s">
        <v>87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"080069588968"</f>
        <v>080069588968</v>
      </c>
      <c r="F140" s="3">
        <v>45992</v>
      </c>
      <c r="G140">
        <v>202609</v>
      </c>
      <c r="H140" t="s">
        <v>75</v>
      </c>
      <c r="I140" t="s">
        <v>76</v>
      </c>
      <c r="J140" t="s">
        <v>77</v>
      </c>
      <c r="K140" t="s">
        <v>78</v>
      </c>
      <c r="L140" t="s">
        <v>94</v>
      </c>
      <c r="M140" t="s">
        <v>95</v>
      </c>
      <c r="N140" t="s">
        <v>538</v>
      </c>
      <c r="O140" t="s">
        <v>89</v>
      </c>
      <c r="P140" t="str">
        <f>"4170071358                    "</f>
        <v xml:space="preserve">4170071358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22.24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1</v>
      </c>
      <c r="BJ140">
        <v>0.2</v>
      </c>
      <c r="BK140">
        <v>1</v>
      </c>
      <c r="BL140">
        <v>72.78</v>
      </c>
      <c r="BM140">
        <v>10.92</v>
      </c>
      <c r="BN140">
        <v>83.7</v>
      </c>
      <c r="BO140">
        <v>83.7</v>
      </c>
      <c r="BQ140" t="s">
        <v>539</v>
      </c>
      <c r="BR140" t="s">
        <v>82</v>
      </c>
      <c r="BS140" s="3">
        <v>45993</v>
      </c>
      <c r="BT140" s="4">
        <v>0.37847222222222221</v>
      </c>
      <c r="BU140" t="s">
        <v>540</v>
      </c>
      <c r="BV140" t="s">
        <v>84</v>
      </c>
      <c r="BY140">
        <v>1200</v>
      </c>
      <c r="CA140" t="s">
        <v>99</v>
      </c>
      <c r="CC140" t="s">
        <v>95</v>
      </c>
      <c r="CD140">
        <v>3610</v>
      </c>
      <c r="CE140" t="s">
        <v>134</v>
      </c>
      <c r="CF140" s="3">
        <v>45993</v>
      </c>
      <c r="CI140">
        <v>1</v>
      </c>
      <c r="CJ140">
        <v>1</v>
      </c>
      <c r="CK140">
        <v>21</v>
      </c>
      <c r="CL140" t="s">
        <v>87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"080069589003"</f>
        <v>080069589003</v>
      </c>
      <c r="F141" s="3">
        <v>45992</v>
      </c>
      <c r="G141">
        <v>202609</v>
      </c>
      <c r="H141" t="s">
        <v>75</v>
      </c>
      <c r="I141" t="s">
        <v>76</v>
      </c>
      <c r="J141" t="s">
        <v>77</v>
      </c>
      <c r="K141" t="s">
        <v>78</v>
      </c>
      <c r="L141" t="s">
        <v>75</v>
      </c>
      <c r="M141" t="s">
        <v>76</v>
      </c>
      <c r="N141" t="s">
        <v>541</v>
      </c>
      <c r="O141" t="s">
        <v>80</v>
      </c>
      <c r="P141" t="str">
        <f>"4170071343                    "</f>
        <v xml:space="preserve">4170071343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34.15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9</v>
      </c>
      <c r="BJ141">
        <v>15.4</v>
      </c>
      <c r="BK141">
        <v>16</v>
      </c>
      <c r="BL141">
        <v>117.87</v>
      </c>
      <c r="BM141">
        <v>17.68</v>
      </c>
      <c r="BN141">
        <v>135.55000000000001</v>
      </c>
      <c r="BO141">
        <v>135.55000000000001</v>
      </c>
      <c r="BQ141" t="s">
        <v>542</v>
      </c>
      <c r="BR141" t="s">
        <v>82</v>
      </c>
      <c r="BS141" s="3">
        <v>45993</v>
      </c>
      <c r="BT141" s="4">
        <v>0.47916666666666669</v>
      </c>
      <c r="BU141" t="s">
        <v>543</v>
      </c>
      <c r="BV141" t="s">
        <v>84</v>
      </c>
      <c r="BY141">
        <v>76760</v>
      </c>
      <c r="CC141" t="s">
        <v>76</v>
      </c>
      <c r="CD141">
        <v>1666</v>
      </c>
      <c r="CE141" t="s">
        <v>544</v>
      </c>
      <c r="CF141" s="3">
        <v>45994</v>
      </c>
      <c r="CI141">
        <v>1</v>
      </c>
      <c r="CJ141">
        <v>1</v>
      </c>
      <c r="CK141">
        <v>42</v>
      </c>
      <c r="CL141" t="s">
        <v>87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"080069589131"</f>
        <v>080069589131</v>
      </c>
      <c r="F142" s="3">
        <v>45992</v>
      </c>
      <c r="G142">
        <v>202609</v>
      </c>
      <c r="H142" t="s">
        <v>75</v>
      </c>
      <c r="I142" t="s">
        <v>76</v>
      </c>
      <c r="J142" t="s">
        <v>77</v>
      </c>
      <c r="K142" t="s">
        <v>78</v>
      </c>
      <c r="L142" t="s">
        <v>302</v>
      </c>
      <c r="M142" t="s">
        <v>303</v>
      </c>
      <c r="N142" t="s">
        <v>425</v>
      </c>
      <c r="O142" t="s">
        <v>80</v>
      </c>
      <c r="P142" t="str">
        <f>"4170071356                    "</f>
        <v xml:space="preserve">4170071356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43.01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12</v>
      </c>
      <c r="BJ142">
        <v>9.1</v>
      </c>
      <c r="BK142">
        <v>12</v>
      </c>
      <c r="BL142">
        <v>146.85</v>
      </c>
      <c r="BM142">
        <v>22.03</v>
      </c>
      <c r="BN142">
        <v>168.88</v>
      </c>
      <c r="BO142">
        <v>168.88</v>
      </c>
      <c r="BQ142" t="s">
        <v>426</v>
      </c>
      <c r="BR142" t="s">
        <v>82</v>
      </c>
      <c r="BS142" s="3">
        <v>45993</v>
      </c>
      <c r="BT142" s="4">
        <v>0.67847222222222225</v>
      </c>
      <c r="BU142" t="s">
        <v>522</v>
      </c>
      <c r="BV142" t="s">
        <v>84</v>
      </c>
      <c r="BY142">
        <v>45375</v>
      </c>
      <c r="CA142">
        <v>9803125957082</v>
      </c>
      <c r="CC142" t="s">
        <v>303</v>
      </c>
      <c r="CD142" s="5" t="s">
        <v>350</v>
      </c>
      <c r="CE142" t="s">
        <v>108</v>
      </c>
      <c r="CF142" s="3">
        <v>45993</v>
      </c>
      <c r="CI142">
        <v>1</v>
      </c>
      <c r="CJ142">
        <v>1</v>
      </c>
      <c r="CK142">
        <v>41</v>
      </c>
      <c r="CL142" t="s">
        <v>87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"080069589156"</f>
        <v>080069589156</v>
      </c>
      <c r="F143" s="3">
        <v>45992</v>
      </c>
      <c r="G143">
        <v>202609</v>
      </c>
      <c r="H143" t="s">
        <v>75</v>
      </c>
      <c r="I143" t="s">
        <v>76</v>
      </c>
      <c r="J143" t="s">
        <v>77</v>
      </c>
      <c r="K143" t="s">
        <v>78</v>
      </c>
      <c r="L143" t="s">
        <v>202</v>
      </c>
      <c r="M143" t="s">
        <v>203</v>
      </c>
      <c r="N143" t="s">
        <v>204</v>
      </c>
      <c r="O143" t="s">
        <v>89</v>
      </c>
      <c r="P143" t="str">
        <f>"4170071383                    "</f>
        <v xml:space="preserve">4170071383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43.09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1</v>
      </c>
      <c r="BJ143">
        <v>0.2</v>
      </c>
      <c r="BK143">
        <v>1</v>
      </c>
      <c r="BL143">
        <v>141.02000000000001</v>
      </c>
      <c r="BM143">
        <v>21.15</v>
      </c>
      <c r="BN143">
        <v>162.16999999999999</v>
      </c>
      <c r="BO143">
        <v>162.16999999999999</v>
      </c>
      <c r="BQ143" t="s">
        <v>205</v>
      </c>
      <c r="BR143" t="s">
        <v>82</v>
      </c>
      <c r="BS143" s="3">
        <v>45993</v>
      </c>
      <c r="BT143" s="4">
        <v>0.41666666666666669</v>
      </c>
      <c r="BU143" t="s">
        <v>545</v>
      </c>
      <c r="BV143" t="s">
        <v>84</v>
      </c>
      <c r="BY143">
        <v>1200</v>
      </c>
      <c r="CC143" t="s">
        <v>203</v>
      </c>
      <c r="CD143">
        <v>2531</v>
      </c>
      <c r="CE143" t="s">
        <v>134</v>
      </c>
      <c r="CF143" s="3">
        <v>45994</v>
      </c>
      <c r="CI143">
        <v>1</v>
      </c>
      <c r="CJ143">
        <v>1</v>
      </c>
      <c r="CK143">
        <v>23</v>
      </c>
      <c r="CL143" t="s">
        <v>87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"080069589344"</f>
        <v>080069589344</v>
      </c>
      <c r="F144" s="3">
        <v>45992</v>
      </c>
      <c r="G144">
        <v>202609</v>
      </c>
      <c r="H144" t="s">
        <v>75</v>
      </c>
      <c r="I144" t="s">
        <v>76</v>
      </c>
      <c r="J144" t="s">
        <v>77</v>
      </c>
      <c r="K144" t="s">
        <v>78</v>
      </c>
      <c r="L144" t="s">
        <v>546</v>
      </c>
      <c r="M144" t="s">
        <v>547</v>
      </c>
      <c r="N144" t="s">
        <v>548</v>
      </c>
      <c r="O144" t="s">
        <v>89</v>
      </c>
      <c r="P144" t="str">
        <f>"4170071359                    "</f>
        <v xml:space="preserve">4170071359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101.46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5</v>
      </c>
      <c r="BJ144">
        <v>1.8</v>
      </c>
      <c r="BK144">
        <v>5</v>
      </c>
      <c r="BL144">
        <v>332.05</v>
      </c>
      <c r="BM144">
        <v>49.81</v>
      </c>
      <c r="BN144">
        <v>381.86</v>
      </c>
      <c r="BO144">
        <v>381.86</v>
      </c>
      <c r="BQ144" t="s">
        <v>549</v>
      </c>
      <c r="BR144" t="s">
        <v>82</v>
      </c>
      <c r="BS144" s="3">
        <v>45993</v>
      </c>
      <c r="BT144" s="4">
        <v>0.43402777777777779</v>
      </c>
      <c r="BU144" t="s">
        <v>550</v>
      </c>
      <c r="BV144" t="s">
        <v>84</v>
      </c>
      <c r="BY144">
        <v>8816</v>
      </c>
      <c r="CC144" t="s">
        <v>547</v>
      </c>
      <c r="CD144">
        <v>2302</v>
      </c>
      <c r="CE144" t="s">
        <v>86</v>
      </c>
      <c r="CF144" s="3">
        <v>45994</v>
      </c>
      <c r="CI144">
        <v>1</v>
      </c>
      <c r="CJ144">
        <v>1</v>
      </c>
      <c r="CK144">
        <v>23</v>
      </c>
      <c r="CL144" t="s">
        <v>87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"080069589398"</f>
        <v>080069589398</v>
      </c>
      <c r="F145" s="3">
        <v>45992</v>
      </c>
      <c r="G145">
        <v>202609</v>
      </c>
      <c r="H145" t="s">
        <v>75</v>
      </c>
      <c r="I145" t="s">
        <v>76</v>
      </c>
      <c r="J145" t="s">
        <v>77</v>
      </c>
      <c r="K145" t="s">
        <v>78</v>
      </c>
      <c r="L145" t="s">
        <v>302</v>
      </c>
      <c r="M145" t="s">
        <v>303</v>
      </c>
      <c r="N145" t="s">
        <v>551</v>
      </c>
      <c r="O145" t="s">
        <v>80</v>
      </c>
      <c r="P145" t="str">
        <f>"4170071372                    "</f>
        <v xml:space="preserve">4170071372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43.01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4</v>
      </c>
      <c r="BJ145">
        <v>1.4</v>
      </c>
      <c r="BK145">
        <v>4</v>
      </c>
      <c r="BL145">
        <v>146.85</v>
      </c>
      <c r="BM145">
        <v>22.03</v>
      </c>
      <c r="BN145">
        <v>168.88</v>
      </c>
      <c r="BO145">
        <v>168.88</v>
      </c>
      <c r="BQ145" t="s">
        <v>552</v>
      </c>
      <c r="BR145" t="s">
        <v>82</v>
      </c>
      <c r="BS145" s="3">
        <v>45993</v>
      </c>
      <c r="BT145" s="4">
        <v>0.54305555555555551</v>
      </c>
      <c r="BU145" t="s">
        <v>553</v>
      </c>
      <c r="BV145" t="s">
        <v>84</v>
      </c>
      <c r="BY145">
        <v>7000</v>
      </c>
      <c r="CA145">
        <v>8303236124087</v>
      </c>
      <c r="CC145" t="s">
        <v>303</v>
      </c>
      <c r="CD145" s="5" t="s">
        <v>307</v>
      </c>
      <c r="CE145" t="s">
        <v>86</v>
      </c>
      <c r="CF145" s="3">
        <v>45993</v>
      </c>
      <c r="CI145">
        <v>1</v>
      </c>
      <c r="CJ145">
        <v>1</v>
      </c>
      <c r="CK145">
        <v>41</v>
      </c>
      <c r="CL145" t="s">
        <v>87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"080069589433"</f>
        <v>080069589433</v>
      </c>
      <c r="F146" s="3">
        <v>45992</v>
      </c>
      <c r="G146">
        <v>202609</v>
      </c>
      <c r="H146" t="s">
        <v>75</v>
      </c>
      <c r="I146" t="s">
        <v>76</v>
      </c>
      <c r="J146" t="s">
        <v>77</v>
      </c>
      <c r="K146" t="s">
        <v>78</v>
      </c>
      <c r="L146" t="s">
        <v>533</v>
      </c>
      <c r="M146" t="s">
        <v>533</v>
      </c>
      <c r="N146" t="s">
        <v>554</v>
      </c>
      <c r="O146" t="s">
        <v>89</v>
      </c>
      <c r="P146" t="str">
        <f>"4170071371                    "</f>
        <v xml:space="preserve">4170071371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43.09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1</v>
      </c>
      <c r="BJ146">
        <v>0.2</v>
      </c>
      <c r="BK146">
        <v>1</v>
      </c>
      <c r="BL146">
        <v>141.02000000000001</v>
      </c>
      <c r="BM146">
        <v>21.15</v>
      </c>
      <c r="BN146">
        <v>162.16999999999999</v>
      </c>
      <c r="BO146">
        <v>162.16999999999999</v>
      </c>
      <c r="BQ146" t="s">
        <v>555</v>
      </c>
      <c r="BR146" t="s">
        <v>82</v>
      </c>
      <c r="BS146" s="3">
        <v>45993</v>
      </c>
      <c r="BT146" s="4">
        <v>0.59375</v>
      </c>
      <c r="BU146" t="s">
        <v>556</v>
      </c>
      <c r="BV146" t="s">
        <v>87</v>
      </c>
      <c r="BW146" t="s">
        <v>153</v>
      </c>
      <c r="BX146" t="s">
        <v>161</v>
      </c>
      <c r="BY146">
        <v>1200</v>
      </c>
      <c r="CA146" t="s">
        <v>537</v>
      </c>
      <c r="CC146" t="s">
        <v>533</v>
      </c>
      <c r="CD146">
        <v>7646</v>
      </c>
      <c r="CE146" t="s">
        <v>134</v>
      </c>
      <c r="CF146" s="3">
        <v>45994</v>
      </c>
      <c r="CI146">
        <v>1</v>
      </c>
      <c r="CJ146">
        <v>1</v>
      </c>
      <c r="CK146">
        <v>23</v>
      </c>
      <c r="CL146" t="s">
        <v>87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"080069589490"</f>
        <v>080069589490</v>
      </c>
      <c r="F147" s="3">
        <v>45992</v>
      </c>
      <c r="G147">
        <v>202609</v>
      </c>
      <c r="H147" t="s">
        <v>75</v>
      </c>
      <c r="I147" t="s">
        <v>76</v>
      </c>
      <c r="J147" t="s">
        <v>77</v>
      </c>
      <c r="K147" t="s">
        <v>78</v>
      </c>
      <c r="L147" t="s">
        <v>202</v>
      </c>
      <c r="M147" t="s">
        <v>203</v>
      </c>
      <c r="N147" t="s">
        <v>204</v>
      </c>
      <c r="O147" t="s">
        <v>89</v>
      </c>
      <c r="P147" t="str">
        <f>"4170071357                    "</f>
        <v xml:space="preserve">4170071357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43.09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1</v>
      </c>
      <c r="BJ147">
        <v>0.2</v>
      </c>
      <c r="BK147">
        <v>1</v>
      </c>
      <c r="BL147">
        <v>141.02000000000001</v>
      </c>
      <c r="BM147">
        <v>21.15</v>
      </c>
      <c r="BN147">
        <v>162.16999999999999</v>
      </c>
      <c r="BO147">
        <v>162.16999999999999</v>
      </c>
      <c r="BQ147" t="s">
        <v>205</v>
      </c>
      <c r="BR147" t="s">
        <v>82</v>
      </c>
      <c r="BS147" s="3">
        <v>45993</v>
      </c>
      <c r="BT147" s="4">
        <v>0.54166666666666663</v>
      </c>
      <c r="BU147" t="s">
        <v>545</v>
      </c>
      <c r="BV147" t="s">
        <v>84</v>
      </c>
      <c r="BY147">
        <v>1200</v>
      </c>
      <c r="CC147" t="s">
        <v>203</v>
      </c>
      <c r="CD147">
        <v>2531</v>
      </c>
      <c r="CE147" t="s">
        <v>134</v>
      </c>
      <c r="CF147" s="3">
        <v>45994</v>
      </c>
      <c r="CI147">
        <v>1</v>
      </c>
      <c r="CJ147">
        <v>1</v>
      </c>
      <c r="CK147">
        <v>23</v>
      </c>
      <c r="CL147" t="s">
        <v>87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"080069589685"</f>
        <v>080069589685</v>
      </c>
      <c r="F148" s="3">
        <v>45992</v>
      </c>
      <c r="G148">
        <v>202609</v>
      </c>
      <c r="H148" t="s">
        <v>75</v>
      </c>
      <c r="I148" t="s">
        <v>76</v>
      </c>
      <c r="J148" t="s">
        <v>77</v>
      </c>
      <c r="K148" t="s">
        <v>78</v>
      </c>
      <c r="L148" t="s">
        <v>156</v>
      </c>
      <c r="M148" t="s">
        <v>157</v>
      </c>
      <c r="N148" t="s">
        <v>557</v>
      </c>
      <c r="O148" t="s">
        <v>89</v>
      </c>
      <c r="P148" t="str">
        <f>"4170071313                    "</f>
        <v xml:space="preserve">4170071313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22.24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1</v>
      </c>
      <c r="BJ148">
        <v>0.2</v>
      </c>
      <c r="BK148">
        <v>1</v>
      </c>
      <c r="BL148">
        <v>72.78</v>
      </c>
      <c r="BM148">
        <v>10.92</v>
      </c>
      <c r="BN148">
        <v>83.7</v>
      </c>
      <c r="BO148">
        <v>83.7</v>
      </c>
      <c r="BQ148" t="s">
        <v>558</v>
      </c>
      <c r="BR148" t="s">
        <v>82</v>
      </c>
      <c r="BS148" s="3">
        <v>45993</v>
      </c>
      <c r="BT148" s="4">
        <v>0.44861111111111113</v>
      </c>
      <c r="BU148" t="s">
        <v>559</v>
      </c>
      <c r="BV148" t="s">
        <v>87</v>
      </c>
      <c r="BY148">
        <v>1200</v>
      </c>
      <c r="CA148" t="s">
        <v>473</v>
      </c>
      <c r="CC148" t="s">
        <v>157</v>
      </c>
      <c r="CD148">
        <v>7460</v>
      </c>
      <c r="CE148" t="s">
        <v>134</v>
      </c>
      <c r="CF148" s="3">
        <v>45994</v>
      </c>
      <c r="CI148">
        <v>1</v>
      </c>
      <c r="CJ148">
        <v>1</v>
      </c>
      <c r="CK148">
        <v>21</v>
      </c>
      <c r="CL148" t="s">
        <v>87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"080069590038"</f>
        <v>080069590038</v>
      </c>
      <c r="F149" s="3">
        <v>45992</v>
      </c>
      <c r="G149">
        <v>202609</v>
      </c>
      <c r="H149" t="s">
        <v>75</v>
      </c>
      <c r="I149" t="s">
        <v>76</v>
      </c>
      <c r="J149" t="s">
        <v>77</v>
      </c>
      <c r="K149" t="s">
        <v>78</v>
      </c>
      <c r="L149" t="s">
        <v>560</v>
      </c>
      <c r="M149" t="s">
        <v>561</v>
      </c>
      <c r="N149" t="s">
        <v>562</v>
      </c>
      <c r="O149" t="s">
        <v>80</v>
      </c>
      <c r="P149" t="str">
        <f>"1828090436                    "</f>
        <v xml:space="preserve">1828090436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790.73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3</v>
      </c>
      <c r="BI149">
        <v>584</v>
      </c>
      <c r="BJ149">
        <v>614</v>
      </c>
      <c r="BK149">
        <v>614</v>
      </c>
      <c r="BL149">
        <v>2593.9499999999998</v>
      </c>
      <c r="BM149">
        <v>389.09</v>
      </c>
      <c r="BN149">
        <v>2983.04</v>
      </c>
      <c r="BO149">
        <v>2983.04</v>
      </c>
      <c r="BQ149" t="s">
        <v>563</v>
      </c>
      <c r="BR149" t="s">
        <v>82</v>
      </c>
      <c r="BS149" s="3">
        <v>45993</v>
      </c>
      <c r="BT149" s="4">
        <v>0.56597222222222221</v>
      </c>
      <c r="BU149" t="s">
        <v>564</v>
      </c>
      <c r="BV149" t="s">
        <v>84</v>
      </c>
      <c r="BY149">
        <v>3069918</v>
      </c>
      <c r="CC149" t="s">
        <v>561</v>
      </c>
      <c r="CD149">
        <v>1779</v>
      </c>
      <c r="CE149" t="s">
        <v>565</v>
      </c>
      <c r="CF149" s="3">
        <v>45994</v>
      </c>
      <c r="CI149">
        <v>1</v>
      </c>
      <c r="CJ149">
        <v>1</v>
      </c>
      <c r="CK149">
        <v>44</v>
      </c>
      <c r="CL149" t="s">
        <v>87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"080069590745"</f>
        <v>080069590745</v>
      </c>
      <c r="F150" s="3">
        <v>45992</v>
      </c>
      <c r="G150">
        <v>202609</v>
      </c>
      <c r="H150" t="s">
        <v>75</v>
      </c>
      <c r="I150" t="s">
        <v>76</v>
      </c>
      <c r="J150" t="s">
        <v>77</v>
      </c>
      <c r="K150" t="s">
        <v>78</v>
      </c>
      <c r="L150" t="s">
        <v>272</v>
      </c>
      <c r="M150" t="s">
        <v>273</v>
      </c>
      <c r="N150" t="s">
        <v>274</v>
      </c>
      <c r="O150" t="s">
        <v>80</v>
      </c>
      <c r="P150" t="str">
        <f>"4170071361                    "</f>
        <v xml:space="preserve">4170071361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82.11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2</v>
      </c>
      <c r="BI150">
        <v>28</v>
      </c>
      <c r="BJ150">
        <v>36.299999999999997</v>
      </c>
      <c r="BK150">
        <v>37</v>
      </c>
      <c r="BL150">
        <v>274.83</v>
      </c>
      <c r="BM150">
        <v>41.22</v>
      </c>
      <c r="BN150">
        <v>316.05</v>
      </c>
      <c r="BO150">
        <v>316.05</v>
      </c>
      <c r="BQ150" t="s">
        <v>275</v>
      </c>
      <c r="BR150" t="s">
        <v>82</v>
      </c>
      <c r="BS150" s="3">
        <v>45994</v>
      </c>
      <c r="BT150" s="4">
        <v>0.4826388888888889</v>
      </c>
      <c r="BU150" t="s">
        <v>276</v>
      </c>
      <c r="BV150" t="s">
        <v>84</v>
      </c>
      <c r="BY150">
        <v>181380</v>
      </c>
      <c r="CA150" t="s">
        <v>277</v>
      </c>
      <c r="CC150" t="s">
        <v>273</v>
      </c>
      <c r="CD150">
        <v>6220</v>
      </c>
      <c r="CE150" t="s">
        <v>86</v>
      </c>
      <c r="CF150" s="3">
        <v>45994</v>
      </c>
      <c r="CI150">
        <v>3</v>
      </c>
      <c r="CJ150">
        <v>2</v>
      </c>
      <c r="CK150">
        <v>41</v>
      </c>
      <c r="CL150" t="s">
        <v>87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"080069590881"</f>
        <v>080069590881</v>
      </c>
      <c r="F151" s="3">
        <v>45992</v>
      </c>
      <c r="G151">
        <v>202609</v>
      </c>
      <c r="H151" t="s">
        <v>75</v>
      </c>
      <c r="I151" t="s">
        <v>76</v>
      </c>
      <c r="J151" t="s">
        <v>77</v>
      </c>
      <c r="K151" t="s">
        <v>78</v>
      </c>
      <c r="L151" t="s">
        <v>141</v>
      </c>
      <c r="M151" t="s">
        <v>142</v>
      </c>
      <c r="N151" t="s">
        <v>566</v>
      </c>
      <c r="O151" t="s">
        <v>89</v>
      </c>
      <c r="P151" t="str">
        <f>"4170071370                    "</f>
        <v xml:space="preserve">4170071370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44.47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2</v>
      </c>
      <c r="BJ151">
        <v>3.7</v>
      </c>
      <c r="BK151">
        <v>4</v>
      </c>
      <c r="BL151">
        <v>145.53</v>
      </c>
      <c r="BM151">
        <v>21.83</v>
      </c>
      <c r="BN151">
        <v>167.36</v>
      </c>
      <c r="BO151">
        <v>167.36</v>
      </c>
      <c r="BQ151" t="s">
        <v>567</v>
      </c>
      <c r="BR151" t="s">
        <v>82</v>
      </c>
      <c r="BS151" s="3">
        <v>45993</v>
      </c>
      <c r="BT151" s="4">
        <v>0.44236111111111109</v>
      </c>
      <c r="BU151" t="s">
        <v>568</v>
      </c>
      <c r="BV151" t="s">
        <v>87</v>
      </c>
      <c r="BY151">
        <v>18304</v>
      </c>
      <c r="BZ151" t="s">
        <v>125</v>
      </c>
      <c r="CA151" t="s">
        <v>569</v>
      </c>
      <c r="CC151" t="s">
        <v>142</v>
      </c>
      <c r="CD151">
        <v>6056</v>
      </c>
      <c r="CE151" t="s">
        <v>147</v>
      </c>
      <c r="CF151" s="3">
        <v>45993</v>
      </c>
      <c r="CI151">
        <v>1</v>
      </c>
      <c r="CJ151">
        <v>1</v>
      </c>
      <c r="CK151">
        <v>21</v>
      </c>
      <c r="CL151" t="s">
        <v>87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"080069590893"</f>
        <v>080069590893</v>
      </c>
      <c r="F152" s="3">
        <v>45992</v>
      </c>
      <c r="G152">
        <v>202609</v>
      </c>
      <c r="H152" t="s">
        <v>75</v>
      </c>
      <c r="I152" t="s">
        <v>76</v>
      </c>
      <c r="J152" t="s">
        <v>77</v>
      </c>
      <c r="K152" t="s">
        <v>78</v>
      </c>
      <c r="L152" t="s">
        <v>141</v>
      </c>
      <c r="M152" t="s">
        <v>142</v>
      </c>
      <c r="N152" t="s">
        <v>312</v>
      </c>
      <c r="O152" t="s">
        <v>89</v>
      </c>
      <c r="P152" t="str">
        <f>"4170071363                    "</f>
        <v xml:space="preserve">4170071363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22.24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1</v>
      </c>
      <c r="BJ152">
        <v>0.2</v>
      </c>
      <c r="BK152">
        <v>1</v>
      </c>
      <c r="BL152">
        <v>72.78</v>
      </c>
      <c r="BM152">
        <v>10.92</v>
      </c>
      <c r="BN152">
        <v>83.7</v>
      </c>
      <c r="BO152">
        <v>83.7</v>
      </c>
      <c r="BQ152" t="s">
        <v>313</v>
      </c>
      <c r="BR152" t="s">
        <v>82</v>
      </c>
      <c r="BS152" s="3">
        <v>45993</v>
      </c>
      <c r="BT152" s="4">
        <v>0.40138888888888891</v>
      </c>
      <c r="BU152" t="s">
        <v>314</v>
      </c>
      <c r="BV152" t="s">
        <v>84</v>
      </c>
      <c r="BY152">
        <v>1200</v>
      </c>
      <c r="BZ152" t="s">
        <v>125</v>
      </c>
      <c r="CA152" t="s">
        <v>315</v>
      </c>
      <c r="CC152" t="s">
        <v>142</v>
      </c>
      <c r="CD152">
        <v>6001</v>
      </c>
      <c r="CE152" t="s">
        <v>127</v>
      </c>
      <c r="CF152" s="3">
        <v>45993</v>
      </c>
      <c r="CI152">
        <v>1</v>
      </c>
      <c r="CJ152">
        <v>1</v>
      </c>
      <c r="CK152">
        <v>21</v>
      </c>
      <c r="CL152" t="s">
        <v>87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"080069590924"</f>
        <v>080069590924</v>
      </c>
      <c r="F153" s="3">
        <v>45992</v>
      </c>
      <c r="G153">
        <v>202609</v>
      </c>
      <c r="H153" t="s">
        <v>75</v>
      </c>
      <c r="I153" t="s">
        <v>76</v>
      </c>
      <c r="J153" t="s">
        <v>77</v>
      </c>
      <c r="K153" t="s">
        <v>78</v>
      </c>
      <c r="L153" t="s">
        <v>546</v>
      </c>
      <c r="M153" t="s">
        <v>547</v>
      </c>
      <c r="N153" t="s">
        <v>570</v>
      </c>
      <c r="O153" t="s">
        <v>89</v>
      </c>
      <c r="P153" t="str">
        <f>"4170071395                    "</f>
        <v xml:space="preserve">4170071395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43.09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1</v>
      </c>
      <c r="BJ153">
        <v>0.2</v>
      </c>
      <c r="BK153">
        <v>1</v>
      </c>
      <c r="BL153">
        <v>141.02000000000001</v>
      </c>
      <c r="BM153">
        <v>21.15</v>
      </c>
      <c r="BN153">
        <v>162.16999999999999</v>
      </c>
      <c r="BO153">
        <v>162.16999999999999</v>
      </c>
      <c r="BQ153" t="s">
        <v>571</v>
      </c>
      <c r="BR153" t="s">
        <v>82</v>
      </c>
      <c r="BS153" s="3">
        <v>45993</v>
      </c>
      <c r="BT153" s="4">
        <v>0.43402777777777779</v>
      </c>
      <c r="BU153" t="s">
        <v>572</v>
      </c>
      <c r="BV153" t="s">
        <v>84</v>
      </c>
      <c r="BY153">
        <v>1200</v>
      </c>
      <c r="CC153" t="s">
        <v>547</v>
      </c>
      <c r="CD153">
        <v>2302</v>
      </c>
      <c r="CE153" t="s">
        <v>134</v>
      </c>
      <c r="CF153" s="3">
        <v>45994</v>
      </c>
      <c r="CI153">
        <v>1</v>
      </c>
      <c r="CJ153">
        <v>1</v>
      </c>
      <c r="CK153">
        <v>23</v>
      </c>
      <c r="CL153" t="s">
        <v>87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"080069590935"</f>
        <v>080069590935</v>
      </c>
      <c r="F154" s="3">
        <v>45992</v>
      </c>
      <c r="G154">
        <v>202609</v>
      </c>
      <c r="H154" t="s">
        <v>75</v>
      </c>
      <c r="I154" t="s">
        <v>76</v>
      </c>
      <c r="J154" t="s">
        <v>77</v>
      </c>
      <c r="K154" t="s">
        <v>78</v>
      </c>
      <c r="L154" t="s">
        <v>573</v>
      </c>
      <c r="M154" t="s">
        <v>574</v>
      </c>
      <c r="N154" t="s">
        <v>575</v>
      </c>
      <c r="O154" t="s">
        <v>340</v>
      </c>
      <c r="P154" t="str">
        <f>"4170071364                    "</f>
        <v xml:space="preserve">4170071364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17.38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6</v>
      </c>
      <c r="BJ154">
        <v>6.1</v>
      </c>
      <c r="BK154">
        <v>7</v>
      </c>
      <c r="BL154">
        <v>56.87</v>
      </c>
      <c r="BM154">
        <v>8.5299999999999994</v>
      </c>
      <c r="BN154">
        <v>65.400000000000006</v>
      </c>
      <c r="BO154">
        <v>65.400000000000006</v>
      </c>
      <c r="BQ154" t="s">
        <v>576</v>
      </c>
      <c r="BR154" t="s">
        <v>82</v>
      </c>
      <c r="BS154" s="3">
        <v>45993</v>
      </c>
      <c r="BT154" s="4">
        <v>0.38541666666666669</v>
      </c>
      <c r="BU154" t="s">
        <v>577</v>
      </c>
      <c r="BV154" t="s">
        <v>84</v>
      </c>
      <c r="BY154">
        <v>30537</v>
      </c>
      <c r="CA154" t="s">
        <v>578</v>
      </c>
      <c r="CC154" t="s">
        <v>574</v>
      </c>
      <c r="CD154">
        <v>1451</v>
      </c>
      <c r="CE154" t="s">
        <v>86</v>
      </c>
      <c r="CF154" s="3">
        <v>45994</v>
      </c>
      <c r="CI154">
        <v>1</v>
      </c>
      <c r="CJ154">
        <v>1</v>
      </c>
      <c r="CK154">
        <v>32</v>
      </c>
      <c r="CL154" t="s">
        <v>87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"080069590966"</f>
        <v>080069590966</v>
      </c>
      <c r="F155" s="3">
        <v>45992</v>
      </c>
      <c r="G155">
        <v>202609</v>
      </c>
      <c r="H155" t="s">
        <v>75</v>
      </c>
      <c r="I155" t="s">
        <v>76</v>
      </c>
      <c r="J155" t="s">
        <v>77</v>
      </c>
      <c r="K155" t="s">
        <v>78</v>
      </c>
      <c r="L155" t="s">
        <v>389</v>
      </c>
      <c r="M155" t="s">
        <v>390</v>
      </c>
      <c r="N155" t="s">
        <v>579</v>
      </c>
      <c r="O155" t="s">
        <v>89</v>
      </c>
      <c r="P155" t="str">
        <f>"4170071378                    "</f>
        <v xml:space="preserve">4170071378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62.55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3</v>
      </c>
      <c r="BJ155">
        <v>1.4</v>
      </c>
      <c r="BK155">
        <v>3</v>
      </c>
      <c r="BL155">
        <v>204.7</v>
      </c>
      <c r="BM155">
        <v>30.71</v>
      </c>
      <c r="BN155">
        <v>235.41</v>
      </c>
      <c r="BO155">
        <v>235.41</v>
      </c>
      <c r="BQ155" t="s">
        <v>580</v>
      </c>
      <c r="BR155" t="s">
        <v>82</v>
      </c>
      <c r="BS155" s="3">
        <v>45993</v>
      </c>
      <c r="BT155" s="4">
        <v>0.39652777777777776</v>
      </c>
      <c r="BU155" t="s">
        <v>581</v>
      </c>
      <c r="BV155" t="s">
        <v>84</v>
      </c>
      <c r="BY155">
        <v>7200</v>
      </c>
      <c r="CA155" t="s">
        <v>394</v>
      </c>
      <c r="CC155" t="s">
        <v>390</v>
      </c>
      <c r="CD155" s="5" t="s">
        <v>395</v>
      </c>
      <c r="CE155" t="s">
        <v>93</v>
      </c>
      <c r="CF155" s="3">
        <v>45994</v>
      </c>
      <c r="CI155">
        <v>1</v>
      </c>
      <c r="CJ155">
        <v>1</v>
      </c>
      <c r="CK155">
        <v>23</v>
      </c>
      <c r="CL155" t="s">
        <v>87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"080069590973"</f>
        <v>080069590973</v>
      </c>
      <c r="F156" s="3">
        <v>45992</v>
      </c>
      <c r="G156">
        <v>202609</v>
      </c>
      <c r="H156" t="s">
        <v>75</v>
      </c>
      <c r="I156" t="s">
        <v>76</v>
      </c>
      <c r="J156" t="s">
        <v>77</v>
      </c>
      <c r="K156" t="s">
        <v>78</v>
      </c>
      <c r="L156" t="s">
        <v>458</v>
      </c>
      <c r="M156" t="s">
        <v>459</v>
      </c>
      <c r="N156" t="s">
        <v>460</v>
      </c>
      <c r="O156" t="s">
        <v>89</v>
      </c>
      <c r="P156" t="str">
        <f>"4170071393                    "</f>
        <v xml:space="preserve">4170071393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82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4</v>
      </c>
      <c r="BJ156">
        <v>1.4</v>
      </c>
      <c r="BK156">
        <v>4</v>
      </c>
      <c r="BL156">
        <v>268.37</v>
      </c>
      <c r="BM156">
        <v>40.26</v>
      </c>
      <c r="BN156">
        <v>308.63</v>
      </c>
      <c r="BO156">
        <v>308.63</v>
      </c>
      <c r="BQ156" t="s">
        <v>461</v>
      </c>
      <c r="BR156" t="s">
        <v>82</v>
      </c>
      <c r="BS156" s="3">
        <v>45993</v>
      </c>
      <c r="BT156" s="4">
        <v>0.59513888888888888</v>
      </c>
      <c r="BU156" t="s">
        <v>462</v>
      </c>
      <c r="BV156" t="s">
        <v>87</v>
      </c>
      <c r="BY156">
        <v>7000</v>
      </c>
      <c r="CA156" t="s">
        <v>463</v>
      </c>
      <c r="CC156" t="s">
        <v>459</v>
      </c>
      <c r="CD156">
        <v>7130</v>
      </c>
      <c r="CE156" t="s">
        <v>86</v>
      </c>
      <c r="CF156" s="3">
        <v>45994</v>
      </c>
      <c r="CI156">
        <v>1</v>
      </c>
      <c r="CJ156">
        <v>1</v>
      </c>
      <c r="CK156">
        <v>23</v>
      </c>
      <c r="CL156" t="s">
        <v>87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"080069591022"</f>
        <v>080069591022</v>
      </c>
      <c r="F157" s="3">
        <v>45992</v>
      </c>
      <c r="G157">
        <v>202609</v>
      </c>
      <c r="H157" t="s">
        <v>75</v>
      </c>
      <c r="I157" t="s">
        <v>76</v>
      </c>
      <c r="J157" t="s">
        <v>77</v>
      </c>
      <c r="K157" t="s">
        <v>78</v>
      </c>
      <c r="L157" t="s">
        <v>128</v>
      </c>
      <c r="M157" t="s">
        <v>129</v>
      </c>
      <c r="N157" t="s">
        <v>582</v>
      </c>
      <c r="O157" t="s">
        <v>89</v>
      </c>
      <c r="P157" t="str">
        <f>"4170071360                    "</f>
        <v xml:space="preserve">4170071360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22.24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1</v>
      </c>
      <c r="BJ157">
        <v>2</v>
      </c>
      <c r="BK157">
        <v>2</v>
      </c>
      <c r="BL157">
        <v>72.78</v>
      </c>
      <c r="BM157">
        <v>10.92</v>
      </c>
      <c r="BN157">
        <v>83.7</v>
      </c>
      <c r="BO157">
        <v>83.7</v>
      </c>
      <c r="BQ157" t="s">
        <v>583</v>
      </c>
      <c r="BR157" t="s">
        <v>82</v>
      </c>
      <c r="BS157" s="3">
        <v>45994</v>
      </c>
      <c r="BT157" s="4">
        <v>0.68611111111111112</v>
      </c>
      <c r="BU157" t="s">
        <v>584</v>
      </c>
      <c r="BV157" t="s">
        <v>84</v>
      </c>
      <c r="BY157">
        <v>10108</v>
      </c>
      <c r="CA157" t="s">
        <v>133</v>
      </c>
      <c r="CC157" t="s">
        <v>129</v>
      </c>
      <c r="CD157">
        <v>5201</v>
      </c>
      <c r="CE157" t="s">
        <v>86</v>
      </c>
      <c r="CF157" s="3">
        <v>45995</v>
      </c>
      <c r="CI157">
        <v>5</v>
      </c>
      <c r="CJ157">
        <v>2</v>
      </c>
      <c r="CK157">
        <v>21</v>
      </c>
      <c r="CL157" t="s">
        <v>87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"080069591074"</f>
        <v>080069591074</v>
      </c>
      <c r="F158" s="3">
        <v>45992</v>
      </c>
      <c r="G158">
        <v>202609</v>
      </c>
      <c r="H158" t="s">
        <v>75</v>
      </c>
      <c r="I158" t="s">
        <v>76</v>
      </c>
      <c r="J158" t="s">
        <v>77</v>
      </c>
      <c r="K158" t="s">
        <v>78</v>
      </c>
      <c r="L158" t="s">
        <v>141</v>
      </c>
      <c r="M158" t="s">
        <v>142</v>
      </c>
      <c r="N158" t="s">
        <v>585</v>
      </c>
      <c r="O158" t="s">
        <v>89</v>
      </c>
      <c r="P158" t="str">
        <f>"4170071355                    "</f>
        <v xml:space="preserve">4170071355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44.47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2</v>
      </c>
      <c r="BI158">
        <v>4</v>
      </c>
      <c r="BJ158">
        <v>1.2</v>
      </c>
      <c r="BK158">
        <v>4</v>
      </c>
      <c r="BL158">
        <v>145.53</v>
      </c>
      <c r="BM158">
        <v>21.83</v>
      </c>
      <c r="BN158">
        <v>167.36</v>
      </c>
      <c r="BO158">
        <v>167.36</v>
      </c>
      <c r="BQ158" t="s">
        <v>586</v>
      </c>
      <c r="BR158" t="s">
        <v>82</v>
      </c>
      <c r="BS158" s="3">
        <v>45993</v>
      </c>
      <c r="BT158" s="4">
        <v>0.43263888888888891</v>
      </c>
      <c r="BU158" t="s">
        <v>587</v>
      </c>
      <c r="BV158" t="s">
        <v>84</v>
      </c>
      <c r="BY158">
        <v>5820</v>
      </c>
      <c r="BZ158" t="s">
        <v>125</v>
      </c>
      <c r="CA158" t="s">
        <v>569</v>
      </c>
      <c r="CC158" t="s">
        <v>142</v>
      </c>
      <c r="CD158">
        <v>6001</v>
      </c>
      <c r="CE158" t="s">
        <v>93</v>
      </c>
      <c r="CF158" s="3">
        <v>45993</v>
      </c>
      <c r="CI158">
        <v>1</v>
      </c>
      <c r="CJ158">
        <v>1</v>
      </c>
      <c r="CK158">
        <v>21</v>
      </c>
      <c r="CL158" t="s">
        <v>87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"080069591126"</f>
        <v>080069591126</v>
      </c>
      <c r="F159" s="3">
        <v>45992</v>
      </c>
      <c r="G159">
        <v>202609</v>
      </c>
      <c r="H159" t="s">
        <v>75</v>
      </c>
      <c r="I159" t="s">
        <v>76</v>
      </c>
      <c r="J159" t="s">
        <v>77</v>
      </c>
      <c r="K159" t="s">
        <v>78</v>
      </c>
      <c r="L159" t="s">
        <v>302</v>
      </c>
      <c r="M159" t="s">
        <v>303</v>
      </c>
      <c r="N159" t="s">
        <v>588</v>
      </c>
      <c r="O159" t="s">
        <v>80</v>
      </c>
      <c r="P159" t="str">
        <f>"4170071368                    "</f>
        <v xml:space="preserve">4170071368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43.01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4</v>
      </c>
      <c r="BJ159">
        <v>3.1</v>
      </c>
      <c r="BK159">
        <v>4</v>
      </c>
      <c r="BL159">
        <v>146.85</v>
      </c>
      <c r="BM159">
        <v>22.03</v>
      </c>
      <c r="BN159">
        <v>168.88</v>
      </c>
      <c r="BO159">
        <v>168.88</v>
      </c>
      <c r="BQ159" t="s">
        <v>589</v>
      </c>
      <c r="BR159" t="s">
        <v>82</v>
      </c>
      <c r="BS159" t="s">
        <v>500</v>
      </c>
      <c r="BY159">
        <v>15360</v>
      </c>
      <c r="CC159" t="s">
        <v>303</v>
      </c>
      <c r="CD159" s="5" t="s">
        <v>433</v>
      </c>
      <c r="CE159" t="s">
        <v>86</v>
      </c>
      <c r="CI159">
        <v>1</v>
      </c>
      <c r="CJ159" t="s">
        <v>500</v>
      </c>
      <c r="CK159">
        <v>41</v>
      </c>
      <c r="CL159" t="s">
        <v>87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"080069591192"</f>
        <v>080069591192</v>
      </c>
      <c r="F160" s="3">
        <v>45992</v>
      </c>
      <c r="G160">
        <v>202609</v>
      </c>
      <c r="H160" t="s">
        <v>75</v>
      </c>
      <c r="I160" t="s">
        <v>76</v>
      </c>
      <c r="J160" t="s">
        <v>77</v>
      </c>
      <c r="K160" t="s">
        <v>78</v>
      </c>
      <c r="L160" t="s">
        <v>302</v>
      </c>
      <c r="M160" t="s">
        <v>303</v>
      </c>
      <c r="N160" t="s">
        <v>590</v>
      </c>
      <c r="O160" t="s">
        <v>89</v>
      </c>
      <c r="P160" t="str">
        <f>"4170071373                    "</f>
        <v xml:space="preserve">4170071373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22.24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1</v>
      </c>
      <c r="BJ160">
        <v>0.2</v>
      </c>
      <c r="BK160">
        <v>1</v>
      </c>
      <c r="BL160">
        <v>72.78</v>
      </c>
      <c r="BM160">
        <v>10.92</v>
      </c>
      <c r="BN160">
        <v>83.7</v>
      </c>
      <c r="BO160">
        <v>83.7</v>
      </c>
      <c r="BQ160" t="s">
        <v>591</v>
      </c>
      <c r="BR160" t="s">
        <v>82</v>
      </c>
      <c r="BS160" s="3">
        <v>45993</v>
      </c>
      <c r="BT160" s="4">
        <v>0.43333333333333335</v>
      </c>
      <c r="BU160" t="s">
        <v>592</v>
      </c>
      <c r="BV160" t="s">
        <v>84</v>
      </c>
      <c r="BY160">
        <v>1200</v>
      </c>
      <c r="BZ160" t="s">
        <v>125</v>
      </c>
      <c r="CA160">
        <v>8110305701087</v>
      </c>
      <c r="CC160" t="s">
        <v>303</v>
      </c>
      <c r="CD160" s="5" t="s">
        <v>593</v>
      </c>
      <c r="CE160" t="s">
        <v>127</v>
      </c>
      <c r="CF160" s="3">
        <v>45993</v>
      </c>
      <c r="CI160">
        <v>1</v>
      </c>
      <c r="CJ160">
        <v>1</v>
      </c>
      <c r="CK160">
        <v>21</v>
      </c>
      <c r="CL160" t="s">
        <v>87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"080069591318"</f>
        <v>080069591318</v>
      </c>
      <c r="F161" s="3">
        <v>45992</v>
      </c>
      <c r="G161">
        <v>202609</v>
      </c>
      <c r="H161" t="s">
        <v>75</v>
      </c>
      <c r="I161" t="s">
        <v>76</v>
      </c>
      <c r="J161" t="s">
        <v>77</v>
      </c>
      <c r="K161" t="s">
        <v>78</v>
      </c>
      <c r="L161" t="s">
        <v>75</v>
      </c>
      <c r="M161" t="s">
        <v>76</v>
      </c>
      <c r="N161" t="s">
        <v>88</v>
      </c>
      <c r="O161" t="s">
        <v>89</v>
      </c>
      <c r="P161" t="str">
        <f>"4170070716                    "</f>
        <v xml:space="preserve">4170070716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17.37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1</v>
      </c>
      <c r="BJ161">
        <v>0.2</v>
      </c>
      <c r="BK161">
        <v>1</v>
      </c>
      <c r="BL161">
        <v>56.85</v>
      </c>
      <c r="BM161">
        <v>8.5299999999999994</v>
      </c>
      <c r="BN161">
        <v>65.38</v>
      </c>
      <c r="BO161">
        <v>65.38</v>
      </c>
      <c r="BQ161" t="s">
        <v>90</v>
      </c>
      <c r="BR161" t="s">
        <v>82</v>
      </c>
      <c r="BS161" s="3">
        <v>45993</v>
      </c>
      <c r="BT161" s="4">
        <v>0.29166666666666669</v>
      </c>
      <c r="BU161" t="s">
        <v>91</v>
      </c>
      <c r="BV161" t="s">
        <v>84</v>
      </c>
      <c r="BY161">
        <v>1200</v>
      </c>
      <c r="CA161" t="s">
        <v>92</v>
      </c>
      <c r="CC161" t="s">
        <v>76</v>
      </c>
      <c r="CD161">
        <v>1600</v>
      </c>
      <c r="CE161" t="s">
        <v>134</v>
      </c>
      <c r="CF161" s="3">
        <v>45994</v>
      </c>
      <c r="CI161">
        <v>1</v>
      </c>
      <c r="CJ161">
        <v>1</v>
      </c>
      <c r="CK161">
        <v>22</v>
      </c>
      <c r="CL161" t="s">
        <v>87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"080069591427"</f>
        <v>080069591427</v>
      </c>
      <c r="F162" s="3">
        <v>45992</v>
      </c>
      <c r="G162">
        <v>202609</v>
      </c>
      <c r="H162" t="s">
        <v>75</v>
      </c>
      <c r="I162" t="s">
        <v>76</v>
      </c>
      <c r="J162" t="s">
        <v>77</v>
      </c>
      <c r="K162" t="s">
        <v>78</v>
      </c>
      <c r="L162" t="s">
        <v>169</v>
      </c>
      <c r="M162" t="s">
        <v>170</v>
      </c>
      <c r="N162" t="s">
        <v>594</v>
      </c>
      <c r="O162" t="s">
        <v>80</v>
      </c>
      <c r="P162" t="str">
        <f>"4170070477                    "</f>
        <v xml:space="preserve">4170070477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60.65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</v>
      </c>
      <c r="BI162">
        <v>8</v>
      </c>
      <c r="BJ162">
        <v>10.5</v>
      </c>
      <c r="BK162">
        <v>11</v>
      </c>
      <c r="BL162">
        <v>204.6</v>
      </c>
      <c r="BM162">
        <v>30.69</v>
      </c>
      <c r="BN162">
        <v>235.29</v>
      </c>
      <c r="BO162">
        <v>235.29</v>
      </c>
      <c r="BQ162" t="s">
        <v>595</v>
      </c>
      <c r="BR162" t="s">
        <v>82</v>
      </c>
      <c r="BS162" s="3">
        <v>45993</v>
      </c>
      <c r="BT162" s="4">
        <v>0.53333333333333333</v>
      </c>
      <c r="BU162" t="s">
        <v>596</v>
      </c>
      <c r="BV162" t="s">
        <v>84</v>
      </c>
      <c r="BY162">
        <v>52500</v>
      </c>
      <c r="BZ162" t="s">
        <v>404</v>
      </c>
      <c r="CA162">
        <v>8410105735081</v>
      </c>
      <c r="CC162" t="s">
        <v>170</v>
      </c>
      <c r="CD162">
        <v>1020</v>
      </c>
      <c r="CE162" t="s">
        <v>93</v>
      </c>
      <c r="CF162" s="3">
        <v>45993</v>
      </c>
      <c r="CI162">
        <v>1</v>
      </c>
      <c r="CJ162">
        <v>1</v>
      </c>
      <c r="CK162">
        <v>43</v>
      </c>
      <c r="CL162" t="s">
        <v>87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"080011695533"</f>
        <v>080011695533</v>
      </c>
      <c r="F163" s="3">
        <v>45993</v>
      </c>
      <c r="G163">
        <v>202609</v>
      </c>
      <c r="H163" t="s">
        <v>533</v>
      </c>
      <c r="I163" t="s">
        <v>533</v>
      </c>
      <c r="J163" t="s">
        <v>597</v>
      </c>
      <c r="K163" t="s">
        <v>78</v>
      </c>
      <c r="L163" t="s">
        <v>75</v>
      </c>
      <c r="M163" t="s">
        <v>76</v>
      </c>
      <c r="N163" t="s">
        <v>598</v>
      </c>
      <c r="O163" t="s">
        <v>80</v>
      </c>
      <c r="P163" t="str">
        <f>"Neville Nov 28                "</f>
        <v xml:space="preserve">Neville Nov 28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60.65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1</v>
      </c>
      <c r="BJ163">
        <v>0.2</v>
      </c>
      <c r="BK163">
        <v>1</v>
      </c>
      <c r="BL163">
        <v>204.6</v>
      </c>
      <c r="BM163">
        <v>30.69</v>
      </c>
      <c r="BN163">
        <v>235.29</v>
      </c>
      <c r="BO163">
        <v>235.29</v>
      </c>
      <c r="BQ163" t="s">
        <v>599</v>
      </c>
      <c r="BR163" t="s">
        <v>600</v>
      </c>
      <c r="BS163" s="3">
        <v>45995</v>
      </c>
      <c r="BT163" s="4">
        <v>0.43055555555555558</v>
      </c>
      <c r="BU163" t="s">
        <v>601</v>
      </c>
      <c r="BV163" t="s">
        <v>84</v>
      </c>
      <c r="BY163">
        <v>1200</v>
      </c>
      <c r="BZ163" t="s">
        <v>404</v>
      </c>
      <c r="CA163" t="s">
        <v>602</v>
      </c>
      <c r="CC163" t="s">
        <v>76</v>
      </c>
      <c r="CD163">
        <v>1619</v>
      </c>
      <c r="CE163" t="s">
        <v>603</v>
      </c>
      <c r="CF163" s="3">
        <v>45995</v>
      </c>
      <c r="CI163">
        <v>3</v>
      </c>
      <c r="CJ163">
        <v>2</v>
      </c>
      <c r="CK163">
        <v>43</v>
      </c>
      <c r="CL163" t="s">
        <v>87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"080069608246"</f>
        <v>080069608246</v>
      </c>
      <c r="F164" s="3">
        <v>45993</v>
      </c>
      <c r="G164">
        <v>202609</v>
      </c>
      <c r="H164" t="s">
        <v>75</v>
      </c>
      <c r="I164" t="s">
        <v>76</v>
      </c>
      <c r="J164" t="s">
        <v>77</v>
      </c>
      <c r="K164" t="s">
        <v>78</v>
      </c>
      <c r="L164" t="s">
        <v>148</v>
      </c>
      <c r="M164" t="s">
        <v>149</v>
      </c>
      <c r="N164" t="s">
        <v>150</v>
      </c>
      <c r="O164" t="s">
        <v>89</v>
      </c>
      <c r="P164" t="str">
        <f>"4170071382                    "</f>
        <v xml:space="preserve">4170071382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101.46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5</v>
      </c>
      <c r="BJ164">
        <v>1.4</v>
      </c>
      <c r="BK164">
        <v>5</v>
      </c>
      <c r="BL164">
        <v>332.05</v>
      </c>
      <c r="BM164">
        <v>49.81</v>
      </c>
      <c r="BN164">
        <v>381.86</v>
      </c>
      <c r="BO164">
        <v>381.86</v>
      </c>
      <c r="BQ164" t="s">
        <v>151</v>
      </c>
      <c r="BR164" t="s">
        <v>82</v>
      </c>
      <c r="BS164" s="3">
        <v>45994</v>
      </c>
      <c r="BT164" s="4">
        <v>0.49652777777777779</v>
      </c>
      <c r="BU164" t="s">
        <v>152</v>
      </c>
      <c r="BV164" t="s">
        <v>84</v>
      </c>
      <c r="BY164">
        <v>7000</v>
      </c>
      <c r="CA164" t="s">
        <v>155</v>
      </c>
      <c r="CC164" t="s">
        <v>149</v>
      </c>
      <c r="CD164">
        <v>7300</v>
      </c>
      <c r="CE164" t="s">
        <v>86</v>
      </c>
      <c r="CF164" s="3">
        <v>45995</v>
      </c>
      <c r="CI164">
        <v>1</v>
      </c>
      <c r="CJ164">
        <v>1</v>
      </c>
      <c r="CK164">
        <v>23</v>
      </c>
      <c r="CL164" t="s">
        <v>87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"080069611353"</f>
        <v>080069611353</v>
      </c>
      <c r="F165" s="3">
        <v>45993</v>
      </c>
      <c r="G165">
        <v>202609</v>
      </c>
      <c r="H165" t="s">
        <v>75</v>
      </c>
      <c r="I165" t="s">
        <v>76</v>
      </c>
      <c r="J165" t="s">
        <v>77</v>
      </c>
      <c r="K165" t="s">
        <v>78</v>
      </c>
      <c r="L165" t="s">
        <v>176</v>
      </c>
      <c r="M165" t="s">
        <v>177</v>
      </c>
      <c r="N165" t="s">
        <v>410</v>
      </c>
      <c r="O165" t="s">
        <v>89</v>
      </c>
      <c r="P165" t="str">
        <f>"4170071391                    "</f>
        <v xml:space="preserve">4170071391   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17.37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2</v>
      </c>
      <c r="BJ165">
        <v>1.9</v>
      </c>
      <c r="BK165">
        <v>2</v>
      </c>
      <c r="BL165">
        <v>56.85</v>
      </c>
      <c r="BM165">
        <v>8.5299999999999994</v>
      </c>
      <c r="BN165">
        <v>65.38</v>
      </c>
      <c r="BO165">
        <v>65.38</v>
      </c>
      <c r="BQ165" t="s">
        <v>411</v>
      </c>
      <c r="BR165" t="s">
        <v>82</v>
      </c>
      <c r="BS165" s="3">
        <v>45994</v>
      </c>
      <c r="BT165" s="4">
        <v>0.39583333333333331</v>
      </c>
      <c r="BU165" t="s">
        <v>412</v>
      </c>
      <c r="BV165" t="s">
        <v>84</v>
      </c>
      <c r="BY165">
        <v>9576</v>
      </c>
      <c r="CA165" t="s">
        <v>413</v>
      </c>
      <c r="CC165" t="s">
        <v>177</v>
      </c>
      <c r="CD165">
        <v>2013</v>
      </c>
      <c r="CE165" t="s">
        <v>86</v>
      </c>
      <c r="CF165" s="3">
        <v>45995</v>
      </c>
      <c r="CI165">
        <v>1</v>
      </c>
      <c r="CJ165">
        <v>1</v>
      </c>
      <c r="CK165">
        <v>22</v>
      </c>
      <c r="CL165" t="s">
        <v>87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"080069611425"</f>
        <v>080069611425</v>
      </c>
      <c r="F166" s="3">
        <v>45993</v>
      </c>
      <c r="G166">
        <v>202609</v>
      </c>
      <c r="H166" t="s">
        <v>75</v>
      </c>
      <c r="I166" t="s">
        <v>76</v>
      </c>
      <c r="J166" t="s">
        <v>77</v>
      </c>
      <c r="K166" t="s">
        <v>78</v>
      </c>
      <c r="L166" t="s">
        <v>141</v>
      </c>
      <c r="M166" t="s">
        <v>142</v>
      </c>
      <c r="N166" t="s">
        <v>604</v>
      </c>
      <c r="O166" t="s">
        <v>89</v>
      </c>
      <c r="P166" t="str">
        <f>"4170071388                    "</f>
        <v xml:space="preserve">4170071388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94.48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8.3000000000000007</v>
      </c>
      <c r="BJ166">
        <v>7.7</v>
      </c>
      <c r="BK166">
        <v>8.5</v>
      </c>
      <c r="BL166">
        <v>309.20999999999998</v>
      </c>
      <c r="BM166">
        <v>46.38</v>
      </c>
      <c r="BN166">
        <v>355.59</v>
      </c>
      <c r="BO166">
        <v>355.59</v>
      </c>
      <c r="BQ166" t="s">
        <v>605</v>
      </c>
      <c r="BR166" t="s">
        <v>82</v>
      </c>
      <c r="BS166" s="3">
        <v>45994</v>
      </c>
      <c r="BT166" s="4">
        <v>0.38819444444444445</v>
      </c>
      <c r="BU166" t="s">
        <v>606</v>
      </c>
      <c r="BV166" t="s">
        <v>84</v>
      </c>
      <c r="BY166">
        <v>38391.599999999999</v>
      </c>
      <c r="CA166" t="s">
        <v>315</v>
      </c>
      <c r="CC166" t="s">
        <v>142</v>
      </c>
      <c r="CD166">
        <v>6070</v>
      </c>
      <c r="CE166" t="s">
        <v>86</v>
      </c>
      <c r="CF166" s="3">
        <v>45994</v>
      </c>
      <c r="CI166">
        <v>1</v>
      </c>
      <c r="CJ166">
        <v>1</v>
      </c>
      <c r="CK166">
        <v>21</v>
      </c>
      <c r="CL166" t="s">
        <v>87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"080069611475"</f>
        <v>080069611475</v>
      </c>
      <c r="F167" s="3">
        <v>45993</v>
      </c>
      <c r="G167">
        <v>202609</v>
      </c>
      <c r="H167" t="s">
        <v>75</v>
      </c>
      <c r="I167" t="s">
        <v>76</v>
      </c>
      <c r="J167" t="s">
        <v>77</v>
      </c>
      <c r="K167" t="s">
        <v>78</v>
      </c>
      <c r="L167" t="s">
        <v>141</v>
      </c>
      <c r="M167" t="s">
        <v>142</v>
      </c>
      <c r="N167" t="s">
        <v>585</v>
      </c>
      <c r="O167" t="s">
        <v>89</v>
      </c>
      <c r="P167" t="str">
        <f>"4170071362                    "</f>
        <v xml:space="preserve">4170071362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155.61000000000001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3</v>
      </c>
      <c r="BI167">
        <v>14</v>
      </c>
      <c r="BJ167">
        <v>12.2</v>
      </c>
      <c r="BK167">
        <v>14</v>
      </c>
      <c r="BL167">
        <v>509.27</v>
      </c>
      <c r="BM167">
        <v>76.39</v>
      </c>
      <c r="BN167">
        <v>585.66</v>
      </c>
      <c r="BO167">
        <v>585.66</v>
      </c>
      <c r="BQ167" t="s">
        <v>586</v>
      </c>
      <c r="BR167" t="s">
        <v>82</v>
      </c>
      <c r="BS167" s="3">
        <v>45994</v>
      </c>
      <c r="BT167" s="4">
        <v>0.42291666666666666</v>
      </c>
      <c r="BU167" t="s">
        <v>607</v>
      </c>
      <c r="BV167" t="s">
        <v>84</v>
      </c>
      <c r="BY167">
        <v>60773</v>
      </c>
      <c r="CA167" t="s">
        <v>569</v>
      </c>
      <c r="CC167" t="s">
        <v>142</v>
      </c>
      <c r="CD167">
        <v>6001</v>
      </c>
      <c r="CE167" t="s">
        <v>86</v>
      </c>
      <c r="CF167" s="3">
        <v>45994</v>
      </c>
      <c r="CI167">
        <v>1</v>
      </c>
      <c r="CJ167">
        <v>1</v>
      </c>
      <c r="CK167">
        <v>21</v>
      </c>
      <c r="CL167" t="s">
        <v>87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"080069611693"</f>
        <v>080069611693</v>
      </c>
      <c r="F168" s="3">
        <v>45993</v>
      </c>
      <c r="G168">
        <v>202609</v>
      </c>
      <c r="H168" t="s">
        <v>75</v>
      </c>
      <c r="I168" t="s">
        <v>76</v>
      </c>
      <c r="J168" t="s">
        <v>77</v>
      </c>
      <c r="K168" t="s">
        <v>78</v>
      </c>
      <c r="L168" t="s">
        <v>608</v>
      </c>
      <c r="M168" t="s">
        <v>609</v>
      </c>
      <c r="N168" t="s">
        <v>610</v>
      </c>
      <c r="O168" t="s">
        <v>89</v>
      </c>
      <c r="P168" t="str">
        <f>"4170071376                    "</f>
        <v xml:space="preserve">4170071376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159.83000000000001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8</v>
      </c>
      <c r="BJ168">
        <v>6.2</v>
      </c>
      <c r="BK168">
        <v>8</v>
      </c>
      <c r="BL168">
        <v>523.08000000000004</v>
      </c>
      <c r="BM168">
        <v>78.459999999999994</v>
      </c>
      <c r="BN168">
        <v>601.54</v>
      </c>
      <c r="BO168">
        <v>601.54</v>
      </c>
      <c r="BQ168" t="s">
        <v>611</v>
      </c>
      <c r="BR168" t="s">
        <v>82</v>
      </c>
      <c r="BS168" s="3">
        <v>45994</v>
      </c>
      <c r="BT168" s="4">
        <v>0.52986111111111112</v>
      </c>
      <c r="BU168" t="s">
        <v>612</v>
      </c>
      <c r="BV168" t="s">
        <v>84</v>
      </c>
      <c r="BY168">
        <v>31200</v>
      </c>
      <c r="CA168" t="s">
        <v>613</v>
      </c>
      <c r="CC168" t="s">
        <v>609</v>
      </c>
      <c r="CD168">
        <v>6850</v>
      </c>
      <c r="CE168" t="s">
        <v>93</v>
      </c>
      <c r="CF168" s="3">
        <v>45995</v>
      </c>
      <c r="CI168">
        <v>2</v>
      </c>
      <c r="CJ168">
        <v>1</v>
      </c>
      <c r="CK168">
        <v>23</v>
      </c>
      <c r="CL168" t="s">
        <v>87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"080069611741"</f>
        <v>080069611741</v>
      </c>
      <c r="F169" s="3">
        <v>45993</v>
      </c>
      <c r="G169">
        <v>202609</v>
      </c>
      <c r="H169" t="s">
        <v>75</v>
      </c>
      <c r="I169" t="s">
        <v>76</v>
      </c>
      <c r="J169" t="s">
        <v>77</v>
      </c>
      <c r="K169" t="s">
        <v>78</v>
      </c>
      <c r="L169" t="s">
        <v>141</v>
      </c>
      <c r="M169" t="s">
        <v>142</v>
      </c>
      <c r="N169" t="s">
        <v>614</v>
      </c>
      <c r="O169" t="s">
        <v>89</v>
      </c>
      <c r="P169" t="str">
        <f>"4170071397                    "</f>
        <v xml:space="preserve">4170071397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22.24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1</v>
      </c>
      <c r="BJ169">
        <v>0.2</v>
      </c>
      <c r="BK169">
        <v>1</v>
      </c>
      <c r="BL169">
        <v>72.78</v>
      </c>
      <c r="BM169">
        <v>10.92</v>
      </c>
      <c r="BN169">
        <v>83.7</v>
      </c>
      <c r="BO169">
        <v>83.7</v>
      </c>
      <c r="BQ169" t="s">
        <v>615</v>
      </c>
      <c r="BR169" t="s">
        <v>82</v>
      </c>
      <c r="BS169" s="3">
        <v>45994</v>
      </c>
      <c r="BT169" s="4">
        <v>0.41805555555555557</v>
      </c>
      <c r="BU169" t="s">
        <v>616</v>
      </c>
      <c r="BV169" t="s">
        <v>84</v>
      </c>
      <c r="BY169">
        <v>1200</v>
      </c>
      <c r="CA169" t="s">
        <v>277</v>
      </c>
      <c r="CC169" t="s">
        <v>142</v>
      </c>
      <c r="CD169">
        <v>6001</v>
      </c>
      <c r="CE169" t="s">
        <v>134</v>
      </c>
      <c r="CF169" s="3">
        <v>45994</v>
      </c>
      <c r="CI169">
        <v>1</v>
      </c>
      <c r="CJ169">
        <v>1</v>
      </c>
      <c r="CK169">
        <v>21</v>
      </c>
      <c r="CL169" t="s">
        <v>87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"080069612063"</f>
        <v>080069612063</v>
      </c>
      <c r="F170" s="3">
        <v>45993</v>
      </c>
      <c r="G170">
        <v>202609</v>
      </c>
      <c r="H170" t="s">
        <v>75</v>
      </c>
      <c r="I170" t="s">
        <v>76</v>
      </c>
      <c r="J170" t="s">
        <v>77</v>
      </c>
      <c r="K170" t="s">
        <v>78</v>
      </c>
      <c r="L170" t="s">
        <v>141</v>
      </c>
      <c r="M170" t="s">
        <v>142</v>
      </c>
      <c r="N170" t="s">
        <v>566</v>
      </c>
      <c r="O170" t="s">
        <v>80</v>
      </c>
      <c r="P170" t="str">
        <f>"4170071365                    "</f>
        <v xml:space="preserve">4170071365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238.54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5</v>
      </c>
      <c r="BI170">
        <v>97.7</v>
      </c>
      <c r="BJ170">
        <v>124.9</v>
      </c>
      <c r="BK170">
        <v>125</v>
      </c>
      <c r="BL170">
        <v>786.78</v>
      </c>
      <c r="BM170">
        <v>118.02</v>
      </c>
      <c r="BN170">
        <v>904.8</v>
      </c>
      <c r="BO170">
        <v>904.8</v>
      </c>
      <c r="BQ170" t="s">
        <v>567</v>
      </c>
      <c r="BR170" t="s">
        <v>82</v>
      </c>
      <c r="BS170" t="s">
        <v>500</v>
      </c>
      <c r="BY170">
        <v>624488.24</v>
      </c>
      <c r="CC170" t="s">
        <v>142</v>
      </c>
      <c r="CD170">
        <v>6056</v>
      </c>
      <c r="CE170" t="s">
        <v>86</v>
      </c>
      <c r="CI170">
        <v>3</v>
      </c>
      <c r="CJ170" t="s">
        <v>500</v>
      </c>
      <c r="CK170">
        <v>41</v>
      </c>
      <c r="CL170" t="s">
        <v>87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"080069612415"</f>
        <v>080069612415</v>
      </c>
      <c r="F171" s="3">
        <v>45993</v>
      </c>
      <c r="G171">
        <v>202609</v>
      </c>
      <c r="H171" t="s">
        <v>75</v>
      </c>
      <c r="I171" t="s">
        <v>76</v>
      </c>
      <c r="J171" t="s">
        <v>77</v>
      </c>
      <c r="K171" t="s">
        <v>78</v>
      </c>
      <c r="L171" t="s">
        <v>141</v>
      </c>
      <c r="M171" t="s">
        <v>142</v>
      </c>
      <c r="N171" t="s">
        <v>486</v>
      </c>
      <c r="O171" t="s">
        <v>89</v>
      </c>
      <c r="P171" t="str">
        <f>"4170071402                    "</f>
        <v xml:space="preserve">4170071402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138.94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8.4</v>
      </c>
      <c r="BJ171">
        <v>12.4</v>
      </c>
      <c r="BK171">
        <v>12.5</v>
      </c>
      <c r="BL171">
        <v>454.71</v>
      </c>
      <c r="BM171">
        <v>68.209999999999994</v>
      </c>
      <c r="BN171">
        <v>522.91999999999996</v>
      </c>
      <c r="BO171">
        <v>522.91999999999996</v>
      </c>
      <c r="BQ171" t="s">
        <v>487</v>
      </c>
      <c r="BR171" t="s">
        <v>82</v>
      </c>
      <c r="BS171" s="3">
        <v>45994</v>
      </c>
      <c r="BT171" s="4">
        <v>0.42083333333333334</v>
      </c>
      <c r="BU171" t="s">
        <v>617</v>
      </c>
      <c r="BV171" t="s">
        <v>84</v>
      </c>
      <c r="BY171">
        <v>61968.06</v>
      </c>
      <c r="CA171" t="s">
        <v>489</v>
      </c>
      <c r="CC171" t="s">
        <v>142</v>
      </c>
      <c r="CD171">
        <v>6012</v>
      </c>
      <c r="CE171" t="s">
        <v>93</v>
      </c>
      <c r="CF171" s="3">
        <v>45994</v>
      </c>
      <c r="CI171">
        <v>1</v>
      </c>
      <c r="CJ171">
        <v>1</v>
      </c>
      <c r="CK171">
        <v>21</v>
      </c>
      <c r="CL171" t="s">
        <v>87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"080069612439"</f>
        <v>080069612439</v>
      </c>
      <c r="F172" s="3">
        <v>45993</v>
      </c>
      <c r="G172">
        <v>202609</v>
      </c>
      <c r="H172" t="s">
        <v>75</v>
      </c>
      <c r="I172" t="s">
        <v>76</v>
      </c>
      <c r="J172" t="s">
        <v>77</v>
      </c>
      <c r="K172" t="s">
        <v>78</v>
      </c>
      <c r="L172" t="s">
        <v>141</v>
      </c>
      <c r="M172" t="s">
        <v>142</v>
      </c>
      <c r="N172" t="s">
        <v>486</v>
      </c>
      <c r="O172" t="s">
        <v>89</v>
      </c>
      <c r="P172" t="str">
        <f>"4170071401                    "</f>
        <v xml:space="preserve">4170071401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88.92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5.6</v>
      </c>
      <c r="BJ172">
        <v>7.6</v>
      </c>
      <c r="BK172">
        <v>8</v>
      </c>
      <c r="BL172">
        <v>291.02</v>
      </c>
      <c r="BM172">
        <v>43.65</v>
      </c>
      <c r="BN172">
        <v>334.67</v>
      </c>
      <c r="BO172">
        <v>334.67</v>
      </c>
      <c r="BQ172" t="s">
        <v>487</v>
      </c>
      <c r="BR172" t="s">
        <v>82</v>
      </c>
      <c r="BS172" s="3">
        <v>45994</v>
      </c>
      <c r="BT172" s="4">
        <v>0.42152777777777778</v>
      </c>
      <c r="BU172" t="s">
        <v>617</v>
      </c>
      <c r="BV172" t="s">
        <v>84</v>
      </c>
      <c r="BY172">
        <v>38214</v>
      </c>
      <c r="CA172" t="s">
        <v>489</v>
      </c>
      <c r="CC172" t="s">
        <v>142</v>
      </c>
      <c r="CD172">
        <v>6012</v>
      </c>
      <c r="CE172" t="s">
        <v>93</v>
      </c>
      <c r="CF172" s="3">
        <v>45994</v>
      </c>
      <c r="CI172">
        <v>1</v>
      </c>
      <c r="CJ172">
        <v>1</v>
      </c>
      <c r="CK172">
        <v>21</v>
      </c>
      <c r="CL172" t="s">
        <v>87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"080069612485"</f>
        <v>080069612485</v>
      </c>
      <c r="F173" s="3">
        <v>45993</v>
      </c>
      <c r="G173">
        <v>202609</v>
      </c>
      <c r="H173" t="s">
        <v>75</v>
      </c>
      <c r="I173" t="s">
        <v>76</v>
      </c>
      <c r="J173" t="s">
        <v>77</v>
      </c>
      <c r="K173" t="s">
        <v>78</v>
      </c>
      <c r="L173" t="s">
        <v>618</v>
      </c>
      <c r="M173" t="s">
        <v>619</v>
      </c>
      <c r="N173" t="s">
        <v>620</v>
      </c>
      <c r="O173" t="s">
        <v>89</v>
      </c>
      <c r="P173" t="str">
        <f>"4170071367                    "</f>
        <v xml:space="preserve">4170071367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33.35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0.8</v>
      </c>
      <c r="BJ173">
        <v>2.6</v>
      </c>
      <c r="BK173">
        <v>3</v>
      </c>
      <c r="BL173">
        <v>109.15</v>
      </c>
      <c r="BM173">
        <v>16.37</v>
      </c>
      <c r="BN173">
        <v>125.52</v>
      </c>
      <c r="BO173">
        <v>125.52</v>
      </c>
      <c r="BQ173" t="s">
        <v>621</v>
      </c>
      <c r="BR173" t="s">
        <v>82</v>
      </c>
      <c r="BS173" s="3">
        <v>45994</v>
      </c>
      <c r="BT173" s="4">
        <v>0.375</v>
      </c>
      <c r="BU173" t="s">
        <v>622</v>
      </c>
      <c r="BV173" t="s">
        <v>84</v>
      </c>
      <c r="BY173">
        <v>13145.85</v>
      </c>
      <c r="CA173" t="s">
        <v>623</v>
      </c>
      <c r="CC173" t="s">
        <v>619</v>
      </c>
      <c r="CD173">
        <v>4026</v>
      </c>
      <c r="CE173" t="s">
        <v>86</v>
      </c>
      <c r="CF173" s="3">
        <v>45995</v>
      </c>
      <c r="CI173">
        <v>1</v>
      </c>
      <c r="CJ173">
        <v>1</v>
      </c>
      <c r="CK173">
        <v>21</v>
      </c>
      <c r="CL173" t="s">
        <v>87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"080069612521"</f>
        <v>080069612521</v>
      </c>
      <c r="F174" s="3">
        <v>45993</v>
      </c>
      <c r="G174">
        <v>202609</v>
      </c>
      <c r="H174" t="s">
        <v>75</v>
      </c>
      <c r="I174" t="s">
        <v>76</v>
      </c>
      <c r="J174" t="s">
        <v>77</v>
      </c>
      <c r="K174" t="s">
        <v>78</v>
      </c>
      <c r="L174" t="s">
        <v>176</v>
      </c>
      <c r="M174" t="s">
        <v>177</v>
      </c>
      <c r="N174" t="s">
        <v>624</v>
      </c>
      <c r="O174" t="s">
        <v>340</v>
      </c>
      <c r="P174" t="str">
        <f>"4170071377                    "</f>
        <v xml:space="preserve">4170071377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17.38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5</v>
      </c>
      <c r="BJ174">
        <v>1.7</v>
      </c>
      <c r="BK174">
        <v>5</v>
      </c>
      <c r="BL174">
        <v>56.87</v>
      </c>
      <c r="BM174">
        <v>8.5299999999999994</v>
      </c>
      <c r="BN174">
        <v>65.400000000000006</v>
      </c>
      <c r="BO174">
        <v>65.400000000000006</v>
      </c>
      <c r="BQ174" t="s">
        <v>625</v>
      </c>
      <c r="BR174" t="s">
        <v>82</v>
      </c>
      <c r="BS174" s="3">
        <v>45994</v>
      </c>
      <c r="BT174" s="4">
        <v>0.47361111111111109</v>
      </c>
      <c r="BU174" t="s">
        <v>626</v>
      </c>
      <c r="BV174" t="s">
        <v>84</v>
      </c>
      <c r="BY174">
        <v>8436</v>
      </c>
      <c r="CA174" t="s">
        <v>182</v>
      </c>
      <c r="CC174" t="s">
        <v>177</v>
      </c>
      <c r="CD174">
        <v>2197</v>
      </c>
      <c r="CE174" t="s">
        <v>93</v>
      </c>
      <c r="CF174" s="3">
        <v>45994</v>
      </c>
      <c r="CI174">
        <v>1</v>
      </c>
      <c r="CJ174">
        <v>1</v>
      </c>
      <c r="CK174">
        <v>32</v>
      </c>
      <c r="CL174" t="s">
        <v>87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"080069613092"</f>
        <v>080069613092</v>
      </c>
      <c r="F175" s="3">
        <v>45993</v>
      </c>
      <c r="G175">
        <v>202609</v>
      </c>
      <c r="H175" t="s">
        <v>75</v>
      </c>
      <c r="I175" t="s">
        <v>76</v>
      </c>
      <c r="J175" t="s">
        <v>77</v>
      </c>
      <c r="K175" t="s">
        <v>78</v>
      </c>
      <c r="L175" t="s">
        <v>156</v>
      </c>
      <c r="M175" t="s">
        <v>157</v>
      </c>
      <c r="N175" t="s">
        <v>627</v>
      </c>
      <c r="O175" t="s">
        <v>80</v>
      </c>
      <c r="P175" t="str">
        <f>"009943879298                  "</f>
        <v xml:space="preserve">009943879298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51.89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19.3</v>
      </c>
      <c r="BJ175">
        <v>17.100000000000001</v>
      </c>
      <c r="BK175">
        <v>20</v>
      </c>
      <c r="BL175">
        <v>175.93</v>
      </c>
      <c r="BM175">
        <v>26.39</v>
      </c>
      <c r="BN175">
        <v>202.32</v>
      </c>
      <c r="BO175">
        <v>202.32</v>
      </c>
      <c r="BQ175" t="s">
        <v>628</v>
      </c>
      <c r="BR175" t="s">
        <v>82</v>
      </c>
      <c r="BS175" s="3">
        <v>45995</v>
      </c>
      <c r="BT175" s="4">
        <v>0.61111111111111116</v>
      </c>
      <c r="BU175" t="s">
        <v>629</v>
      </c>
      <c r="BV175" t="s">
        <v>84</v>
      </c>
      <c r="BY175">
        <v>85451.520000000004</v>
      </c>
      <c r="CC175" t="s">
        <v>157</v>
      </c>
      <c r="CD175">
        <v>7535</v>
      </c>
      <c r="CE175" t="s">
        <v>86</v>
      </c>
      <c r="CF175" s="3">
        <v>45999</v>
      </c>
      <c r="CI175">
        <v>3</v>
      </c>
      <c r="CJ175">
        <v>2</v>
      </c>
      <c r="CK175">
        <v>41</v>
      </c>
      <c r="CL175" t="s">
        <v>87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"080069613167"</f>
        <v>080069613167</v>
      </c>
      <c r="F176" s="3">
        <v>45993</v>
      </c>
      <c r="G176">
        <v>202609</v>
      </c>
      <c r="H176" t="s">
        <v>75</v>
      </c>
      <c r="I176" t="s">
        <v>76</v>
      </c>
      <c r="J176" t="s">
        <v>77</v>
      </c>
      <c r="K176" t="s">
        <v>78</v>
      </c>
      <c r="L176" t="s">
        <v>141</v>
      </c>
      <c r="M176" t="s">
        <v>142</v>
      </c>
      <c r="N176" t="s">
        <v>486</v>
      </c>
      <c r="O176" t="s">
        <v>89</v>
      </c>
      <c r="P176" t="str">
        <f>"4170071399                    "</f>
        <v xml:space="preserve">4170071399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66.7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3.6</v>
      </c>
      <c r="BJ176">
        <v>5.8</v>
      </c>
      <c r="BK176">
        <v>6</v>
      </c>
      <c r="BL176">
        <v>218.28</v>
      </c>
      <c r="BM176">
        <v>32.74</v>
      </c>
      <c r="BN176">
        <v>251.02</v>
      </c>
      <c r="BO176">
        <v>251.02</v>
      </c>
      <c r="BQ176" t="s">
        <v>487</v>
      </c>
      <c r="BR176" t="s">
        <v>82</v>
      </c>
      <c r="BS176" s="3">
        <v>45994</v>
      </c>
      <c r="BT176" s="4">
        <v>0.42083333333333334</v>
      </c>
      <c r="BU176" t="s">
        <v>617</v>
      </c>
      <c r="BV176" t="s">
        <v>84</v>
      </c>
      <c r="BY176">
        <v>29114.52</v>
      </c>
      <c r="CA176" t="s">
        <v>489</v>
      </c>
      <c r="CC176" t="s">
        <v>142</v>
      </c>
      <c r="CD176">
        <v>6012</v>
      </c>
      <c r="CE176" t="s">
        <v>93</v>
      </c>
      <c r="CF176" s="3">
        <v>45994</v>
      </c>
      <c r="CI176">
        <v>1</v>
      </c>
      <c r="CJ176">
        <v>1</v>
      </c>
      <c r="CK176">
        <v>21</v>
      </c>
      <c r="CL176" t="s">
        <v>87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"080069613223"</f>
        <v>080069613223</v>
      </c>
      <c r="F177" s="3">
        <v>45993</v>
      </c>
      <c r="G177">
        <v>202609</v>
      </c>
      <c r="H177" t="s">
        <v>75</v>
      </c>
      <c r="I177" t="s">
        <v>76</v>
      </c>
      <c r="J177" t="s">
        <v>77</v>
      </c>
      <c r="K177" t="s">
        <v>78</v>
      </c>
      <c r="L177" t="s">
        <v>618</v>
      </c>
      <c r="M177" t="s">
        <v>619</v>
      </c>
      <c r="N177" t="s">
        <v>620</v>
      </c>
      <c r="O177" t="s">
        <v>89</v>
      </c>
      <c r="P177" t="str">
        <f>"4170071406                    "</f>
        <v xml:space="preserve">4170071406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22.24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1</v>
      </c>
      <c r="BJ177">
        <v>1.1000000000000001</v>
      </c>
      <c r="BK177">
        <v>1.5</v>
      </c>
      <c r="BL177">
        <v>72.78</v>
      </c>
      <c r="BM177">
        <v>10.92</v>
      </c>
      <c r="BN177">
        <v>83.7</v>
      </c>
      <c r="BO177">
        <v>83.7</v>
      </c>
      <c r="BQ177" t="s">
        <v>621</v>
      </c>
      <c r="BR177" t="s">
        <v>82</v>
      </c>
      <c r="BS177" s="3">
        <v>45994</v>
      </c>
      <c r="BT177" s="4">
        <v>0.37569444444444444</v>
      </c>
      <c r="BU177" t="s">
        <v>622</v>
      </c>
      <c r="BV177" t="s">
        <v>84</v>
      </c>
      <c r="BY177">
        <v>5510</v>
      </c>
      <c r="CA177" t="s">
        <v>623</v>
      </c>
      <c r="CC177" t="s">
        <v>619</v>
      </c>
      <c r="CD177">
        <v>4026</v>
      </c>
      <c r="CE177" t="s">
        <v>86</v>
      </c>
      <c r="CF177" s="3">
        <v>45995</v>
      </c>
      <c r="CI177">
        <v>1</v>
      </c>
      <c r="CJ177">
        <v>1</v>
      </c>
      <c r="CK177">
        <v>21</v>
      </c>
      <c r="CL177" t="s">
        <v>87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"080069613260"</f>
        <v>080069613260</v>
      </c>
      <c r="F178" s="3">
        <v>45993</v>
      </c>
      <c r="G178">
        <v>202609</v>
      </c>
      <c r="H178" t="s">
        <v>75</v>
      </c>
      <c r="I178" t="s">
        <v>76</v>
      </c>
      <c r="J178" t="s">
        <v>77</v>
      </c>
      <c r="K178" t="s">
        <v>78</v>
      </c>
      <c r="L178" t="s">
        <v>141</v>
      </c>
      <c r="M178" t="s">
        <v>142</v>
      </c>
      <c r="N178" t="s">
        <v>630</v>
      </c>
      <c r="O178" t="s">
        <v>89</v>
      </c>
      <c r="P178" t="str">
        <f>"4170071398                    "</f>
        <v xml:space="preserve">4170071398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22.24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1</v>
      </c>
      <c r="BJ178">
        <v>0.2</v>
      </c>
      <c r="BK178">
        <v>1</v>
      </c>
      <c r="BL178">
        <v>72.78</v>
      </c>
      <c r="BM178">
        <v>10.92</v>
      </c>
      <c r="BN178">
        <v>83.7</v>
      </c>
      <c r="BO178">
        <v>83.7</v>
      </c>
      <c r="BQ178" t="s">
        <v>631</v>
      </c>
      <c r="BR178" t="s">
        <v>82</v>
      </c>
      <c r="BS178" s="3">
        <v>45994</v>
      </c>
      <c r="BT178" s="4">
        <v>0.37847222222222221</v>
      </c>
      <c r="BU178" t="s">
        <v>360</v>
      </c>
      <c r="BV178" t="s">
        <v>84</v>
      </c>
      <c r="BY178">
        <v>1200</v>
      </c>
      <c r="CA178" t="s">
        <v>489</v>
      </c>
      <c r="CC178" t="s">
        <v>142</v>
      </c>
      <c r="CD178">
        <v>6001</v>
      </c>
      <c r="CE178" t="s">
        <v>134</v>
      </c>
      <c r="CF178" s="3">
        <v>45994</v>
      </c>
      <c r="CI178">
        <v>1</v>
      </c>
      <c r="CJ178">
        <v>1</v>
      </c>
      <c r="CK178">
        <v>21</v>
      </c>
      <c r="CL178" t="s">
        <v>87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"080069613282"</f>
        <v>080069613282</v>
      </c>
      <c r="F179" s="3">
        <v>45993</v>
      </c>
      <c r="G179">
        <v>202609</v>
      </c>
      <c r="H179" t="s">
        <v>75</v>
      </c>
      <c r="I179" t="s">
        <v>76</v>
      </c>
      <c r="J179" t="s">
        <v>77</v>
      </c>
      <c r="K179" t="s">
        <v>78</v>
      </c>
      <c r="L179" t="s">
        <v>141</v>
      </c>
      <c r="M179" t="s">
        <v>142</v>
      </c>
      <c r="N179" t="s">
        <v>486</v>
      </c>
      <c r="O179" t="s">
        <v>89</v>
      </c>
      <c r="P179" t="str">
        <f>"4170071400                    "</f>
        <v xml:space="preserve">4170071400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50.02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2.2999999999999998</v>
      </c>
      <c r="BJ179">
        <v>4.3</v>
      </c>
      <c r="BK179">
        <v>4.5</v>
      </c>
      <c r="BL179">
        <v>163.71</v>
      </c>
      <c r="BM179">
        <v>24.56</v>
      </c>
      <c r="BN179">
        <v>188.27</v>
      </c>
      <c r="BO179">
        <v>188.27</v>
      </c>
      <c r="BQ179" t="s">
        <v>487</v>
      </c>
      <c r="BR179" t="s">
        <v>82</v>
      </c>
      <c r="BS179" s="3">
        <v>45994</v>
      </c>
      <c r="BT179" s="4">
        <v>0.42152777777777778</v>
      </c>
      <c r="BU179" t="s">
        <v>617</v>
      </c>
      <c r="BV179" t="s">
        <v>84</v>
      </c>
      <c r="BY179">
        <v>21542.400000000001</v>
      </c>
      <c r="CA179" t="s">
        <v>489</v>
      </c>
      <c r="CC179" t="s">
        <v>142</v>
      </c>
      <c r="CD179">
        <v>6012</v>
      </c>
      <c r="CE179" t="s">
        <v>93</v>
      </c>
      <c r="CF179" s="3">
        <v>45994</v>
      </c>
      <c r="CI179">
        <v>1</v>
      </c>
      <c r="CJ179">
        <v>1</v>
      </c>
      <c r="CK179">
        <v>21</v>
      </c>
      <c r="CL179" t="s">
        <v>87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"080069613317"</f>
        <v>080069613317</v>
      </c>
      <c r="F180" s="3">
        <v>45993</v>
      </c>
      <c r="G180">
        <v>202609</v>
      </c>
      <c r="H180" t="s">
        <v>75</v>
      </c>
      <c r="I180" t="s">
        <v>76</v>
      </c>
      <c r="J180" t="s">
        <v>77</v>
      </c>
      <c r="K180" t="s">
        <v>78</v>
      </c>
      <c r="L180" t="s">
        <v>109</v>
      </c>
      <c r="M180" t="s">
        <v>110</v>
      </c>
      <c r="N180" t="s">
        <v>511</v>
      </c>
      <c r="O180" t="s">
        <v>89</v>
      </c>
      <c r="P180" t="str">
        <f>"4170071230                    "</f>
        <v xml:space="preserve">4170071230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46.51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3</v>
      </c>
      <c r="BJ180">
        <v>1.4</v>
      </c>
      <c r="BK180">
        <v>3</v>
      </c>
      <c r="BL180">
        <v>152.21</v>
      </c>
      <c r="BM180">
        <v>22.83</v>
      </c>
      <c r="BN180">
        <v>175.04</v>
      </c>
      <c r="BO180">
        <v>175.04</v>
      </c>
      <c r="BQ180" t="s">
        <v>512</v>
      </c>
      <c r="BR180" t="s">
        <v>82</v>
      </c>
      <c r="BS180" s="3">
        <v>45994</v>
      </c>
      <c r="BT180" s="4">
        <v>0.5541666666666667</v>
      </c>
      <c r="BU180" t="s">
        <v>632</v>
      </c>
      <c r="BV180" t="s">
        <v>87</v>
      </c>
      <c r="BW180" t="s">
        <v>174</v>
      </c>
      <c r="BX180" t="s">
        <v>633</v>
      </c>
      <c r="BY180">
        <v>7000</v>
      </c>
      <c r="CA180" t="s">
        <v>634</v>
      </c>
      <c r="CC180" t="s">
        <v>110</v>
      </c>
      <c r="CD180">
        <v>1748</v>
      </c>
      <c r="CE180" t="s">
        <v>86</v>
      </c>
      <c r="CF180" s="3">
        <v>45995</v>
      </c>
      <c r="CI180">
        <v>1</v>
      </c>
      <c r="CJ180">
        <v>1</v>
      </c>
      <c r="CK180">
        <v>24</v>
      </c>
      <c r="CL180" t="s">
        <v>87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"080069613654"</f>
        <v>080069613654</v>
      </c>
      <c r="F181" s="3">
        <v>45993</v>
      </c>
      <c r="G181">
        <v>202609</v>
      </c>
      <c r="H181" t="s">
        <v>75</v>
      </c>
      <c r="I181" t="s">
        <v>76</v>
      </c>
      <c r="J181" t="s">
        <v>77</v>
      </c>
      <c r="K181" t="s">
        <v>78</v>
      </c>
      <c r="L181" t="s">
        <v>502</v>
      </c>
      <c r="M181" t="s">
        <v>503</v>
      </c>
      <c r="N181" t="s">
        <v>635</v>
      </c>
      <c r="O181" t="s">
        <v>89</v>
      </c>
      <c r="P181" t="str">
        <f>"4170071422                    "</f>
        <v xml:space="preserve">4170071422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17.37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1</v>
      </c>
      <c r="BJ181">
        <v>1.1000000000000001</v>
      </c>
      <c r="BK181">
        <v>2</v>
      </c>
      <c r="BL181">
        <v>56.85</v>
      </c>
      <c r="BM181">
        <v>8.5299999999999994</v>
      </c>
      <c r="BN181">
        <v>65.38</v>
      </c>
      <c r="BO181">
        <v>65.38</v>
      </c>
      <c r="BQ181" t="s">
        <v>636</v>
      </c>
      <c r="BR181" t="s">
        <v>82</v>
      </c>
      <c r="BS181" s="3">
        <v>45994</v>
      </c>
      <c r="BT181" s="4">
        <v>0.34722222222222221</v>
      </c>
      <c r="BU181" t="s">
        <v>637</v>
      </c>
      <c r="BV181" t="s">
        <v>84</v>
      </c>
      <c r="BY181">
        <v>5320</v>
      </c>
      <c r="CA181" t="s">
        <v>507</v>
      </c>
      <c r="CC181" t="s">
        <v>503</v>
      </c>
      <c r="CD181">
        <v>1559</v>
      </c>
      <c r="CE181" t="s">
        <v>86</v>
      </c>
      <c r="CF181" s="3">
        <v>45994</v>
      </c>
      <c r="CI181">
        <v>1</v>
      </c>
      <c r="CJ181">
        <v>1</v>
      </c>
      <c r="CK181">
        <v>22</v>
      </c>
      <c r="CL181" t="s">
        <v>87</v>
      </c>
    </row>
    <row r="182" spans="1:90" x14ac:dyDescent="0.3">
      <c r="A182" t="s">
        <v>72</v>
      </c>
      <c r="B182" t="s">
        <v>73</v>
      </c>
      <c r="C182" t="s">
        <v>74</v>
      </c>
      <c r="E182" t="str">
        <f>"080069613728"</f>
        <v>080069613728</v>
      </c>
      <c r="F182" s="3">
        <v>45993</v>
      </c>
      <c r="G182">
        <v>202609</v>
      </c>
      <c r="H182" t="s">
        <v>75</v>
      </c>
      <c r="I182" t="s">
        <v>76</v>
      </c>
      <c r="J182" t="s">
        <v>77</v>
      </c>
      <c r="K182" t="s">
        <v>78</v>
      </c>
      <c r="L182" t="s">
        <v>638</v>
      </c>
      <c r="M182" t="s">
        <v>639</v>
      </c>
      <c r="N182" t="s">
        <v>640</v>
      </c>
      <c r="O182" t="s">
        <v>89</v>
      </c>
      <c r="P182" t="str">
        <f>"4170071404                    "</f>
        <v xml:space="preserve">4170071404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43.09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17.41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1</v>
      </c>
      <c r="BJ182">
        <v>0.2</v>
      </c>
      <c r="BK182">
        <v>1</v>
      </c>
      <c r="BL182">
        <v>158.43</v>
      </c>
      <c r="BM182">
        <v>23.76</v>
      </c>
      <c r="BN182">
        <v>182.19</v>
      </c>
      <c r="BO182">
        <v>182.19</v>
      </c>
      <c r="BQ182" t="s">
        <v>641</v>
      </c>
      <c r="BR182" t="s">
        <v>82</v>
      </c>
      <c r="BS182" s="3">
        <v>45994</v>
      </c>
      <c r="BT182" s="4">
        <v>0.4375</v>
      </c>
      <c r="BU182" t="s">
        <v>642</v>
      </c>
      <c r="BV182" t="s">
        <v>84</v>
      </c>
      <c r="BY182">
        <v>1200</v>
      </c>
      <c r="BZ182" t="s">
        <v>30</v>
      </c>
      <c r="CA182" t="s">
        <v>643</v>
      </c>
      <c r="CC182" t="s">
        <v>639</v>
      </c>
      <c r="CD182">
        <v>3875</v>
      </c>
      <c r="CE182" t="s">
        <v>134</v>
      </c>
      <c r="CF182" s="3">
        <v>45994</v>
      </c>
      <c r="CI182">
        <v>2</v>
      </c>
      <c r="CJ182">
        <v>1</v>
      </c>
      <c r="CK182">
        <v>23</v>
      </c>
      <c r="CL182" t="s">
        <v>87</v>
      </c>
    </row>
    <row r="183" spans="1:90" x14ac:dyDescent="0.3">
      <c r="A183" t="s">
        <v>72</v>
      </c>
      <c r="B183" t="s">
        <v>73</v>
      </c>
      <c r="C183" t="s">
        <v>74</v>
      </c>
      <c r="E183" t="str">
        <f>"080069613757"</f>
        <v>080069613757</v>
      </c>
      <c r="F183" s="3">
        <v>45993</v>
      </c>
      <c r="G183">
        <v>202609</v>
      </c>
      <c r="H183" t="s">
        <v>75</v>
      </c>
      <c r="I183" t="s">
        <v>76</v>
      </c>
      <c r="J183" t="s">
        <v>77</v>
      </c>
      <c r="K183" t="s">
        <v>78</v>
      </c>
      <c r="L183" t="s">
        <v>302</v>
      </c>
      <c r="M183" t="s">
        <v>303</v>
      </c>
      <c r="N183" t="s">
        <v>644</v>
      </c>
      <c r="O183" t="s">
        <v>80</v>
      </c>
      <c r="P183" t="str">
        <f>"4170071444                    "</f>
        <v xml:space="preserve">4170071444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43.01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</v>
      </c>
      <c r="BI183">
        <v>9.6999999999999993</v>
      </c>
      <c r="BJ183">
        <v>4.8</v>
      </c>
      <c r="BK183">
        <v>10</v>
      </c>
      <c r="BL183">
        <v>146.85</v>
      </c>
      <c r="BM183">
        <v>22.03</v>
      </c>
      <c r="BN183">
        <v>168.88</v>
      </c>
      <c r="BO183">
        <v>168.88</v>
      </c>
      <c r="BQ183" t="s">
        <v>645</v>
      </c>
      <c r="BR183" t="s">
        <v>82</v>
      </c>
      <c r="BS183" s="3">
        <v>45994</v>
      </c>
      <c r="BT183" s="4">
        <v>0.41111111111111109</v>
      </c>
      <c r="BU183" t="s">
        <v>646</v>
      </c>
      <c r="BV183" t="s">
        <v>84</v>
      </c>
      <c r="BY183">
        <v>24140.34</v>
      </c>
      <c r="CA183">
        <v>8303236124087</v>
      </c>
      <c r="CC183" t="s">
        <v>303</v>
      </c>
      <c r="CD183" s="5" t="s">
        <v>307</v>
      </c>
      <c r="CE183" t="s">
        <v>647</v>
      </c>
      <c r="CF183" s="3">
        <v>45994</v>
      </c>
      <c r="CI183">
        <v>1</v>
      </c>
      <c r="CJ183">
        <v>1</v>
      </c>
      <c r="CK183">
        <v>41</v>
      </c>
      <c r="CL183" t="s">
        <v>87</v>
      </c>
    </row>
    <row r="184" spans="1:90" x14ac:dyDescent="0.3">
      <c r="A184" t="s">
        <v>72</v>
      </c>
      <c r="B184" t="s">
        <v>73</v>
      </c>
      <c r="C184" t="s">
        <v>74</v>
      </c>
      <c r="E184" t="str">
        <f>"080069613761"</f>
        <v>080069613761</v>
      </c>
      <c r="F184" s="3">
        <v>45993</v>
      </c>
      <c r="G184">
        <v>202609</v>
      </c>
      <c r="H184" t="s">
        <v>75</v>
      </c>
      <c r="I184" t="s">
        <v>76</v>
      </c>
      <c r="J184" t="s">
        <v>77</v>
      </c>
      <c r="K184" t="s">
        <v>78</v>
      </c>
      <c r="L184" t="s">
        <v>374</v>
      </c>
      <c r="M184" t="s">
        <v>375</v>
      </c>
      <c r="N184" t="s">
        <v>376</v>
      </c>
      <c r="O184" t="s">
        <v>89</v>
      </c>
      <c r="P184" t="str">
        <f>"4170071417                    "</f>
        <v xml:space="preserve">4170071417       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22.24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1</v>
      </c>
      <c r="BJ184">
        <v>0.2</v>
      </c>
      <c r="BK184">
        <v>1</v>
      </c>
      <c r="BL184">
        <v>72.78</v>
      </c>
      <c r="BM184">
        <v>10.92</v>
      </c>
      <c r="BN184">
        <v>83.7</v>
      </c>
      <c r="BO184">
        <v>83.7</v>
      </c>
      <c r="BQ184" t="s">
        <v>377</v>
      </c>
      <c r="BR184" t="s">
        <v>82</v>
      </c>
      <c r="BS184" s="3">
        <v>45994</v>
      </c>
      <c r="BT184" s="4">
        <v>0.53819444444444442</v>
      </c>
      <c r="BU184" t="s">
        <v>648</v>
      </c>
      <c r="BV184" t="s">
        <v>84</v>
      </c>
      <c r="BY184">
        <v>1200</v>
      </c>
      <c r="BZ184" t="s">
        <v>271</v>
      </c>
      <c r="CC184" t="s">
        <v>375</v>
      </c>
      <c r="CD184">
        <v>7600</v>
      </c>
      <c r="CE184" t="s">
        <v>127</v>
      </c>
      <c r="CF184" s="3">
        <v>45995</v>
      </c>
      <c r="CI184">
        <v>1</v>
      </c>
      <c r="CJ184">
        <v>1</v>
      </c>
      <c r="CK184">
        <v>21</v>
      </c>
      <c r="CL184" t="s">
        <v>87</v>
      </c>
    </row>
    <row r="185" spans="1:90" x14ac:dyDescent="0.3">
      <c r="A185" t="s">
        <v>72</v>
      </c>
      <c r="B185" t="s">
        <v>73</v>
      </c>
      <c r="C185" t="s">
        <v>74</v>
      </c>
      <c r="E185" t="str">
        <f>"080069613790"</f>
        <v>080069613790</v>
      </c>
      <c r="F185" s="3">
        <v>45993</v>
      </c>
      <c r="G185">
        <v>202609</v>
      </c>
      <c r="H185" t="s">
        <v>75</v>
      </c>
      <c r="I185" t="s">
        <v>76</v>
      </c>
      <c r="J185" t="s">
        <v>77</v>
      </c>
      <c r="K185" t="s">
        <v>78</v>
      </c>
      <c r="L185" t="s">
        <v>189</v>
      </c>
      <c r="M185" t="s">
        <v>190</v>
      </c>
      <c r="N185" t="s">
        <v>649</v>
      </c>
      <c r="O185" t="s">
        <v>89</v>
      </c>
      <c r="P185" t="str">
        <f>"4170071438                    "</f>
        <v xml:space="preserve">4170071438     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61.14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17.41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3.1</v>
      </c>
      <c r="BJ185">
        <v>5.3</v>
      </c>
      <c r="BK185">
        <v>5.5</v>
      </c>
      <c r="BL185">
        <v>217.5</v>
      </c>
      <c r="BM185">
        <v>32.630000000000003</v>
      </c>
      <c r="BN185">
        <v>250.13</v>
      </c>
      <c r="BO185">
        <v>250.13</v>
      </c>
      <c r="BQ185" t="s">
        <v>650</v>
      </c>
      <c r="BR185" t="s">
        <v>82</v>
      </c>
      <c r="BS185" s="3">
        <v>45995</v>
      </c>
      <c r="BT185" s="4">
        <v>0.41666666666666669</v>
      </c>
      <c r="BU185" t="s">
        <v>359</v>
      </c>
      <c r="BV185" t="s">
        <v>87</v>
      </c>
      <c r="BY185">
        <v>26649</v>
      </c>
      <c r="BZ185" t="s">
        <v>30</v>
      </c>
      <c r="CA185" t="s">
        <v>311</v>
      </c>
      <c r="CC185" t="s">
        <v>190</v>
      </c>
      <c r="CD185">
        <v>3699</v>
      </c>
      <c r="CE185" t="s">
        <v>93</v>
      </c>
      <c r="CF185" s="3">
        <v>45996</v>
      </c>
      <c r="CI185">
        <v>1</v>
      </c>
      <c r="CJ185">
        <v>2</v>
      </c>
      <c r="CK185">
        <v>21</v>
      </c>
      <c r="CL185" t="s">
        <v>87</v>
      </c>
    </row>
    <row r="186" spans="1:90" x14ac:dyDescent="0.3">
      <c r="A186" t="s">
        <v>72</v>
      </c>
      <c r="B186" t="s">
        <v>73</v>
      </c>
      <c r="C186" t="s">
        <v>74</v>
      </c>
      <c r="E186" t="str">
        <f>"080069613831"</f>
        <v>080069613831</v>
      </c>
      <c r="F186" s="3">
        <v>45993</v>
      </c>
      <c r="G186">
        <v>202609</v>
      </c>
      <c r="H186" t="s">
        <v>75</v>
      </c>
      <c r="I186" t="s">
        <v>76</v>
      </c>
      <c r="J186" t="s">
        <v>77</v>
      </c>
      <c r="K186" t="s">
        <v>78</v>
      </c>
      <c r="L186" t="s">
        <v>374</v>
      </c>
      <c r="M186" t="s">
        <v>375</v>
      </c>
      <c r="N186" t="s">
        <v>651</v>
      </c>
      <c r="O186" t="s">
        <v>89</v>
      </c>
      <c r="P186" t="str">
        <f>"4170071423                    "</f>
        <v xml:space="preserve">4170071423     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61.14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5</v>
      </c>
      <c r="BJ186">
        <v>5.2</v>
      </c>
      <c r="BK186">
        <v>5.5</v>
      </c>
      <c r="BL186">
        <v>200.09</v>
      </c>
      <c r="BM186">
        <v>30.01</v>
      </c>
      <c r="BN186">
        <v>230.1</v>
      </c>
      <c r="BO186">
        <v>230.1</v>
      </c>
      <c r="BQ186" t="s">
        <v>652</v>
      </c>
      <c r="BR186" t="s">
        <v>82</v>
      </c>
      <c r="BS186" s="3">
        <v>45994</v>
      </c>
      <c r="BT186" s="4">
        <v>0.51736111111111116</v>
      </c>
      <c r="BU186" t="s">
        <v>653</v>
      </c>
      <c r="BV186" t="s">
        <v>84</v>
      </c>
      <c r="BY186">
        <v>26112</v>
      </c>
      <c r="BZ186" t="s">
        <v>271</v>
      </c>
      <c r="CC186" t="s">
        <v>375</v>
      </c>
      <c r="CD186">
        <v>7600</v>
      </c>
      <c r="CE186" t="s">
        <v>93</v>
      </c>
      <c r="CF186" s="3">
        <v>45995</v>
      </c>
      <c r="CI186">
        <v>1</v>
      </c>
      <c r="CJ186">
        <v>1</v>
      </c>
      <c r="CK186">
        <v>21</v>
      </c>
      <c r="CL186" t="s">
        <v>87</v>
      </c>
    </row>
    <row r="187" spans="1:90" x14ac:dyDescent="0.3">
      <c r="A187" t="s">
        <v>72</v>
      </c>
      <c r="B187" t="s">
        <v>73</v>
      </c>
      <c r="C187" t="s">
        <v>74</v>
      </c>
      <c r="E187" t="str">
        <f>"080069613941"</f>
        <v>080069613941</v>
      </c>
      <c r="F187" s="3">
        <v>45993</v>
      </c>
      <c r="G187">
        <v>202609</v>
      </c>
      <c r="H187" t="s">
        <v>75</v>
      </c>
      <c r="I187" t="s">
        <v>76</v>
      </c>
      <c r="J187" t="s">
        <v>77</v>
      </c>
      <c r="K187" t="s">
        <v>78</v>
      </c>
      <c r="L187" t="s">
        <v>141</v>
      </c>
      <c r="M187" t="s">
        <v>142</v>
      </c>
      <c r="N187" t="s">
        <v>585</v>
      </c>
      <c r="O187" t="s">
        <v>89</v>
      </c>
      <c r="P187" t="str">
        <f>"4170071387                    "</f>
        <v xml:space="preserve">4170071387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55.58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5</v>
      </c>
      <c r="BJ187">
        <v>2.4</v>
      </c>
      <c r="BK187">
        <v>5</v>
      </c>
      <c r="BL187">
        <v>181.9</v>
      </c>
      <c r="BM187">
        <v>27.29</v>
      </c>
      <c r="BN187">
        <v>209.19</v>
      </c>
      <c r="BO187">
        <v>209.19</v>
      </c>
      <c r="BQ187" t="s">
        <v>586</v>
      </c>
      <c r="BR187" t="s">
        <v>82</v>
      </c>
      <c r="BS187" s="3">
        <v>45994</v>
      </c>
      <c r="BT187" s="4">
        <v>0.4201388888888889</v>
      </c>
      <c r="BU187" t="s">
        <v>607</v>
      </c>
      <c r="BV187" t="s">
        <v>84</v>
      </c>
      <c r="BY187">
        <v>12122</v>
      </c>
      <c r="CA187" t="s">
        <v>569</v>
      </c>
      <c r="CC187" t="s">
        <v>142</v>
      </c>
      <c r="CD187">
        <v>6001</v>
      </c>
      <c r="CE187" t="s">
        <v>86</v>
      </c>
      <c r="CF187" s="3">
        <v>45994</v>
      </c>
      <c r="CI187">
        <v>1</v>
      </c>
      <c r="CJ187">
        <v>1</v>
      </c>
      <c r="CK187">
        <v>21</v>
      </c>
      <c r="CL187" t="s">
        <v>87</v>
      </c>
    </row>
    <row r="188" spans="1:90" x14ac:dyDescent="0.3">
      <c r="A188" t="s">
        <v>72</v>
      </c>
      <c r="B188" t="s">
        <v>73</v>
      </c>
      <c r="C188" t="s">
        <v>74</v>
      </c>
      <c r="E188" t="str">
        <f>"080069613949"</f>
        <v>080069613949</v>
      </c>
      <c r="F188" s="3">
        <v>45993</v>
      </c>
      <c r="G188">
        <v>202609</v>
      </c>
      <c r="H188" t="s">
        <v>75</v>
      </c>
      <c r="I188" t="s">
        <v>76</v>
      </c>
      <c r="J188" t="s">
        <v>77</v>
      </c>
      <c r="K188" t="s">
        <v>78</v>
      </c>
      <c r="L188" t="s">
        <v>302</v>
      </c>
      <c r="M188" t="s">
        <v>303</v>
      </c>
      <c r="N188" t="s">
        <v>654</v>
      </c>
      <c r="O188" t="s">
        <v>89</v>
      </c>
      <c r="P188" t="str">
        <f>"4170071375                    "</f>
        <v xml:space="preserve">4170071375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33.35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3</v>
      </c>
      <c r="BJ188">
        <v>1.2</v>
      </c>
      <c r="BK188">
        <v>3</v>
      </c>
      <c r="BL188">
        <v>109.15</v>
      </c>
      <c r="BM188">
        <v>16.37</v>
      </c>
      <c r="BN188">
        <v>125.52</v>
      </c>
      <c r="BO188">
        <v>125.52</v>
      </c>
      <c r="BQ188" t="s">
        <v>655</v>
      </c>
      <c r="BR188" t="s">
        <v>82</v>
      </c>
      <c r="BS188" s="3">
        <v>45994</v>
      </c>
      <c r="BT188" s="4">
        <v>0.3840277777777778</v>
      </c>
      <c r="BU188" t="s">
        <v>656</v>
      </c>
      <c r="BV188" t="s">
        <v>84</v>
      </c>
      <c r="BY188">
        <v>6080</v>
      </c>
      <c r="CA188">
        <v>8303236124087</v>
      </c>
      <c r="CC188" t="s">
        <v>303</v>
      </c>
      <c r="CD188" s="5" t="s">
        <v>657</v>
      </c>
      <c r="CE188" t="s">
        <v>93</v>
      </c>
      <c r="CF188" s="3">
        <v>45994</v>
      </c>
      <c r="CI188">
        <v>1</v>
      </c>
      <c r="CJ188">
        <v>1</v>
      </c>
      <c r="CK188">
        <v>21</v>
      </c>
      <c r="CL188" t="s">
        <v>87</v>
      </c>
    </row>
    <row r="189" spans="1:90" x14ac:dyDescent="0.3">
      <c r="A189" t="s">
        <v>72</v>
      </c>
      <c r="B189" t="s">
        <v>73</v>
      </c>
      <c r="C189" t="s">
        <v>74</v>
      </c>
      <c r="E189" t="str">
        <f>"080069614006"</f>
        <v>080069614006</v>
      </c>
      <c r="F189" s="3">
        <v>45993</v>
      </c>
      <c r="G189">
        <v>202609</v>
      </c>
      <c r="H189" t="s">
        <v>75</v>
      </c>
      <c r="I189" t="s">
        <v>76</v>
      </c>
      <c r="J189" t="s">
        <v>77</v>
      </c>
      <c r="K189" t="s">
        <v>78</v>
      </c>
      <c r="L189" t="s">
        <v>156</v>
      </c>
      <c r="M189" t="s">
        <v>157</v>
      </c>
      <c r="N189" t="s">
        <v>658</v>
      </c>
      <c r="O189" t="s">
        <v>89</v>
      </c>
      <c r="P189" t="str">
        <f>"4170071379                    "</f>
        <v xml:space="preserve">4170071379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166.72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15</v>
      </c>
      <c r="BJ189">
        <v>7.2</v>
      </c>
      <c r="BK189">
        <v>15</v>
      </c>
      <c r="BL189">
        <v>545.64</v>
      </c>
      <c r="BM189">
        <v>81.849999999999994</v>
      </c>
      <c r="BN189">
        <v>627.49</v>
      </c>
      <c r="BO189">
        <v>627.49</v>
      </c>
      <c r="BQ189" t="s">
        <v>659</v>
      </c>
      <c r="BR189" t="s">
        <v>82</v>
      </c>
      <c r="BS189" s="3">
        <v>45994</v>
      </c>
      <c r="BT189" s="4">
        <v>0.62152777777777779</v>
      </c>
      <c r="BU189" t="s">
        <v>660</v>
      </c>
      <c r="BV189" t="s">
        <v>87</v>
      </c>
      <c r="BW189" t="s">
        <v>153</v>
      </c>
      <c r="BX189" t="s">
        <v>345</v>
      </c>
      <c r="BY189">
        <v>36000</v>
      </c>
      <c r="BZ189" t="s">
        <v>271</v>
      </c>
      <c r="CA189" t="s">
        <v>661</v>
      </c>
      <c r="CC189" t="s">
        <v>157</v>
      </c>
      <c r="CD189">
        <v>7550</v>
      </c>
      <c r="CE189" t="s">
        <v>662</v>
      </c>
      <c r="CF189" s="3">
        <v>45996</v>
      </c>
      <c r="CI189">
        <v>1</v>
      </c>
      <c r="CJ189">
        <v>1</v>
      </c>
      <c r="CK189">
        <v>21</v>
      </c>
      <c r="CL189" t="s">
        <v>87</v>
      </c>
    </row>
    <row r="190" spans="1:90" x14ac:dyDescent="0.3">
      <c r="A190" t="s">
        <v>72</v>
      </c>
      <c r="B190" t="s">
        <v>73</v>
      </c>
      <c r="C190" t="s">
        <v>74</v>
      </c>
      <c r="E190" t="str">
        <f>"080069614207"</f>
        <v>080069614207</v>
      </c>
      <c r="F190" s="3">
        <v>45993</v>
      </c>
      <c r="G190">
        <v>202609</v>
      </c>
      <c r="H190" t="s">
        <v>75</v>
      </c>
      <c r="I190" t="s">
        <v>76</v>
      </c>
      <c r="J190" t="s">
        <v>77</v>
      </c>
      <c r="K190" t="s">
        <v>78</v>
      </c>
      <c r="L190" t="s">
        <v>109</v>
      </c>
      <c r="M190" t="s">
        <v>110</v>
      </c>
      <c r="N190" t="s">
        <v>663</v>
      </c>
      <c r="O190" t="s">
        <v>89</v>
      </c>
      <c r="P190" t="str">
        <f>"4170071430                    "</f>
        <v xml:space="preserve">4170071430   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31.28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1.3</v>
      </c>
      <c r="BJ190">
        <v>0.9</v>
      </c>
      <c r="BK190">
        <v>1.5</v>
      </c>
      <c r="BL190">
        <v>102.36</v>
      </c>
      <c r="BM190">
        <v>15.35</v>
      </c>
      <c r="BN190">
        <v>117.71</v>
      </c>
      <c r="BO190">
        <v>117.71</v>
      </c>
      <c r="BQ190" t="s">
        <v>664</v>
      </c>
      <c r="BR190" t="s">
        <v>82</v>
      </c>
      <c r="BS190" s="3">
        <v>45994</v>
      </c>
      <c r="BT190" s="4">
        <v>0.45069444444444445</v>
      </c>
      <c r="BU190" t="s">
        <v>665</v>
      </c>
      <c r="BV190" t="s">
        <v>84</v>
      </c>
      <c r="BY190">
        <v>4514.97</v>
      </c>
      <c r="CA190" t="s">
        <v>666</v>
      </c>
      <c r="CC190" t="s">
        <v>110</v>
      </c>
      <c r="CD190">
        <v>1739</v>
      </c>
      <c r="CE190" t="s">
        <v>86</v>
      </c>
      <c r="CF190" s="3">
        <v>45995</v>
      </c>
      <c r="CI190">
        <v>1</v>
      </c>
      <c r="CJ190">
        <v>1</v>
      </c>
      <c r="CK190">
        <v>24</v>
      </c>
      <c r="CL190" t="s">
        <v>87</v>
      </c>
    </row>
    <row r="191" spans="1:90" x14ac:dyDescent="0.3">
      <c r="A191" t="s">
        <v>72</v>
      </c>
      <c r="B191" t="s">
        <v>73</v>
      </c>
      <c r="C191" t="s">
        <v>74</v>
      </c>
      <c r="E191" t="str">
        <f>"080069614248"</f>
        <v>080069614248</v>
      </c>
      <c r="F191" s="3">
        <v>45993</v>
      </c>
      <c r="G191">
        <v>202609</v>
      </c>
      <c r="H191" t="s">
        <v>75</v>
      </c>
      <c r="I191" t="s">
        <v>76</v>
      </c>
      <c r="J191" t="s">
        <v>77</v>
      </c>
      <c r="K191" t="s">
        <v>78</v>
      </c>
      <c r="L191" t="s">
        <v>638</v>
      </c>
      <c r="M191" t="s">
        <v>639</v>
      </c>
      <c r="N191" t="s">
        <v>640</v>
      </c>
      <c r="O191" t="s">
        <v>89</v>
      </c>
      <c r="P191" t="str">
        <f>"4170071386                    "</f>
        <v xml:space="preserve">4170071386     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43.09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17.41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1</v>
      </c>
      <c r="BI191">
        <v>1</v>
      </c>
      <c r="BJ191">
        <v>0.2</v>
      </c>
      <c r="BK191">
        <v>1</v>
      </c>
      <c r="BL191">
        <v>158.43</v>
      </c>
      <c r="BM191">
        <v>23.76</v>
      </c>
      <c r="BN191">
        <v>182.19</v>
      </c>
      <c r="BO191">
        <v>182.19</v>
      </c>
      <c r="BQ191" t="s">
        <v>641</v>
      </c>
      <c r="BR191" t="s">
        <v>82</v>
      </c>
      <c r="BS191" s="3">
        <v>45994</v>
      </c>
      <c r="BT191" s="4">
        <v>0.44305555555555554</v>
      </c>
      <c r="BU191" t="s">
        <v>667</v>
      </c>
      <c r="BV191" t="s">
        <v>84</v>
      </c>
      <c r="BY191">
        <v>1200</v>
      </c>
      <c r="BZ191" t="s">
        <v>30</v>
      </c>
      <c r="CA191" t="s">
        <v>643</v>
      </c>
      <c r="CC191" t="s">
        <v>639</v>
      </c>
      <c r="CD191">
        <v>3875</v>
      </c>
      <c r="CE191" t="s">
        <v>134</v>
      </c>
      <c r="CF191" s="3">
        <v>45994</v>
      </c>
      <c r="CI191">
        <v>2</v>
      </c>
      <c r="CJ191">
        <v>1</v>
      </c>
      <c r="CK191">
        <v>23</v>
      </c>
      <c r="CL191" t="s">
        <v>87</v>
      </c>
    </row>
    <row r="192" spans="1:90" x14ac:dyDescent="0.3">
      <c r="A192" t="s">
        <v>72</v>
      </c>
      <c r="B192" t="s">
        <v>73</v>
      </c>
      <c r="C192" t="s">
        <v>74</v>
      </c>
      <c r="E192" t="str">
        <f>"080069614267"</f>
        <v>080069614267</v>
      </c>
      <c r="F192" s="3">
        <v>45993</v>
      </c>
      <c r="G192">
        <v>202609</v>
      </c>
      <c r="H192" t="s">
        <v>75</v>
      </c>
      <c r="I192" t="s">
        <v>76</v>
      </c>
      <c r="J192" t="s">
        <v>77</v>
      </c>
      <c r="K192" t="s">
        <v>78</v>
      </c>
      <c r="L192" t="s">
        <v>141</v>
      </c>
      <c r="M192" t="s">
        <v>142</v>
      </c>
      <c r="N192" t="s">
        <v>668</v>
      </c>
      <c r="O192" t="s">
        <v>89</v>
      </c>
      <c r="P192" t="str">
        <f>"4170071455                    "</f>
        <v xml:space="preserve">4170071455     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22.24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1</v>
      </c>
      <c r="BI192">
        <v>1</v>
      </c>
      <c r="BJ192">
        <v>0.2</v>
      </c>
      <c r="BK192">
        <v>1</v>
      </c>
      <c r="BL192">
        <v>72.78</v>
      </c>
      <c r="BM192">
        <v>10.92</v>
      </c>
      <c r="BN192">
        <v>83.7</v>
      </c>
      <c r="BO192">
        <v>83.7</v>
      </c>
      <c r="BQ192" t="s">
        <v>669</v>
      </c>
      <c r="BR192" t="s">
        <v>82</v>
      </c>
      <c r="BS192" s="3">
        <v>45994</v>
      </c>
      <c r="BT192" s="4">
        <v>0.40347222222222223</v>
      </c>
      <c r="BU192" t="s">
        <v>670</v>
      </c>
      <c r="BV192" t="s">
        <v>84</v>
      </c>
      <c r="BY192">
        <v>1200</v>
      </c>
      <c r="CA192" t="s">
        <v>327</v>
      </c>
      <c r="CC192" t="s">
        <v>142</v>
      </c>
      <c r="CD192">
        <v>6001</v>
      </c>
      <c r="CE192" t="s">
        <v>134</v>
      </c>
      <c r="CF192" s="3">
        <v>45994</v>
      </c>
      <c r="CI192">
        <v>1</v>
      </c>
      <c r="CJ192">
        <v>1</v>
      </c>
      <c r="CK192">
        <v>21</v>
      </c>
      <c r="CL192" t="s">
        <v>87</v>
      </c>
    </row>
    <row r="193" spans="1:90" x14ac:dyDescent="0.3">
      <c r="A193" t="s">
        <v>72</v>
      </c>
      <c r="B193" t="s">
        <v>73</v>
      </c>
      <c r="C193" t="s">
        <v>74</v>
      </c>
      <c r="E193" t="str">
        <f>"080069614289"</f>
        <v>080069614289</v>
      </c>
      <c r="F193" s="3">
        <v>45993</v>
      </c>
      <c r="G193">
        <v>202609</v>
      </c>
      <c r="H193" t="s">
        <v>75</v>
      </c>
      <c r="I193" t="s">
        <v>76</v>
      </c>
      <c r="J193" t="s">
        <v>77</v>
      </c>
      <c r="K193" t="s">
        <v>78</v>
      </c>
      <c r="L193" t="s">
        <v>302</v>
      </c>
      <c r="M193" t="s">
        <v>303</v>
      </c>
      <c r="N193" t="s">
        <v>588</v>
      </c>
      <c r="O193" t="s">
        <v>89</v>
      </c>
      <c r="P193" t="str">
        <f>"4170071428                    "</f>
        <v xml:space="preserve">4170071428     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22.24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1</v>
      </c>
      <c r="BI193">
        <v>1</v>
      </c>
      <c r="BJ193">
        <v>0.2</v>
      </c>
      <c r="BK193">
        <v>1</v>
      </c>
      <c r="BL193">
        <v>72.78</v>
      </c>
      <c r="BM193">
        <v>10.92</v>
      </c>
      <c r="BN193">
        <v>83.7</v>
      </c>
      <c r="BO193">
        <v>83.7</v>
      </c>
      <c r="BQ193" t="s">
        <v>589</v>
      </c>
      <c r="BR193" t="s">
        <v>82</v>
      </c>
      <c r="BS193" t="s">
        <v>500</v>
      </c>
      <c r="BY193">
        <v>1200</v>
      </c>
      <c r="CC193" t="s">
        <v>303</v>
      </c>
      <c r="CD193" s="5" t="s">
        <v>433</v>
      </c>
      <c r="CE193" t="s">
        <v>134</v>
      </c>
      <c r="CI193">
        <v>1</v>
      </c>
      <c r="CJ193" t="s">
        <v>500</v>
      </c>
      <c r="CK193">
        <v>21</v>
      </c>
      <c r="CL193" t="s">
        <v>87</v>
      </c>
    </row>
    <row r="194" spans="1:90" x14ac:dyDescent="0.3">
      <c r="A194" t="s">
        <v>72</v>
      </c>
      <c r="B194" t="s">
        <v>73</v>
      </c>
      <c r="C194" t="s">
        <v>74</v>
      </c>
      <c r="E194" t="str">
        <f>"080069615220"</f>
        <v>080069615220</v>
      </c>
      <c r="F194" s="3">
        <v>45993</v>
      </c>
      <c r="G194">
        <v>202609</v>
      </c>
      <c r="H194" t="s">
        <v>75</v>
      </c>
      <c r="I194" t="s">
        <v>76</v>
      </c>
      <c r="J194" t="s">
        <v>77</v>
      </c>
      <c r="K194" t="s">
        <v>78</v>
      </c>
      <c r="L194" t="s">
        <v>502</v>
      </c>
      <c r="M194" t="s">
        <v>503</v>
      </c>
      <c r="N194" t="s">
        <v>671</v>
      </c>
      <c r="O194" t="s">
        <v>80</v>
      </c>
      <c r="P194" t="str">
        <f>"4170071486                    "</f>
        <v xml:space="preserve">4170071486              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37.06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1</v>
      </c>
      <c r="BI194">
        <v>15</v>
      </c>
      <c r="BJ194">
        <v>18.7</v>
      </c>
      <c r="BK194">
        <v>19</v>
      </c>
      <c r="BL194">
        <v>127.38</v>
      </c>
      <c r="BM194">
        <v>19.11</v>
      </c>
      <c r="BN194">
        <v>146.49</v>
      </c>
      <c r="BO194">
        <v>146.49</v>
      </c>
      <c r="BQ194" t="s">
        <v>672</v>
      </c>
      <c r="BR194" t="s">
        <v>82</v>
      </c>
      <c r="BS194" s="3">
        <v>45995</v>
      </c>
      <c r="BT194" s="4">
        <v>0.59027777777777779</v>
      </c>
      <c r="BU194" t="s">
        <v>673</v>
      </c>
      <c r="BV194" t="s">
        <v>87</v>
      </c>
      <c r="BW194" t="s">
        <v>174</v>
      </c>
      <c r="BX194" t="s">
        <v>198</v>
      </c>
      <c r="BY194">
        <v>93440</v>
      </c>
      <c r="CA194" t="s">
        <v>674</v>
      </c>
      <c r="CC194" t="s">
        <v>503</v>
      </c>
      <c r="CD194">
        <v>1559</v>
      </c>
      <c r="CE194" t="s">
        <v>544</v>
      </c>
      <c r="CF194" s="3">
        <v>45996</v>
      </c>
      <c r="CI194">
        <v>1</v>
      </c>
      <c r="CJ194">
        <v>2</v>
      </c>
      <c r="CK194">
        <v>42</v>
      </c>
      <c r="CL194" t="s">
        <v>87</v>
      </c>
    </row>
    <row r="195" spans="1:90" x14ac:dyDescent="0.3">
      <c r="A195" t="s">
        <v>72</v>
      </c>
      <c r="B195" t="s">
        <v>73</v>
      </c>
      <c r="C195" t="s">
        <v>74</v>
      </c>
      <c r="E195" t="str">
        <f>"080069615481"</f>
        <v>080069615481</v>
      </c>
      <c r="F195" s="3">
        <v>45993</v>
      </c>
      <c r="G195">
        <v>202609</v>
      </c>
      <c r="H195" t="s">
        <v>75</v>
      </c>
      <c r="I195" t="s">
        <v>76</v>
      </c>
      <c r="J195" t="s">
        <v>77</v>
      </c>
      <c r="K195" t="s">
        <v>78</v>
      </c>
      <c r="L195" t="s">
        <v>202</v>
      </c>
      <c r="M195" t="s">
        <v>203</v>
      </c>
      <c r="N195" t="s">
        <v>204</v>
      </c>
      <c r="O195" t="s">
        <v>89</v>
      </c>
      <c r="P195" t="str">
        <f>"4170071469                    "</f>
        <v xml:space="preserve">4170071469           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43.09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</v>
      </c>
      <c r="BI195">
        <v>1</v>
      </c>
      <c r="BJ195">
        <v>0.2</v>
      </c>
      <c r="BK195">
        <v>1</v>
      </c>
      <c r="BL195">
        <v>141.02000000000001</v>
      </c>
      <c r="BM195">
        <v>21.15</v>
      </c>
      <c r="BN195">
        <v>162.16999999999999</v>
      </c>
      <c r="BO195">
        <v>162.16999999999999</v>
      </c>
      <c r="BQ195" t="s">
        <v>205</v>
      </c>
      <c r="BR195" t="s">
        <v>82</v>
      </c>
      <c r="BS195" s="3">
        <v>45994</v>
      </c>
      <c r="BT195" s="4">
        <v>0.5083333333333333</v>
      </c>
      <c r="BU195" t="s">
        <v>675</v>
      </c>
      <c r="BV195" t="s">
        <v>84</v>
      </c>
      <c r="BY195">
        <v>1200</v>
      </c>
      <c r="CA195" t="s">
        <v>676</v>
      </c>
      <c r="CC195" t="s">
        <v>203</v>
      </c>
      <c r="CD195">
        <v>2531</v>
      </c>
      <c r="CE195" t="s">
        <v>134</v>
      </c>
      <c r="CF195" s="3">
        <v>45995</v>
      </c>
      <c r="CI195">
        <v>1</v>
      </c>
      <c r="CJ195">
        <v>1</v>
      </c>
      <c r="CK195">
        <v>23</v>
      </c>
      <c r="CL195" t="s">
        <v>87</v>
      </c>
    </row>
    <row r="196" spans="1:90" x14ac:dyDescent="0.3">
      <c r="A196" t="s">
        <v>72</v>
      </c>
      <c r="B196" t="s">
        <v>73</v>
      </c>
      <c r="C196" t="s">
        <v>74</v>
      </c>
      <c r="E196" t="str">
        <f>"080069615530"</f>
        <v>080069615530</v>
      </c>
      <c r="F196" s="3">
        <v>45993</v>
      </c>
      <c r="G196">
        <v>202609</v>
      </c>
      <c r="H196" t="s">
        <v>75</v>
      </c>
      <c r="I196" t="s">
        <v>76</v>
      </c>
      <c r="J196" t="s">
        <v>77</v>
      </c>
      <c r="K196" t="s">
        <v>78</v>
      </c>
      <c r="L196" t="s">
        <v>176</v>
      </c>
      <c r="M196" t="s">
        <v>177</v>
      </c>
      <c r="N196" t="s">
        <v>677</v>
      </c>
      <c r="O196" t="s">
        <v>89</v>
      </c>
      <c r="P196" t="str">
        <f>"4170071431                    "</f>
        <v xml:space="preserve">4170071431           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23.61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17.41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1</v>
      </c>
      <c r="BI196">
        <v>10.4</v>
      </c>
      <c r="BJ196">
        <v>3.3</v>
      </c>
      <c r="BK196">
        <v>11</v>
      </c>
      <c r="BL196">
        <v>94.69</v>
      </c>
      <c r="BM196">
        <v>14.2</v>
      </c>
      <c r="BN196">
        <v>108.89</v>
      </c>
      <c r="BO196">
        <v>108.89</v>
      </c>
      <c r="BQ196" t="s">
        <v>678</v>
      </c>
      <c r="BR196" t="s">
        <v>82</v>
      </c>
      <c r="BS196" s="3">
        <v>45994</v>
      </c>
      <c r="BT196" s="4">
        <v>0.43402777777777779</v>
      </c>
      <c r="BU196" t="s">
        <v>679</v>
      </c>
      <c r="BV196" t="s">
        <v>84</v>
      </c>
      <c r="BY196">
        <v>16365.44</v>
      </c>
      <c r="BZ196" t="s">
        <v>30</v>
      </c>
      <c r="CA196" t="s">
        <v>680</v>
      </c>
      <c r="CC196" t="s">
        <v>177</v>
      </c>
      <c r="CD196">
        <v>2188</v>
      </c>
      <c r="CE196" t="s">
        <v>86</v>
      </c>
      <c r="CF196" s="3">
        <v>45994</v>
      </c>
      <c r="CI196">
        <v>1</v>
      </c>
      <c r="CJ196">
        <v>1</v>
      </c>
      <c r="CK196">
        <v>22</v>
      </c>
      <c r="CL196" t="s">
        <v>87</v>
      </c>
    </row>
    <row r="197" spans="1:90" x14ac:dyDescent="0.3">
      <c r="A197" t="s">
        <v>72</v>
      </c>
      <c r="B197" t="s">
        <v>73</v>
      </c>
      <c r="C197" t="s">
        <v>74</v>
      </c>
      <c r="E197" t="str">
        <f>"080069615534"</f>
        <v>080069615534</v>
      </c>
      <c r="F197" s="3">
        <v>45993</v>
      </c>
      <c r="G197">
        <v>202609</v>
      </c>
      <c r="H197" t="s">
        <v>75</v>
      </c>
      <c r="I197" t="s">
        <v>76</v>
      </c>
      <c r="J197" t="s">
        <v>77</v>
      </c>
      <c r="K197" t="s">
        <v>78</v>
      </c>
      <c r="L197" t="s">
        <v>141</v>
      </c>
      <c r="M197" t="s">
        <v>142</v>
      </c>
      <c r="N197" t="s">
        <v>681</v>
      </c>
      <c r="O197" t="s">
        <v>89</v>
      </c>
      <c r="P197" t="str">
        <f>"4170071411                    "</f>
        <v xml:space="preserve">4170071411             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22.24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1</v>
      </c>
      <c r="BI197">
        <v>1</v>
      </c>
      <c r="BJ197">
        <v>0.2</v>
      </c>
      <c r="BK197">
        <v>1</v>
      </c>
      <c r="BL197">
        <v>72.78</v>
      </c>
      <c r="BM197">
        <v>10.92</v>
      </c>
      <c r="BN197">
        <v>83.7</v>
      </c>
      <c r="BO197">
        <v>83.7</v>
      </c>
      <c r="BQ197" t="s">
        <v>682</v>
      </c>
      <c r="BR197" t="s">
        <v>82</v>
      </c>
      <c r="BS197" s="3">
        <v>45994</v>
      </c>
      <c r="BT197" s="4">
        <v>0.4548611111111111</v>
      </c>
      <c r="BU197" t="s">
        <v>606</v>
      </c>
      <c r="BV197" t="s">
        <v>87</v>
      </c>
      <c r="BW197" t="s">
        <v>246</v>
      </c>
      <c r="BX197" t="s">
        <v>683</v>
      </c>
      <c r="BY197">
        <v>1200</v>
      </c>
      <c r="CA197" t="s">
        <v>327</v>
      </c>
      <c r="CC197" t="s">
        <v>142</v>
      </c>
      <c r="CD197">
        <v>6000</v>
      </c>
      <c r="CE197" t="s">
        <v>134</v>
      </c>
      <c r="CF197" s="3">
        <v>45994</v>
      </c>
      <c r="CI197">
        <v>1</v>
      </c>
      <c r="CJ197">
        <v>1</v>
      </c>
      <c r="CK197">
        <v>21</v>
      </c>
      <c r="CL197" t="s">
        <v>87</v>
      </c>
    </row>
    <row r="198" spans="1:90" x14ac:dyDescent="0.3">
      <c r="A198" t="s">
        <v>72</v>
      </c>
      <c r="B198" t="s">
        <v>73</v>
      </c>
      <c r="C198" t="s">
        <v>74</v>
      </c>
      <c r="E198" t="str">
        <f>"080069615570"</f>
        <v>080069615570</v>
      </c>
      <c r="F198" s="3">
        <v>45993</v>
      </c>
      <c r="G198">
        <v>202609</v>
      </c>
      <c r="H198" t="s">
        <v>75</v>
      </c>
      <c r="I198" t="s">
        <v>76</v>
      </c>
      <c r="J198" t="s">
        <v>77</v>
      </c>
      <c r="K198" t="s">
        <v>78</v>
      </c>
      <c r="L198" t="s">
        <v>141</v>
      </c>
      <c r="M198" t="s">
        <v>142</v>
      </c>
      <c r="N198" t="s">
        <v>324</v>
      </c>
      <c r="O198" t="s">
        <v>89</v>
      </c>
      <c r="P198" t="str">
        <f>"4170071447                    "</f>
        <v xml:space="preserve">4170071447             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22.24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1</v>
      </c>
      <c r="BI198">
        <v>2</v>
      </c>
      <c r="BJ198">
        <v>1.5</v>
      </c>
      <c r="BK198">
        <v>2</v>
      </c>
      <c r="BL198">
        <v>72.78</v>
      </c>
      <c r="BM198">
        <v>10.92</v>
      </c>
      <c r="BN198">
        <v>83.7</v>
      </c>
      <c r="BO198">
        <v>83.7</v>
      </c>
      <c r="BQ198" t="s">
        <v>325</v>
      </c>
      <c r="BR198" t="s">
        <v>82</v>
      </c>
      <c r="BS198" s="3">
        <v>45994</v>
      </c>
      <c r="BT198" s="4">
        <v>0.41041666666666665</v>
      </c>
      <c r="BU198" t="s">
        <v>684</v>
      </c>
      <c r="BV198" t="s">
        <v>84</v>
      </c>
      <c r="BY198">
        <v>7561.71</v>
      </c>
      <c r="CA198" t="s">
        <v>146</v>
      </c>
      <c r="CC198" t="s">
        <v>142</v>
      </c>
      <c r="CD198">
        <v>6001</v>
      </c>
      <c r="CE198" t="s">
        <v>86</v>
      </c>
      <c r="CF198" s="3">
        <v>45994</v>
      </c>
      <c r="CI198">
        <v>1</v>
      </c>
      <c r="CJ198">
        <v>1</v>
      </c>
      <c r="CK198">
        <v>21</v>
      </c>
      <c r="CL198" t="s">
        <v>87</v>
      </c>
    </row>
    <row r="199" spans="1:90" x14ac:dyDescent="0.3">
      <c r="A199" t="s">
        <v>72</v>
      </c>
      <c r="B199" t="s">
        <v>73</v>
      </c>
      <c r="C199" t="s">
        <v>74</v>
      </c>
      <c r="E199" t="str">
        <f>"080069615572"</f>
        <v>080069615572</v>
      </c>
      <c r="F199" s="3">
        <v>45993</v>
      </c>
      <c r="G199">
        <v>202609</v>
      </c>
      <c r="H199" t="s">
        <v>75</v>
      </c>
      <c r="I199" t="s">
        <v>76</v>
      </c>
      <c r="J199" t="s">
        <v>77</v>
      </c>
      <c r="K199" t="s">
        <v>78</v>
      </c>
      <c r="L199" t="s">
        <v>685</v>
      </c>
      <c r="M199" t="s">
        <v>686</v>
      </c>
      <c r="N199" t="s">
        <v>687</v>
      </c>
      <c r="O199" t="s">
        <v>340</v>
      </c>
      <c r="P199" t="str">
        <f>"4170071445                    "</f>
        <v xml:space="preserve">4170071445     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87.59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1</v>
      </c>
      <c r="BI199">
        <v>5</v>
      </c>
      <c r="BJ199">
        <v>1.4</v>
      </c>
      <c r="BK199">
        <v>5</v>
      </c>
      <c r="BL199">
        <v>286.64999999999998</v>
      </c>
      <c r="BM199">
        <v>43</v>
      </c>
      <c r="BN199">
        <v>329.65</v>
      </c>
      <c r="BO199">
        <v>329.65</v>
      </c>
      <c r="BQ199" t="s">
        <v>688</v>
      </c>
      <c r="BR199" t="s">
        <v>82</v>
      </c>
      <c r="BS199" s="3">
        <v>45994</v>
      </c>
      <c r="BT199" s="4">
        <v>0.38611111111111113</v>
      </c>
      <c r="BU199" t="s">
        <v>689</v>
      </c>
      <c r="BV199" t="s">
        <v>84</v>
      </c>
      <c r="BY199">
        <v>7000</v>
      </c>
      <c r="CA199" t="s">
        <v>690</v>
      </c>
      <c r="CC199" t="s">
        <v>686</v>
      </c>
      <c r="CD199">
        <v>1759</v>
      </c>
      <c r="CE199" t="s">
        <v>86</v>
      </c>
      <c r="CF199" s="3">
        <v>45995</v>
      </c>
      <c r="CI199">
        <v>1</v>
      </c>
      <c r="CJ199">
        <v>1</v>
      </c>
      <c r="CK199">
        <v>34</v>
      </c>
      <c r="CL199" t="s">
        <v>87</v>
      </c>
    </row>
    <row r="200" spans="1:90" x14ac:dyDescent="0.3">
      <c r="A200" t="s">
        <v>72</v>
      </c>
      <c r="B200" t="s">
        <v>73</v>
      </c>
      <c r="C200" t="s">
        <v>74</v>
      </c>
      <c r="E200" t="str">
        <f>"080069615622"</f>
        <v>080069615622</v>
      </c>
      <c r="F200" s="3">
        <v>45993</v>
      </c>
      <c r="G200">
        <v>202609</v>
      </c>
      <c r="H200" t="s">
        <v>75</v>
      </c>
      <c r="I200" t="s">
        <v>76</v>
      </c>
      <c r="J200" t="s">
        <v>77</v>
      </c>
      <c r="K200" t="s">
        <v>78</v>
      </c>
      <c r="L200" t="s">
        <v>691</v>
      </c>
      <c r="M200" t="s">
        <v>691</v>
      </c>
      <c r="N200" t="s">
        <v>541</v>
      </c>
      <c r="O200" t="s">
        <v>89</v>
      </c>
      <c r="P200" t="str">
        <f>"4170071420                    "</f>
        <v xml:space="preserve">4170071420     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31.28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1</v>
      </c>
      <c r="BJ200">
        <v>1.1000000000000001</v>
      </c>
      <c r="BK200">
        <v>1.5</v>
      </c>
      <c r="BL200">
        <v>102.36</v>
      </c>
      <c r="BM200">
        <v>15.35</v>
      </c>
      <c r="BN200">
        <v>117.71</v>
      </c>
      <c r="BO200">
        <v>117.71</v>
      </c>
      <c r="BQ200" t="s">
        <v>542</v>
      </c>
      <c r="BR200" t="s">
        <v>82</v>
      </c>
      <c r="BS200" s="3">
        <v>45995</v>
      </c>
      <c r="BT200" s="4">
        <v>0.68055555555555558</v>
      </c>
      <c r="BU200" t="s">
        <v>692</v>
      </c>
      <c r="BV200" t="s">
        <v>87</v>
      </c>
      <c r="BW200" t="s">
        <v>186</v>
      </c>
      <c r="BX200" t="s">
        <v>693</v>
      </c>
      <c r="BY200">
        <v>5510</v>
      </c>
      <c r="CA200" t="s">
        <v>694</v>
      </c>
      <c r="CC200" t="s">
        <v>691</v>
      </c>
      <c r="CD200">
        <v>1491</v>
      </c>
      <c r="CE200" t="s">
        <v>86</v>
      </c>
      <c r="CF200" s="3">
        <v>45995</v>
      </c>
      <c r="CI200">
        <v>1</v>
      </c>
      <c r="CJ200">
        <v>2</v>
      </c>
      <c r="CK200">
        <v>24</v>
      </c>
      <c r="CL200" t="s">
        <v>87</v>
      </c>
    </row>
    <row r="201" spans="1:90" x14ac:dyDescent="0.3">
      <c r="A201" t="s">
        <v>72</v>
      </c>
      <c r="B201" t="s">
        <v>73</v>
      </c>
      <c r="C201" t="s">
        <v>74</v>
      </c>
      <c r="E201" t="str">
        <f>"080069615645"</f>
        <v>080069615645</v>
      </c>
      <c r="F201" s="3">
        <v>45993</v>
      </c>
      <c r="G201">
        <v>202609</v>
      </c>
      <c r="H201" t="s">
        <v>75</v>
      </c>
      <c r="I201" t="s">
        <v>76</v>
      </c>
      <c r="J201" t="s">
        <v>77</v>
      </c>
      <c r="K201" t="s">
        <v>78</v>
      </c>
      <c r="L201" t="s">
        <v>533</v>
      </c>
      <c r="M201" t="s">
        <v>533</v>
      </c>
      <c r="N201" t="s">
        <v>695</v>
      </c>
      <c r="O201" t="s">
        <v>89</v>
      </c>
      <c r="P201" t="str">
        <f>"4170071407                    "</f>
        <v xml:space="preserve">4170071407            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140.37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3</v>
      </c>
      <c r="BI201">
        <v>7</v>
      </c>
      <c r="BJ201">
        <v>5.7</v>
      </c>
      <c r="BK201">
        <v>7</v>
      </c>
      <c r="BL201">
        <v>459.4</v>
      </c>
      <c r="BM201">
        <v>68.91</v>
      </c>
      <c r="BN201">
        <v>528.30999999999995</v>
      </c>
      <c r="BO201">
        <v>528.30999999999995</v>
      </c>
      <c r="BQ201" t="s">
        <v>696</v>
      </c>
      <c r="BR201" t="s">
        <v>82</v>
      </c>
      <c r="BS201" s="3">
        <v>45994</v>
      </c>
      <c r="BT201" s="4">
        <v>0.60416666666666663</v>
      </c>
      <c r="BU201" t="s">
        <v>697</v>
      </c>
      <c r="BV201" t="s">
        <v>87</v>
      </c>
      <c r="BW201" t="s">
        <v>153</v>
      </c>
      <c r="BX201" t="s">
        <v>345</v>
      </c>
      <c r="BY201">
        <v>19152</v>
      </c>
      <c r="CA201" t="s">
        <v>537</v>
      </c>
      <c r="CC201" t="s">
        <v>533</v>
      </c>
      <c r="CD201">
        <v>7645</v>
      </c>
      <c r="CE201" t="s">
        <v>86</v>
      </c>
      <c r="CF201" s="3">
        <v>45995</v>
      </c>
      <c r="CI201">
        <v>1</v>
      </c>
      <c r="CJ201">
        <v>1</v>
      </c>
      <c r="CK201">
        <v>23</v>
      </c>
      <c r="CL201" t="s">
        <v>87</v>
      </c>
    </row>
    <row r="202" spans="1:90" x14ac:dyDescent="0.3">
      <c r="A202" t="s">
        <v>72</v>
      </c>
      <c r="B202" t="s">
        <v>73</v>
      </c>
      <c r="C202" t="s">
        <v>74</v>
      </c>
      <c r="E202" t="str">
        <f>"080069615660"</f>
        <v>080069615660</v>
      </c>
      <c r="F202" s="3">
        <v>45993</v>
      </c>
      <c r="G202">
        <v>202609</v>
      </c>
      <c r="H202" t="s">
        <v>75</v>
      </c>
      <c r="I202" t="s">
        <v>76</v>
      </c>
      <c r="J202" t="s">
        <v>77</v>
      </c>
      <c r="K202" t="s">
        <v>78</v>
      </c>
      <c r="L202" t="s">
        <v>156</v>
      </c>
      <c r="M202" t="s">
        <v>157</v>
      </c>
      <c r="N202" t="s">
        <v>698</v>
      </c>
      <c r="O202" t="s">
        <v>89</v>
      </c>
      <c r="P202" t="str">
        <f>"4170071473                    "</f>
        <v xml:space="preserve">4170071473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22.24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1</v>
      </c>
      <c r="BJ202">
        <v>0.9</v>
      </c>
      <c r="BK202">
        <v>1</v>
      </c>
      <c r="BL202">
        <v>72.78</v>
      </c>
      <c r="BM202">
        <v>10.92</v>
      </c>
      <c r="BN202">
        <v>83.7</v>
      </c>
      <c r="BO202">
        <v>83.7</v>
      </c>
      <c r="BQ202" t="s">
        <v>699</v>
      </c>
      <c r="BR202" t="s">
        <v>82</v>
      </c>
      <c r="BS202" s="3">
        <v>45994</v>
      </c>
      <c r="BT202" s="4">
        <v>0.3923611111111111</v>
      </c>
      <c r="BU202" t="s">
        <v>700</v>
      </c>
      <c r="BV202" t="s">
        <v>84</v>
      </c>
      <c r="BY202">
        <v>4275</v>
      </c>
      <c r="CA202" t="s">
        <v>264</v>
      </c>
      <c r="CC202" t="s">
        <v>157</v>
      </c>
      <c r="CD202">
        <v>7441</v>
      </c>
      <c r="CE202" t="s">
        <v>86</v>
      </c>
      <c r="CF202" s="3">
        <v>45995</v>
      </c>
      <c r="CI202">
        <v>1</v>
      </c>
      <c r="CJ202">
        <v>1</v>
      </c>
      <c r="CK202">
        <v>21</v>
      </c>
      <c r="CL202" t="s">
        <v>87</v>
      </c>
    </row>
    <row r="203" spans="1:90" x14ac:dyDescent="0.3">
      <c r="A203" t="s">
        <v>72</v>
      </c>
      <c r="B203" t="s">
        <v>73</v>
      </c>
      <c r="C203" t="s">
        <v>74</v>
      </c>
      <c r="E203" t="str">
        <f>"080069615701"</f>
        <v>080069615701</v>
      </c>
      <c r="F203" s="3">
        <v>45993</v>
      </c>
      <c r="G203">
        <v>202609</v>
      </c>
      <c r="H203" t="s">
        <v>75</v>
      </c>
      <c r="I203" t="s">
        <v>76</v>
      </c>
      <c r="J203" t="s">
        <v>77</v>
      </c>
      <c r="K203" t="s">
        <v>78</v>
      </c>
      <c r="L203" t="s">
        <v>141</v>
      </c>
      <c r="M203" t="s">
        <v>142</v>
      </c>
      <c r="N203" t="s">
        <v>701</v>
      </c>
      <c r="O203" t="s">
        <v>89</v>
      </c>
      <c r="P203" t="str">
        <f>"4170071392                    "</f>
        <v xml:space="preserve">4170071392  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33.35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1</v>
      </c>
      <c r="BI203">
        <v>3</v>
      </c>
      <c r="BJ203">
        <v>1.8</v>
      </c>
      <c r="BK203">
        <v>3</v>
      </c>
      <c r="BL203">
        <v>109.15</v>
      </c>
      <c r="BM203">
        <v>16.37</v>
      </c>
      <c r="BN203">
        <v>125.52</v>
      </c>
      <c r="BO203">
        <v>125.52</v>
      </c>
      <c r="BQ203" t="s">
        <v>702</v>
      </c>
      <c r="BR203" t="s">
        <v>82</v>
      </c>
      <c r="BS203" s="3">
        <v>45994</v>
      </c>
      <c r="BT203" s="4">
        <v>0.39166666666666666</v>
      </c>
      <c r="BU203" t="s">
        <v>703</v>
      </c>
      <c r="BV203" t="s">
        <v>84</v>
      </c>
      <c r="BY203">
        <v>8816</v>
      </c>
      <c r="CA203" t="s">
        <v>489</v>
      </c>
      <c r="CC203" t="s">
        <v>142</v>
      </c>
      <c r="CD203">
        <v>6012</v>
      </c>
      <c r="CE203" t="s">
        <v>86</v>
      </c>
      <c r="CF203" s="3">
        <v>45994</v>
      </c>
      <c r="CI203">
        <v>1</v>
      </c>
      <c r="CJ203">
        <v>1</v>
      </c>
      <c r="CK203">
        <v>21</v>
      </c>
      <c r="CL203" t="s">
        <v>87</v>
      </c>
    </row>
    <row r="204" spans="1:90" x14ac:dyDescent="0.3">
      <c r="A204" t="s">
        <v>72</v>
      </c>
      <c r="B204" t="s">
        <v>73</v>
      </c>
      <c r="C204" t="s">
        <v>74</v>
      </c>
      <c r="E204" t="str">
        <f>"080069615988"</f>
        <v>080069615988</v>
      </c>
      <c r="F204" s="3">
        <v>45993</v>
      </c>
      <c r="G204">
        <v>202609</v>
      </c>
      <c r="H204" t="s">
        <v>75</v>
      </c>
      <c r="I204" t="s">
        <v>76</v>
      </c>
      <c r="J204" t="s">
        <v>77</v>
      </c>
      <c r="K204" t="s">
        <v>78</v>
      </c>
      <c r="L204" t="s">
        <v>437</v>
      </c>
      <c r="M204" t="s">
        <v>438</v>
      </c>
      <c r="N204" t="s">
        <v>439</v>
      </c>
      <c r="O204" t="s">
        <v>89</v>
      </c>
      <c r="P204" t="str">
        <f>"4170071436                    "</f>
        <v xml:space="preserve">4170071436           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43.09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1</v>
      </c>
      <c r="BI204">
        <v>1</v>
      </c>
      <c r="BJ204">
        <v>0.2</v>
      </c>
      <c r="BK204">
        <v>1</v>
      </c>
      <c r="BL204">
        <v>141.02000000000001</v>
      </c>
      <c r="BM204">
        <v>21.15</v>
      </c>
      <c r="BN204">
        <v>162.16999999999999</v>
      </c>
      <c r="BO204">
        <v>162.16999999999999</v>
      </c>
      <c r="BQ204" t="s">
        <v>440</v>
      </c>
      <c r="BR204" t="s">
        <v>82</v>
      </c>
      <c r="BS204" s="3">
        <v>45994</v>
      </c>
      <c r="BT204" s="4">
        <v>0.75</v>
      </c>
      <c r="BU204" t="s">
        <v>704</v>
      </c>
      <c r="BV204" t="s">
        <v>87</v>
      </c>
      <c r="BY204">
        <v>1200</v>
      </c>
      <c r="CA204" t="s">
        <v>705</v>
      </c>
      <c r="CC204" t="s">
        <v>438</v>
      </c>
      <c r="CD204">
        <v>3290</v>
      </c>
      <c r="CE204" t="s">
        <v>134</v>
      </c>
      <c r="CF204" s="3">
        <v>45995</v>
      </c>
      <c r="CI204">
        <v>1</v>
      </c>
      <c r="CJ204">
        <v>1</v>
      </c>
      <c r="CK204">
        <v>23</v>
      </c>
      <c r="CL204" t="s">
        <v>87</v>
      </c>
    </row>
    <row r="205" spans="1:90" x14ac:dyDescent="0.3">
      <c r="A205" t="s">
        <v>72</v>
      </c>
      <c r="B205" t="s">
        <v>73</v>
      </c>
      <c r="C205" t="s">
        <v>74</v>
      </c>
      <c r="E205" t="str">
        <f>"080069616020"</f>
        <v>080069616020</v>
      </c>
      <c r="F205" s="3">
        <v>45993</v>
      </c>
      <c r="G205">
        <v>202609</v>
      </c>
      <c r="H205" t="s">
        <v>75</v>
      </c>
      <c r="I205" t="s">
        <v>76</v>
      </c>
      <c r="J205" t="s">
        <v>77</v>
      </c>
      <c r="K205" t="s">
        <v>78</v>
      </c>
      <c r="L205" t="s">
        <v>706</v>
      </c>
      <c r="M205" t="s">
        <v>707</v>
      </c>
      <c r="N205" t="s">
        <v>708</v>
      </c>
      <c r="O205" t="s">
        <v>89</v>
      </c>
      <c r="P205" t="str">
        <f>"4170071459                    "</f>
        <v xml:space="preserve">4170071459         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43.09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1</v>
      </c>
      <c r="BI205">
        <v>1</v>
      </c>
      <c r="BJ205">
        <v>0.2</v>
      </c>
      <c r="BK205">
        <v>1</v>
      </c>
      <c r="BL205">
        <v>141.02000000000001</v>
      </c>
      <c r="BM205">
        <v>21.15</v>
      </c>
      <c r="BN205">
        <v>162.16999999999999</v>
      </c>
      <c r="BO205">
        <v>162.16999999999999</v>
      </c>
      <c r="BQ205" t="s">
        <v>709</v>
      </c>
      <c r="BR205" t="s">
        <v>82</v>
      </c>
      <c r="BS205" s="3">
        <v>45994</v>
      </c>
      <c r="BT205" s="4">
        <v>0.57361111111111107</v>
      </c>
      <c r="BU205" t="s">
        <v>710</v>
      </c>
      <c r="BV205" t="s">
        <v>84</v>
      </c>
      <c r="BY205">
        <v>1200</v>
      </c>
      <c r="BZ205" t="s">
        <v>35</v>
      </c>
      <c r="CA205" t="s">
        <v>711</v>
      </c>
      <c r="CC205" t="s">
        <v>707</v>
      </c>
      <c r="CD205">
        <v>1133</v>
      </c>
      <c r="CE205" t="s">
        <v>134</v>
      </c>
      <c r="CF205" s="3">
        <v>45994</v>
      </c>
      <c r="CI205">
        <v>2</v>
      </c>
      <c r="CJ205">
        <v>1</v>
      </c>
      <c r="CK205">
        <v>23</v>
      </c>
      <c r="CL205" t="s">
        <v>87</v>
      </c>
    </row>
    <row r="206" spans="1:90" x14ac:dyDescent="0.3">
      <c r="A206" t="s">
        <v>72</v>
      </c>
      <c r="B206" t="s">
        <v>73</v>
      </c>
      <c r="C206" t="s">
        <v>74</v>
      </c>
      <c r="E206" t="str">
        <f>"080069616056"</f>
        <v>080069616056</v>
      </c>
      <c r="F206" s="3">
        <v>45993</v>
      </c>
      <c r="G206">
        <v>202609</v>
      </c>
      <c r="H206" t="s">
        <v>75</v>
      </c>
      <c r="I206" t="s">
        <v>76</v>
      </c>
      <c r="J206" t="s">
        <v>77</v>
      </c>
      <c r="K206" t="s">
        <v>78</v>
      </c>
      <c r="L206" t="s">
        <v>128</v>
      </c>
      <c r="M206" t="s">
        <v>129</v>
      </c>
      <c r="N206" t="s">
        <v>712</v>
      </c>
      <c r="O206" t="s">
        <v>89</v>
      </c>
      <c r="P206" t="str">
        <f>"4170071476                    "</f>
        <v xml:space="preserve">4170071476           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22.24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1</v>
      </c>
      <c r="BI206">
        <v>1</v>
      </c>
      <c r="BJ206">
        <v>0.2</v>
      </c>
      <c r="BK206">
        <v>1</v>
      </c>
      <c r="BL206">
        <v>72.78</v>
      </c>
      <c r="BM206">
        <v>10.92</v>
      </c>
      <c r="BN206">
        <v>83.7</v>
      </c>
      <c r="BO206">
        <v>83.7</v>
      </c>
      <c r="BQ206" t="s">
        <v>713</v>
      </c>
      <c r="BR206" t="s">
        <v>82</v>
      </c>
      <c r="BS206" s="3">
        <v>45994</v>
      </c>
      <c r="BT206" s="4">
        <v>0.67708333333333337</v>
      </c>
      <c r="BU206" t="s">
        <v>714</v>
      </c>
      <c r="BV206" t="s">
        <v>87</v>
      </c>
      <c r="BW206" t="s">
        <v>715</v>
      </c>
      <c r="BX206" t="s">
        <v>187</v>
      </c>
      <c r="BY206">
        <v>1200</v>
      </c>
      <c r="CA206" t="s">
        <v>188</v>
      </c>
      <c r="CC206" t="s">
        <v>129</v>
      </c>
      <c r="CD206">
        <v>5201</v>
      </c>
      <c r="CE206" t="s">
        <v>134</v>
      </c>
      <c r="CF206" s="3">
        <v>45995</v>
      </c>
      <c r="CI206">
        <v>1</v>
      </c>
      <c r="CJ206">
        <v>1</v>
      </c>
      <c r="CK206">
        <v>21</v>
      </c>
      <c r="CL206" t="s">
        <v>87</v>
      </c>
    </row>
    <row r="207" spans="1:90" x14ac:dyDescent="0.3">
      <c r="A207" t="s">
        <v>72</v>
      </c>
      <c r="B207" t="s">
        <v>73</v>
      </c>
      <c r="C207" t="s">
        <v>74</v>
      </c>
      <c r="E207" t="str">
        <f>"080069616102"</f>
        <v>080069616102</v>
      </c>
      <c r="F207" s="3">
        <v>45993</v>
      </c>
      <c r="G207">
        <v>202609</v>
      </c>
      <c r="H207" t="s">
        <v>75</v>
      </c>
      <c r="I207" t="s">
        <v>76</v>
      </c>
      <c r="J207" t="s">
        <v>77</v>
      </c>
      <c r="K207" t="s">
        <v>78</v>
      </c>
      <c r="L207" t="s">
        <v>265</v>
      </c>
      <c r="M207" t="s">
        <v>266</v>
      </c>
      <c r="N207" t="s">
        <v>474</v>
      </c>
      <c r="O207" t="s">
        <v>340</v>
      </c>
      <c r="P207" t="str">
        <f>"4170071453                    "</f>
        <v xml:space="preserve">4170071453           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17.38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6</v>
      </c>
      <c r="BJ207">
        <v>1.4</v>
      </c>
      <c r="BK207">
        <v>6</v>
      </c>
      <c r="BL207">
        <v>56.87</v>
      </c>
      <c r="BM207">
        <v>8.5299999999999994</v>
      </c>
      <c r="BN207">
        <v>65.400000000000006</v>
      </c>
      <c r="BO207">
        <v>65.400000000000006</v>
      </c>
      <c r="BQ207" t="s">
        <v>475</v>
      </c>
      <c r="BR207" t="s">
        <v>82</v>
      </c>
      <c r="BS207" s="3">
        <v>45994</v>
      </c>
      <c r="BT207" s="4">
        <v>0.38194444444444442</v>
      </c>
      <c r="BU207" t="s">
        <v>716</v>
      </c>
      <c r="BV207" t="s">
        <v>84</v>
      </c>
      <c r="BY207">
        <v>7000</v>
      </c>
      <c r="CA207" t="s">
        <v>417</v>
      </c>
      <c r="CC207" t="s">
        <v>266</v>
      </c>
      <c r="CD207">
        <v>1459</v>
      </c>
      <c r="CE207" t="s">
        <v>86</v>
      </c>
      <c r="CF207" s="3">
        <v>45994</v>
      </c>
      <c r="CI207">
        <v>1</v>
      </c>
      <c r="CJ207">
        <v>1</v>
      </c>
      <c r="CK207">
        <v>32</v>
      </c>
      <c r="CL207" t="s">
        <v>87</v>
      </c>
    </row>
    <row r="208" spans="1:90" x14ac:dyDescent="0.3">
      <c r="A208" t="s">
        <v>72</v>
      </c>
      <c r="B208" t="s">
        <v>73</v>
      </c>
      <c r="C208" t="s">
        <v>74</v>
      </c>
      <c r="E208" t="str">
        <f>"080069616142"</f>
        <v>080069616142</v>
      </c>
      <c r="F208" s="3">
        <v>45993</v>
      </c>
      <c r="G208">
        <v>202609</v>
      </c>
      <c r="H208" t="s">
        <v>75</v>
      </c>
      <c r="I208" t="s">
        <v>76</v>
      </c>
      <c r="J208" t="s">
        <v>77</v>
      </c>
      <c r="K208" t="s">
        <v>78</v>
      </c>
      <c r="L208" t="s">
        <v>465</v>
      </c>
      <c r="M208" t="s">
        <v>466</v>
      </c>
      <c r="N208" t="s">
        <v>717</v>
      </c>
      <c r="O208" t="s">
        <v>340</v>
      </c>
      <c r="P208" t="str">
        <f>"4170071427                    "</f>
        <v xml:space="preserve">4170071427          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17.38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3.6</v>
      </c>
      <c r="BJ208">
        <v>1</v>
      </c>
      <c r="BK208">
        <v>4</v>
      </c>
      <c r="BL208">
        <v>56.87</v>
      </c>
      <c r="BM208">
        <v>8.5299999999999994</v>
      </c>
      <c r="BN208">
        <v>65.400000000000006</v>
      </c>
      <c r="BO208">
        <v>65.400000000000006</v>
      </c>
      <c r="BQ208" t="s">
        <v>718</v>
      </c>
      <c r="BR208" t="s">
        <v>82</v>
      </c>
      <c r="BS208" s="3">
        <v>45994</v>
      </c>
      <c r="BT208" s="4">
        <v>0.46736111111111112</v>
      </c>
      <c r="BU208" t="s">
        <v>719</v>
      </c>
      <c r="BV208" t="s">
        <v>84</v>
      </c>
      <c r="BY208">
        <v>5124.74</v>
      </c>
      <c r="CA208" t="s">
        <v>720</v>
      </c>
      <c r="CC208" t="s">
        <v>466</v>
      </c>
      <c r="CD208">
        <v>1422</v>
      </c>
      <c r="CE208" t="s">
        <v>86</v>
      </c>
      <c r="CF208" s="3">
        <v>45994</v>
      </c>
      <c r="CI208">
        <v>1</v>
      </c>
      <c r="CJ208">
        <v>1</v>
      </c>
      <c r="CK208">
        <v>32</v>
      </c>
      <c r="CL208" t="s">
        <v>87</v>
      </c>
    </row>
    <row r="209" spans="1:90" x14ac:dyDescent="0.3">
      <c r="A209" t="s">
        <v>72</v>
      </c>
      <c r="B209" t="s">
        <v>73</v>
      </c>
      <c r="C209" t="s">
        <v>74</v>
      </c>
      <c r="E209" t="str">
        <f>"080069616184"</f>
        <v>080069616184</v>
      </c>
      <c r="F209" s="3">
        <v>45993</v>
      </c>
      <c r="G209">
        <v>202609</v>
      </c>
      <c r="H209" t="s">
        <v>75</v>
      </c>
      <c r="I209" t="s">
        <v>76</v>
      </c>
      <c r="J209" t="s">
        <v>77</v>
      </c>
      <c r="K209" t="s">
        <v>78</v>
      </c>
      <c r="L209" t="s">
        <v>176</v>
      </c>
      <c r="M209" t="s">
        <v>177</v>
      </c>
      <c r="N209" t="s">
        <v>178</v>
      </c>
      <c r="O209" t="s">
        <v>89</v>
      </c>
      <c r="P209" t="str">
        <f>"4170071474                    "</f>
        <v xml:space="preserve">4170071474           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17.37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1.4</v>
      </c>
      <c r="BJ209">
        <v>0.8</v>
      </c>
      <c r="BK209">
        <v>2</v>
      </c>
      <c r="BL209">
        <v>56.85</v>
      </c>
      <c r="BM209">
        <v>8.5299999999999994</v>
      </c>
      <c r="BN209">
        <v>65.38</v>
      </c>
      <c r="BO209">
        <v>65.38</v>
      </c>
      <c r="BQ209" t="s">
        <v>179</v>
      </c>
      <c r="BR209" t="s">
        <v>82</v>
      </c>
      <c r="BS209" s="3">
        <v>45994</v>
      </c>
      <c r="BT209" s="4">
        <v>0.4</v>
      </c>
      <c r="BU209" t="s">
        <v>180</v>
      </c>
      <c r="BV209" t="s">
        <v>84</v>
      </c>
      <c r="BY209">
        <v>4183.38</v>
      </c>
      <c r="CA209" t="s">
        <v>182</v>
      </c>
      <c r="CC209" t="s">
        <v>177</v>
      </c>
      <c r="CD209">
        <v>2094</v>
      </c>
      <c r="CE209" t="s">
        <v>86</v>
      </c>
      <c r="CF209" s="3">
        <v>45994</v>
      </c>
      <c r="CI209">
        <v>1</v>
      </c>
      <c r="CJ209">
        <v>1</v>
      </c>
      <c r="CK209">
        <v>22</v>
      </c>
      <c r="CL209" t="s">
        <v>87</v>
      </c>
    </row>
    <row r="210" spans="1:90" x14ac:dyDescent="0.3">
      <c r="A210" t="s">
        <v>72</v>
      </c>
      <c r="B210" t="s">
        <v>73</v>
      </c>
      <c r="C210" t="s">
        <v>74</v>
      </c>
      <c r="E210" t="str">
        <f>"080069616217"</f>
        <v>080069616217</v>
      </c>
      <c r="F210" s="3">
        <v>45993</v>
      </c>
      <c r="G210">
        <v>202609</v>
      </c>
      <c r="H210" t="s">
        <v>75</v>
      </c>
      <c r="I210" t="s">
        <v>76</v>
      </c>
      <c r="J210" t="s">
        <v>77</v>
      </c>
      <c r="K210" t="s">
        <v>78</v>
      </c>
      <c r="L210" t="s">
        <v>141</v>
      </c>
      <c r="M210" t="s">
        <v>142</v>
      </c>
      <c r="N210" t="s">
        <v>721</v>
      </c>
      <c r="O210" t="s">
        <v>80</v>
      </c>
      <c r="P210" t="str">
        <f>"4170071432                    "</f>
        <v xml:space="preserve">4170071432           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46.56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6.5</v>
      </c>
      <c r="BJ210">
        <v>16.2</v>
      </c>
      <c r="BK210">
        <v>17</v>
      </c>
      <c r="BL210">
        <v>158.47999999999999</v>
      </c>
      <c r="BM210">
        <v>23.77</v>
      </c>
      <c r="BN210">
        <v>182.25</v>
      </c>
      <c r="BO210">
        <v>182.25</v>
      </c>
      <c r="BQ210" t="s">
        <v>722</v>
      </c>
      <c r="BR210" t="s">
        <v>82</v>
      </c>
      <c r="BS210" s="3">
        <v>45995</v>
      </c>
      <c r="BT210" s="4">
        <v>0.41944444444444445</v>
      </c>
      <c r="BU210" t="s">
        <v>723</v>
      </c>
      <c r="BV210" t="s">
        <v>84</v>
      </c>
      <c r="BY210">
        <v>80901.119999999995</v>
      </c>
      <c r="BZ210" t="s">
        <v>724</v>
      </c>
      <c r="CA210" t="s">
        <v>489</v>
      </c>
      <c r="CC210" t="s">
        <v>142</v>
      </c>
      <c r="CD210">
        <v>6012</v>
      </c>
      <c r="CE210" t="s">
        <v>147</v>
      </c>
      <c r="CF210" s="3">
        <v>45995</v>
      </c>
      <c r="CI210">
        <v>3</v>
      </c>
      <c r="CJ210">
        <v>2</v>
      </c>
      <c r="CK210">
        <v>41</v>
      </c>
      <c r="CL210" t="s">
        <v>87</v>
      </c>
    </row>
    <row r="211" spans="1:90" x14ac:dyDescent="0.3">
      <c r="A211" t="s">
        <v>72</v>
      </c>
      <c r="B211" t="s">
        <v>73</v>
      </c>
      <c r="C211" t="s">
        <v>74</v>
      </c>
      <c r="E211" t="str">
        <f>"080069617093"</f>
        <v>080069617093</v>
      </c>
      <c r="F211" s="3">
        <v>45993</v>
      </c>
      <c r="G211">
        <v>202609</v>
      </c>
      <c r="H211" t="s">
        <v>75</v>
      </c>
      <c r="I211" t="s">
        <v>76</v>
      </c>
      <c r="J211" t="s">
        <v>77</v>
      </c>
      <c r="K211" t="s">
        <v>78</v>
      </c>
      <c r="L211" t="s">
        <v>176</v>
      </c>
      <c r="M211" t="s">
        <v>177</v>
      </c>
      <c r="N211" t="s">
        <v>677</v>
      </c>
      <c r="O211" t="s">
        <v>89</v>
      </c>
      <c r="P211" t="str">
        <f>"4170071463                    "</f>
        <v xml:space="preserve">4170071463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3</v>
      </c>
      <c r="BJ211">
        <v>0</v>
      </c>
      <c r="BK211">
        <v>3</v>
      </c>
      <c r="BL211">
        <v>0</v>
      </c>
      <c r="BM211">
        <v>0</v>
      </c>
      <c r="BN211">
        <v>0</v>
      </c>
      <c r="BO211">
        <v>0</v>
      </c>
      <c r="BQ211" t="s">
        <v>678</v>
      </c>
      <c r="BR211" t="s">
        <v>82</v>
      </c>
      <c r="BS211" s="3">
        <v>45993</v>
      </c>
      <c r="BT211" s="4">
        <v>0.5541666666666667</v>
      </c>
      <c r="BU211" t="s">
        <v>725</v>
      </c>
      <c r="BV211" t="s">
        <v>84</v>
      </c>
      <c r="BY211">
        <v>8816</v>
      </c>
      <c r="BZ211" t="s">
        <v>726</v>
      </c>
      <c r="CA211" t="s">
        <v>727</v>
      </c>
      <c r="CC211" t="s">
        <v>177</v>
      </c>
      <c r="CD211">
        <v>2188</v>
      </c>
      <c r="CE211" t="s">
        <v>147</v>
      </c>
      <c r="CI211">
        <v>1</v>
      </c>
      <c r="CJ211">
        <v>0</v>
      </c>
      <c r="CK211">
        <v>-1</v>
      </c>
      <c r="CL211" t="s">
        <v>87</v>
      </c>
    </row>
    <row r="212" spans="1:90" x14ac:dyDescent="0.3">
      <c r="A212" t="s">
        <v>72</v>
      </c>
      <c r="B212" t="s">
        <v>73</v>
      </c>
      <c r="C212" t="s">
        <v>74</v>
      </c>
      <c r="E212" t="str">
        <f>"080069617135"</f>
        <v>080069617135</v>
      </c>
      <c r="F212" s="3">
        <v>45993</v>
      </c>
      <c r="G212">
        <v>202609</v>
      </c>
      <c r="H212" t="s">
        <v>75</v>
      </c>
      <c r="I212" t="s">
        <v>76</v>
      </c>
      <c r="J212" t="s">
        <v>77</v>
      </c>
      <c r="K212" t="s">
        <v>78</v>
      </c>
      <c r="L212" t="s">
        <v>141</v>
      </c>
      <c r="M212" t="s">
        <v>142</v>
      </c>
      <c r="N212" t="s">
        <v>728</v>
      </c>
      <c r="O212" t="s">
        <v>89</v>
      </c>
      <c r="P212" t="str">
        <f>"4170071434                    "</f>
        <v xml:space="preserve">4170071434            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1</v>
      </c>
      <c r="BI212">
        <v>1</v>
      </c>
      <c r="BJ212">
        <v>0</v>
      </c>
      <c r="BK212">
        <v>1</v>
      </c>
      <c r="BL212">
        <v>0</v>
      </c>
      <c r="BM212">
        <v>0</v>
      </c>
      <c r="BN212">
        <v>0</v>
      </c>
      <c r="BO212">
        <v>0</v>
      </c>
      <c r="BQ212" t="s">
        <v>729</v>
      </c>
      <c r="BR212" t="s">
        <v>82</v>
      </c>
      <c r="BS212" s="3">
        <v>45993</v>
      </c>
      <c r="BT212" s="4">
        <v>0.5541666666666667</v>
      </c>
      <c r="BU212" t="s">
        <v>725</v>
      </c>
      <c r="BV212" t="s">
        <v>84</v>
      </c>
      <c r="BY212">
        <v>1200</v>
      </c>
      <c r="BZ212" t="s">
        <v>730</v>
      </c>
      <c r="CA212" t="s">
        <v>727</v>
      </c>
      <c r="CC212" t="s">
        <v>142</v>
      </c>
      <c r="CD212">
        <v>6100</v>
      </c>
      <c r="CE212" t="s">
        <v>127</v>
      </c>
      <c r="CI212">
        <v>1</v>
      </c>
      <c r="CJ212">
        <v>0</v>
      </c>
      <c r="CK212">
        <v>-1</v>
      </c>
      <c r="CL212" t="s">
        <v>87</v>
      </c>
    </row>
    <row r="213" spans="1:90" x14ac:dyDescent="0.3">
      <c r="A213" t="s">
        <v>72</v>
      </c>
      <c r="B213" t="s">
        <v>73</v>
      </c>
      <c r="C213" t="s">
        <v>74</v>
      </c>
      <c r="E213" t="str">
        <f>"080069617257"</f>
        <v>080069617257</v>
      </c>
      <c r="F213" s="3">
        <v>45993</v>
      </c>
      <c r="G213">
        <v>202609</v>
      </c>
      <c r="H213" t="s">
        <v>75</v>
      </c>
      <c r="I213" t="s">
        <v>76</v>
      </c>
      <c r="J213" t="s">
        <v>77</v>
      </c>
      <c r="K213" t="s">
        <v>78</v>
      </c>
      <c r="L213" t="s">
        <v>141</v>
      </c>
      <c r="M213" t="s">
        <v>142</v>
      </c>
      <c r="N213" t="s">
        <v>731</v>
      </c>
      <c r="O213" t="s">
        <v>89</v>
      </c>
      <c r="P213" t="str">
        <f>"4170071435                    "</f>
        <v xml:space="preserve">4170071435           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22.24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1</v>
      </c>
      <c r="BJ213">
        <v>0.2</v>
      </c>
      <c r="BK213">
        <v>1</v>
      </c>
      <c r="BL213">
        <v>72.78</v>
      </c>
      <c r="BM213">
        <v>10.92</v>
      </c>
      <c r="BN213">
        <v>83.7</v>
      </c>
      <c r="BO213">
        <v>83.7</v>
      </c>
      <c r="BQ213" t="s">
        <v>732</v>
      </c>
      <c r="BR213" t="s">
        <v>82</v>
      </c>
      <c r="BS213" s="3">
        <v>45994</v>
      </c>
      <c r="BT213" s="4">
        <v>0.42986111111111114</v>
      </c>
      <c r="BU213" t="s">
        <v>733</v>
      </c>
      <c r="BV213" t="s">
        <v>84</v>
      </c>
      <c r="BY213">
        <v>1200</v>
      </c>
      <c r="CA213" t="s">
        <v>277</v>
      </c>
      <c r="CC213" t="s">
        <v>142</v>
      </c>
      <c r="CD213">
        <v>6001</v>
      </c>
      <c r="CE213" t="s">
        <v>450</v>
      </c>
      <c r="CF213" s="3">
        <v>45994</v>
      </c>
      <c r="CI213">
        <v>1</v>
      </c>
      <c r="CJ213">
        <v>1</v>
      </c>
      <c r="CK213">
        <v>21</v>
      </c>
      <c r="CL213" t="s">
        <v>87</v>
      </c>
    </row>
    <row r="214" spans="1:90" x14ac:dyDescent="0.3">
      <c r="A214" t="s">
        <v>72</v>
      </c>
      <c r="B214" t="s">
        <v>73</v>
      </c>
      <c r="C214" t="s">
        <v>74</v>
      </c>
      <c r="E214" t="str">
        <f>"080069617404"</f>
        <v>080069617404</v>
      </c>
      <c r="F214" s="3">
        <v>45993</v>
      </c>
      <c r="G214">
        <v>202609</v>
      </c>
      <c r="H214" t="s">
        <v>75</v>
      </c>
      <c r="I214" t="s">
        <v>76</v>
      </c>
      <c r="J214" t="s">
        <v>77</v>
      </c>
      <c r="K214" t="s">
        <v>78</v>
      </c>
      <c r="L214" t="s">
        <v>176</v>
      </c>
      <c r="M214" t="s">
        <v>177</v>
      </c>
      <c r="N214" t="s">
        <v>410</v>
      </c>
      <c r="O214" t="s">
        <v>89</v>
      </c>
      <c r="P214" t="str">
        <f>"4170071446                    "</f>
        <v xml:space="preserve">4170071446           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17.37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1</v>
      </c>
      <c r="BI214">
        <v>1</v>
      </c>
      <c r="BJ214">
        <v>0.2</v>
      </c>
      <c r="BK214">
        <v>1</v>
      </c>
      <c r="BL214">
        <v>56.85</v>
      </c>
      <c r="BM214">
        <v>8.5299999999999994</v>
      </c>
      <c r="BN214">
        <v>65.38</v>
      </c>
      <c r="BO214">
        <v>65.38</v>
      </c>
      <c r="BQ214" t="s">
        <v>411</v>
      </c>
      <c r="BR214" t="s">
        <v>82</v>
      </c>
      <c r="BS214" s="3">
        <v>45994</v>
      </c>
      <c r="BT214" s="4">
        <v>0.39583333333333331</v>
      </c>
      <c r="BU214" t="s">
        <v>412</v>
      </c>
      <c r="BV214" t="s">
        <v>84</v>
      </c>
      <c r="BY214">
        <v>1200</v>
      </c>
      <c r="CA214" t="s">
        <v>413</v>
      </c>
      <c r="CC214" t="s">
        <v>177</v>
      </c>
      <c r="CD214">
        <v>2013</v>
      </c>
      <c r="CE214" t="s">
        <v>134</v>
      </c>
      <c r="CF214" s="3">
        <v>45995</v>
      </c>
      <c r="CI214">
        <v>1</v>
      </c>
      <c r="CJ214">
        <v>1</v>
      </c>
      <c r="CK214">
        <v>22</v>
      </c>
      <c r="CL214" t="s">
        <v>87</v>
      </c>
    </row>
    <row r="215" spans="1:90" x14ac:dyDescent="0.3">
      <c r="A215" t="s">
        <v>72</v>
      </c>
      <c r="B215" t="s">
        <v>73</v>
      </c>
      <c r="C215" t="s">
        <v>74</v>
      </c>
      <c r="E215" t="str">
        <f>"080069617449"</f>
        <v>080069617449</v>
      </c>
      <c r="F215" s="3">
        <v>45993</v>
      </c>
      <c r="G215">
        <v>202609</v>
      </c>
      <c r="H215" t="s">
        <v>75</v>
      </c>
      <c r="I215" t="s">
        <v>76</v>
      </c>
      <c r="J215" t="s">
        <v>77</v>
      </c>
      <c r="K215" t="s">
        <v>78</v>
      </c>
      <c r="L215" t="s">
        <v>100</v>
      </c>
      <c r="M215" t="s">
        <v>101</v>
      </c>
      <c r="N215" t="s">
        <v>734</v>
      </c>
      <c r="O215" t="s">
        <v>89</v>
      </c>
      <c r="P215" t="str">
        <f>"4170071433                    "</f>
        <v xml:space="preserve">4170071433           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22.24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1</v>
      </c>
      <c r="BI215">
        <v>1</v>
      </c>
      <c r="BJ215">
        <v>0.2</v>
      </c>
      <c r="BK215">
        <v>1</v>
      </c>
      <c r="BL215">
        <v>72.78</v>
      </c>
      <c r="BM215">
        <v>10.92</v>
      </c>
      <c r="BN215">
        <v>83.7</v>
      </c>
      <c r="BO215">
        <v>83.7</v>
      </c>
      <c r="BQ215" t="s">
        <v>735</v>
      </c>
      <c r="BR215" t="s">
        <v>82</v>
      </c>
      <c r="BS215" s="3">
        <v>45994</v>
      </c>
      <c r="BT215" s="4">
        <v>0.52083333333333337</v>
      </c>
      <c r="BU215" t="s">
        <v>736</v>
      </c>
      <c r="BV215" t="s">
        <v>87</v>
      </c>
      <c r="BW215" t="s">
        <v>174</v>
      </c>
      <c r="BX215" t="s">
        <v>247</v>
      </c>
      <c r="BY215">
        <v>1200</v>
      </c>
      <c r="CA215" t="s">
        <v>248</v>
      </c>
      <c r="CC215" t="s">
        <v>101</v>
      </c>
      <c r="CD215">
        <v>4068</v>
      </c>
      <c r="CE215" t="s">
        <v>134</v>
      </c>
      <c r="CF215" s="3">
        <v>45994</v>
      </c>
      <c r="CI215">
        <v>1</v>
      </c>
      <c r="CJ215">
        <v>1</v>
      </c>
      <c r="CK215">
        <v>21</v>
      </c>
      <c r="CL215" t="s">
        <v>87</v>
      </c>
    </row>
    <row r="216" spans="1:90" x14ac:dyDescent="0.3">
      <c r="A216" t="s">
        <v>72</v>
      </c>
      <c r="B216" t="s">
        <v>73</v>
      </c>
      <c r="C216" t="s">
        <v>74</v>
      </c>
      <c r="E216" t="str">
        <f>"080069617627"</f>
        <v>080069617627</v>
      </c>
      <c r="F216" s="3">
        <v>45993</v>
      </c>
      <c r="G216">
        <v>202609</v>
      </c>
      <c r="H216" t="s">
        <v>75</v>
      </c>
      <c r="I216" t="s">
        <v>76</v>
      </c>
      <c r="J216" t="s">
        <v>77</v>
      </c>
      <c r="K216" t="s">
        <v>78</v>
      </c>
      <c r="L216" t="s">
        <v>141</v>
      </c>
      <c r="M216" t="s">
        <v>142</v>
      </c>
      <c r="N216" t="s">
        <v>728</v>
      </c>
      <c r="O216" t="s">
        <v>89</v>
      </c>
      <c r="P216" t="str">
        <f>"4170071434                    "</f>
        <v xml:space="preserve">4170071434           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61.14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1</v>
      </c>
      <c r="BI216">
        <v>5.5</v>
      </c>
      <c r="BJ216">
        <v>1.8</v>
      </c>
      <c r="BK216">
        <v>5.5</v>
      </c>
      <c r="BL216">
        <v>200.09</v>
      </c>
      <c r="BM216">
        <v>30.01</v>
      </c>
      <c r="BN216">
        <v>230.1</v>
      </c>
      <c r="BO216">
        <v>230.1</v>
      </c>
      <c r="BQ216" t="s">
        <v>729</v>
      </c>
      <c r="BR216" t="s">
        <v>82</v>
      </c>
      <c r="BS216" s="3">
        <v>45994</v>
      </c>
      <c r="BT216" s="4">
        <v>0.43125000000000002</v>
      </c>
      <c r="BU216" t="s">
        <v>737</v>
      </c>
      <c r="BV216" t="s">
        <v>84</v>
      </c>
      <c r="BY216">
        <v>9010.43</v>
      </c>
      <c r="CA216" t="s">
        <v>738</v>
      </c>
      <c r="CC216" t="s">
        <v>142</v>
      </c>
      <c r="CD216">
        <v>6100</v>
      </c>
      <c r="CE216" t="s">
        <v>86</v>
      </c>
      <c r="CF216" s="3">
        <v>45995</v>
      </c>
      <c r="CI216">
        <v>1</v>
      </c>
      <c r="CJ216">
        <v>1</v>
      </c>
      <c r="CK216">
        <v>21</v>
      </c>
      <c r="CL216" t="s">
        <v>87</v>
      </c>
    </row>
    <row r="217" spans="1:90" x14ac:dyDescent="0.3">
      <c r="A217" t="s">
        <v>72</v>
      </c>
      <c r="B217" t="s">
        <v>73</v>
      </c>
      <c r="C217" t="s">
        <v>74</v>
      </c>
      <c r="E217" t="str">
        <f>"080069617800"</f>
        <v>080069617800</v>
      </c>
      <c r="F217" s="3">
        <v>45993</v>
      </c>
      <c r="G217">
        <v>202609</v>
      </c>
      <c r="H217" t="s">
        <v>75</v>
      </c>
      <c r="I217" t="s">
        <v>76</v>
      </c>
      <c r="J217" t="s">
        <v>77</v>
      </c>
      <c r="K217" t="s">
        <v>78</v>
      </c>
      <c r="L217" t="s">
        <v>176</v>
      </c>
      <c r="M217" t="s">
        <v>177</v>
      </c>
      <c r="N217" t="s">
        <v>677</v>
      </c>
      <c r="O217" t="s">
        <v>89</v>
      </c>
      <c r="P217" t="str">
        <f>"4170071463                    "</f>
        <v xml:space="preserve">4170071463              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17.37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17.41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1</v>
      </c>
      <c r="BI217">
        <v>2.9</v>
      </c>
      <c r="BJ217">
        <v>1.6</v>
      </c>
      <c r="BK217">
        <v>3</v>
      </c>
      <c r="BL217">
        <v>74.260000000000005</v>
      </c>
      <c r="BM217">
        <v>11.14</v>
      </c>
      <c r="BN217">
        <v>85.4</v>
      </c>
      <c r="BO217">
        <v>85.4</v>
      </c>
      <c r="BQ217" t="s">
        <v>678</v>
      </c>
      <c r="BR217" t="s">
        <v>82</v>
      </c>
      <c r="BS217" s="3">
        <v>45994</v>
      </c>
      <c r="BT217" s="4">
        <v>0.43402777777777779</v>
      </c>
      <c r="BU217" t="s">
        <v>679</v>
      </c>
      <c r="BV217" t="s">
        <v>84</v>
      </c>
      <c r="BY217">
        <v>8116.8</v>
      </c>
      <c r="BZ217" t="s">
        <v>30</v>
      </c>
      <c r="CA217" t="s">
        <v>680</v>
      </c>
      <c r="CC217" t="s">
        <v>177</v>
      </c>
      <c r="CD217">
        <v>2188</v>
      </c>
      <c r="CE217" t="s">
        <v>86</v>
      </c>
      <c r="CF217" s="3">
        <v>45994</v>
      </c>
      <c r="CI217">
        <v>1</v>
      </c>
      <c r="CJ217">
        <v>1</v>
      </c>
      <c r="CK217">
        <v>22</v>
      </c>
      <c r="CL217" t="s">
        <v>87</v>
      </c>
    </row>
    <row r="218" spans="1:90" x14ac:dyDescent="0.3">
      <c r="A218" t="s">
        <v>72</v>
      </c>
      <c r="B218" t="s">
        <v>73</v>
      </c>
      <c r="C218" t="s">
        <v>74</v>
      </c>
      <c r="E218" t="str">
        <f>"080069617857"</f>
        <v>080069617857</v>
      </c>
      <c r="F218" s="3">
        <v>45993</v>
      </c>
      <c r="G218">
        <v>202609</v>
      </c>
      <c r="H218" t="s">
        <v>75</v>
      </c>
      <c r="I218" t="s">
        <v>76</v>
      </c>
      <c r="J218" t="s">
        <v>77</v>
      </c>
      <c r="K218" t="s">
        <v>78</v>
      </c>
      <c r="L218" t="s">
        <v>618</v>
      </c>
      <c r="M218" t="s">
        <v>619</v>
      </c>
      <c r="N218" t="s">
        <v>739</v>
      </c>
      <c r="O218" t="s">
        <v>89</v>
      </c>
      <c r="P218" t="str">
        <f>"4170071440                    "</f>
        <v xml:space="preserve">4170071440              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22.24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1</v>
      </c>
      <c r="BI218">
        <v>1</v>
      </c>
      <c r="BJ218">
        <v>0.2</v>
      </c>
      <c r="BK218">
        <v>1</v>
      </c>
      <c r="BL218">
        <v>72.78</v>
      </c>
      <c r="BM218">
        <v>10.92</v>
      </c>
      <c r="BN218">
        <v>83.7</v>
      </c>
      <c r="BO218">
        <v>83.7</v>
      </c>
      <c r="BQ218" t="s">
        <v>740</v>
      </c>
      <c r="BR218" t="s">
        <v>82</v>
      </c>
      <c r="BS218" s="3">
        <v>45994</v>
      </c>
      <c r="BT218" s="4">
        <v>0.36944444444444446</v>
      </c>
      <c r="BU218" t="s">
        <v>741</v>
      </c>
      <c r="BV218" t="s">
        <v>84</v>
      </c>
      <c r="BY218">
        <v>1200</v>
      </c>
      <c r="CA218" t="s">
        <v>623</v>
      </c>
      <c r="CC218" t="s">
        <v>619</v>
      </c>
      <c r="CD218">
        <v>4026</v>
      </c>
      <c r="CE218" t="s">
        <v>134</v>
      </c>
      <c r="CF218" s="3">
        <v>45995</v>
      </c>
      <c r="CI218">
        <v>1</v>
      </c>
      <c r="CJ218">
        <v>1</v>
      </c>
      <c r="CK218">
        <v>21</v>
      </c>
      <c r="CL218" t="s">
        <v>87</v>
      </c>
    </row>
    <row r="219" spans="1:90" x14ac:dyDescent="0.3">
      <c r="A219" t="s">
        <v>72</v>
      </c>
      <c r="B219" t="s">
        <v>73</v>
      </c>
      <c r="C219" t="s">
        <v>74</v>
      </c>
      <c r="E219" t="str">
        <f>"080069617895"</f>
        <v>080069617895</v>
      </c>
      <c r="F219" s="3">
        <v>45993</v>
      </c>
      <c r="G219">
        <v>202609</v>
      </c>
      <c r="H219" t="s">
        <v>75</v>
      </c>
      <c r="I219" t="s">
        <v>76</v>
      </c>
      <c r="J219" t="s">
        <v>77</v>
      </c>
      <c r="K219" t="s">
        <v>78</v>
      </c>
      <c r="L219" t="s">
        <v>156</v>
      </c>
      <c r="M219" t="s">
        <v>157</v>
      </c>
      <c r="N219" t="s">
        <v>742</v>
      </c>
      <c r="O219" t="s">
        <v>89</v>
      </c>
      <c r="P219" t="str">
        <f>"4170071425                    "</f>
        <v xml:space="preserve">4170071425         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33.35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1</v>
      </c>
      <c r="BI219">
        <v>3</v>
      </c>
      <c r="BJ219">
        <v>1.9</v>
      </c>
      <c r="BK219">
        <v>3</v>
      </c>
      <c r="BL219">
        <v>109.15</v>
      </c>
      <c r="BM219">
        <v>16.37</v>
      </c>
      <c r="BN219">
        <v>125.52</v>
      </c>
      <c r="BO219">
        <v>125.52</v>
      </c>
      <c r="BQ219" t="s">
        <v>743</v>
      </c>
      <c r="BR219" t="s">
        <v>82</v>
      </c>
      <c r="BS219" s="3">
        <v>45994</v>
      </c>
      <c r="BT219" s="4">
        <v>0.39166666666666666</v>
      </c>
      <c r="BU219" t="s">
        <v>744</v>
      </c>
      <c r="BV219" t="s">
        <v>84</v>
      </c>
      <c r="BY219">
        <v>9576</v>
      </c>
      <c r="CA219" t="s">
        <v>264</v>
      </c>
      <c r="CC219" t="s">
        <v>157</v>
      </c>
      <c r="CD219">
        <v>8001</v>
      </c>
      <c r="CE219" t="s">
        <v>86</v>
      </c>
      <c r="CF219" s="3">
        <v>45995</v>
      </c>
      <c r="CI219">
        <v>1</v>
      </c>
      <c r="CJ219">
        <v>1</v>
      </c>
      <c r="CK219">
        <v>21</v>
      </c>
      <c r="CL219" t="s">
        <v>87</v>
      </c>
    </row>
    <row r="220" spans="1:90" x14ac:dyDescent="0.3">
      <c r="A220" t="s">
        <v>72</v>
      </c>
      <c r="B220" t="s">
        <v>73</v>
      </c>
      <c r="C220" t="s">
        <v>74</v>
      </c>
      <c r="E220" t="str">
        <f>"080069617951"</f>
        <v>080069617951</v>
      </c>
      <c r="F220" s="3">
        <v>45993</v>
      </c>
      <c r="G220">
        <v>202609</v>
      </c>
      <c r="H220" t="s">
        <v>75</v>
      </c>
      <c r="I220" t="s">
        <v>76</v>
      </c>
      <c r="J220" t="s">
        <v>77</v>
      </c>
      <c r="K220" t="s">
        <v>78</v>
      </c>
      <c r="L220" t="s">
        <v>502</v>
      </c>
      <c r="M220" t="s">
        <v>503</v>
      </c>
      <c r="N220" t="s">
        <v>745</v>
      </c>
      <c r="O220" t="s">
        <v>89</v>
      </c>
      <c r="P220" t="str">
        <f>"4170071414                    "</f>
        <v xml:space="preserve">4170071414           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17.37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1</v>
      </c>
      <c r="BI220">
        <v>2</v>
      </c>
      <c r="BJ220">
        <v>1.9</v>
      </c>
      <c r="BK220">
        <v>2</v>
      </c>
      <c r="BL220">
        <v>56.85</v>
      </c>
      <c r="BM220">
        <v>8.5299999999999994</v>
      </c>
      <c r="BN220">
        <v>65.38</v>
      </c>
      <c r="BO220">
        <v>65.38</v>
      </c>
      <c r="BQ220" t="s">
        <v>746</v>
      </c>
      <c r="BR220" t="s">
        <v>82</v>
      </c>
      <c r="BS220" s="3">
        <v>45994</v>
      </c>
      <c r="BT220" s="4">
        <v>0.53472222222222221</v>
      </c>
      <c r="BU220" t="s">
        <v>747</v>
      </c>
      <c r="BV220" t="s">
        <v>84</v>
      </c>
      <c r="BY220">
        <v>9576</v>
      </c>
      <c r="CA220" t="s">
        <v>507</v>
      </c>
      <c r="CC220" t="s">
        <v>503</v>
      </c>
      <c r="CD220">
        <v>1559</v>
      </c>
      <c r="CE220" t="s">
        <v>86</v>
      </c>
      <c r="CF220" s="3">
        <v>45994</v>
      </c>
      <c r="CI220">
        <v>1</v>
      </c>
      <c r="CJ220">
        <v>1</v>
      </c>
      <c r="CK220">
        <v>22</v>
      </c>
      <c r="CL220" t="s">
        <v>87</v>
      </c>
    </row>
    <row r="221" spans="1:90" x14ac:dyDescent="0.3">
      <c r="A221" t="s">
        <v>72</v>
      </c>
      <c r="B221" t="s">
        <v>73</v>
      </c>
      <c r="C221" t="s">
        <v>74</v>
      </c>
      <c r="E221" t="str">
        <f>"080069618611"</f>
        <v>080069618611</v>
      </c>
      <c r="F221" s="3">
        <v>45993</v>
      </c>
      <c r="G221">
        <v>202609</v>
      </c>
      <c r="H221" t="s">
        <v>75</v>
      </c>
      <c r="I221" t="s">
        <v>76</v>
      </c>
      <c r="J221" t="s">
        <v>77</v>
      </c>
      <c r="K221" t="s">
        <v>78</v>
      </c>
      <c r="L221" t="s">
        <v>748</v>
      </c>
      <c r="M221" t="s">
        <v>749</v>
      </c>
      <c r="N221" t="s">
        <v>750</v>
      </c>
      <c r="O221" t="s">
        <v>80</v>
      </c>
      <c r="P221" t="str">
        <f>"4170071470                    "</f>
        <v xml:space="preserve">4170071470              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60.65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5.7</v>
      </c>
      <c r="BJ221">
        <v>2.2999999999999998</v>
      </c>
      <c r="BK221">
        <v>6</v>
      </c>
      <c r="BL221">
        <v>204.6</v>
      </c>
      <c r="BM221">
        <v>30.69</v>
      </c>
      <c r="BN221">
        <v>235.29</v>
      </c>
      <c r="BO221">
        <v>235.29</v>
      </c>
      <c r="BQ221" t="s">
        <v>751</v>
      </c>
      <c r="BR221" t="s">
        <v>82</v>
      </c>
      <c r="BS221" t="s">
        <v>500</v>
      </c>
      <c r="BY221">
        <v>11452.02</v>
      </c>
      <c r="BZ221" t="s">
        <v>35</v>
      </c>
      <c r="CC221" t="s">
        <v>749</v>
      </c>
      <c r="CD221">
        <v>3760</v>
      </c>
      <c r="CE221" t="s">
        <v>752</v>
      </c>
      <c r="CI221">
        <v>6</v>
      </c>
      <c r="CJ221" t="s">
        <v>500</v>
      </c>
      <c r="CK221">
        <v>43</v>
      </c>
      <c r="CL221" t="s">
        <v>87</v>
      </c>
    </row>
    <row r="222" spans="1:90" x14ac:dyDescent="0.3">
      <c r="A222" t="s">
        <v>72</v>
      </c>
      <c r="B222" t="s">
        <v>73</v>
      </c>
      <c r="C222" t="s">
        <v>74</v>
      </c>
      <c r="E222" t="str">
        <f>"080069618659"</f>
        <v>080069618659</v>
      </c>
      <c r="F222" s="3">
        <v>45993</v>
      </c>
      <c r="G222">
        <v>202609</v>
      </c>
      <c r="H222" t="s">
        <v>75</v>
      </c>
      <c r="I222" t="s">
        <v>76</v>
      </c>
      <c r="J222" t="s">
        <v>77</v>
      </c>
      <c r="K222" t="s">
        <v>78</v>
      </c>
      <c r="L222" t="s">
        <v>135</v>
      </c>
      <c r="M222" t="s">
        <v>136</v>
      </c>
      <c r="N222" t="s">
        <v>137</v>
      </c>
      <c r="O222" t="s">
        <v>89</v>
      </c>
      <c r="P222" t="str">
        <f>"4170071437                    "</f>
        <v xml:space="preserve">4170071437      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101.46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1</v>
      </c>
      <c r="BI222">
        <v>5</v>
      </c>
      <c r="BJ222">
        <v>3</v>
      </c>
      <c r="BK222">
        <v>5</v>
      </c>
      <c r="BL222">
        <v>332.05</v>
      </c>
      <c r="BM222">
        <v>49.81</v>
      </c>
      <c r="BN222">
        <v>381.86</v>
      </c>
      <c r="BO222">
        <v>381.86</v>
      </c>
      <c r="BQ222" t="s">
        <v>138</v>
      </c>
      <c r="BR222" t="s">
        <v>82</v>
      </c>
      <c r="BS222" s="3">
        <v>45994</v>
      </c>
      <c r="BT222" s="4">
        <v>0.39861111111111114</v>
      </c>
      <c r="BU222" t="s">
        <v>139</v>
      </c>
      <c r="BV222" t="s">
        <v>84</v>
      </c>
      <c r="BY222">
        <v>14872</v>
      </c>
      <c r="CA222" t="s">
        <v>140</v>
      </c>
      <c r="CC222" t="s">
        <v>136</v>
      </c>
      <c r="CD222">
        <v>7110</v>
      </c>
      <c r="CE222" t="s">
        <v>93</v>
      </c>
      <c r="CF222" s="3">
        <v>45995</v>
      </c>
      <c r="CI222">
        <v>1</v>
      </c>
      <c r="CJ222">
        <v>1</v>
      </c>
      <c r="CK222">
        <v>23</v>
      </c>
      <c r="CL222" t="s">
        <v>87</v>
      </c>
    </row>
    <row r="223" spans="1:90" x14ac:dyDescent="0.3">
      <c r="A223" t="s">
        <v>72</v>
      </c>
      <c r="B223" t="s">
        <v>73</v>
      </c>
      <c r="C223" t="s">
        <v>74</v>
      </c>
      <c r="E223" t="str">
        <f>"080069618694"</f>
        <v>080069618694</v>
      </c>
      <c r="F223" s="3">
        <v>45993</v>
      </c>
      <c r="G223">
        <v>202609</v>
      </c>
      <c r="H223" t="s">
        <v>75</v>
      </c>
      <c r="I223" t="s">
        <v>76</v>
      </c>
      <c r="J223" t="s">
        <v>77</v>
      </c>
      <c r="K223" t="s">
        <v>78</v>
      </c>
      <c r="L223" t="s">
        <v>189</v>
      </c>
      <c r="M223" t="s">
        <v>190</v>
      </c>
      <c r="N223" t="s">
        <v>308</v>
      </c>
      <c r="O223" t="s">
        <v>89</v>
      </c>
      <c r="P223" t="str">
        <f>"4170071452                    "</f>
        <v xml:space="preserve">4170071452              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22.24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17.41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1</v>
      </c>
      <c r="BI223">
        <v>1</v>
      </c>
      <c r="BJ223">
        <v>0.2</v>
      </c>
      <c r="BK223">
        <v>1</v>
      </c>
      <c r="BL223">
        <v>90.19</v>
      </c>
      <c r="BM223">
        <v>13.53</v>
      </c>
      <c r="BN223">
        <v>103.72</v>
      </c>
      <c r="BO223">
        <v>103.72</v>
      </c>
      <c r="BQ223" t="s">
        <v>309</v>
      </c>
      <c r="BR223" t="s">
        <v>82</v>
      </c>
      <c r="BS223" t="s">
        <v>500</v>
      </c>
      <c r="BY223">
        <v>1200</v>
      </c>
      <c r="BZ223" t="s">
        <v>30</v>
      </c>
      <c r="CC223" t="s">
        <v>190</v>
      </c>
      <c r="CD223">
        <v>3699</v>
      </c>
      <c r="CE223" t="s">
        <v>134</v>
      </c>
      <c r="CI223">
        <v>1</v>
      </c>
      <c r="CJ223" t="s">
        <v>500</v>
      </c>
      <c r="CK223">
        <v>21</v>
      </c>
      <c r="CL223" t="s">
        <v>87</v>
      </c>
    </row>
    <row r="224" spans="1:90" x14ac:dyDescent="0.3">
      <c r="A224" t="s">
        <v>72</v>
      </c>
      <c r="B224" t="s">
        <v>73</v>
      </c>
      <c r="C224" t="s">
        <v>74</v>
      </c>
      <c r="E224" t="str">
        <f>"080069618997"</f>
        <v>080069618997</v>
      </c>
      <c r="F224" s="3">
        <v>45993</v>
      </c>
      <c r="G224">
        <v>202609</v>
      </c>
      <c r="H224" t="s">
        <v>75</v>
      </c>
      <c r="I224" t="s">
        <v>76</v>
      </c>
      <c r="J224" t="s">
        <v>77</v>
      </c>
      <c r="K224" t="s">
        <v>78</v>
      </c>
      <c r="L224" t="s">
        <v>75</v>
      </c>
      <c r="M224" t="s">
        <v>76</v>
      </c>
      <c r="N224" t="s">
        <v>541</v>
      </c>
      <c r="O224" t="s">
        <v>89</v>
      </c>
      <c r="P224" t="str">
        <f>"4170071410                    "</f>
        <v xml:space="preserve">4170071410          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17.37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1</v>
      </c>
      <c r="BI224">
        <v>1</v>
      </c>
      <c r="BJ224">
        <v>0.2</v>
      </c>
      <c r="BK224">
        <v>1</v>
      </c>
      <c r="BL224">
        <v>56.85</v>
      </c>
      <c r="BM224">
        <v>8.5299999999999994</v>
      </c>
      <c r="BN224">
        <v>65.38</v>
      </c>
      <c r="BO224">
        <v>65.38</v>
      </c>
      <c r="BQ224" t="s">
        <v>542</v>
      </c>
      <c r="BR224" t="s">
        <v>82</v>
      </c>
      <c r="BS224" s="3">
        <v>45994</v>
      </c>
      <c r="BT224" s="4">
        <v>0.32291666666666669</v>
      </c>
      <c r="BU224" t="s">
        <v>753</v>
      </c>
      <c r="BV224" t="s">
        <v>84</v>
      </c>
      <c r="BY224">
        <v>1200</v>
      </c>
      <c r="CA224" t="s">
        <v>754</v>
      </c>
      <c r="CC224" t="s">
        <v>76</v>
      </c>
      <c r="CD224">
        <v>1666</v>
      </c>
      <c r="CE224" t="s">
        <v>134</v>
      </c>
      <c r="CF224" s="3">
        <v>45995</v>
      </c>
      <c r="CI224">
        <v>1</v>
      </c>
      <c r="CJ224">
        <v>1</v>
      </c>
      <c r="CK224">
        <v>22</v>
      </c>
      <c r="CL224" t="s">
        <v>87</v>
      </c>
    </row>
    <row r="225" spans="1:90" x14ac:dyDescent="0.3">
      <c r="A225" t="s">
        <v>72</v>
      </c>
      <c r="B225" t="s">
        <v>73</v>
      </c>
      <c r="C225" t="s">
        <v>74</v>
      </c>
      <c r="E225" t="str">
        <f>"080069619183"</f>
        <v>080069619183</v>
      </c>
      <c r="F225" s="3">
        <v>45993</v>
      </c>
      <c r="G225">
        <v>202609</v>
      </c>
      <c r="H225" t="s">
        <v>75</v>
      </c>
      <c r="I225" t="s">
        <v>76</v>
      </c>
      <c r="J225" t="s">
        <v>77</v>
      </c>
      <c r="K225" t="s">
        <v>78</v>
      </c>
      <c r="L225" t="s">
        <v>75</v>
      </c>
      <c r="M225" t="s">
        <v>76</v>
      </c>
      <c r="N225" t="s">
        <v>755</v>
      </c>
      <c r="O225" t="s">
        <v>340</v>
      </c>
      <c r="P225" t="str">
        <f>"4170071461                    "</f>
        <v xml:space="preserve">4170071461           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17.38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2.4</v>
      </c>
      <c r="BJ225">
        <v>3.1</v>
      </c>
      <c r="BK225">
        <v>4</v>
      </c>
      <c r="BL225">
        <v>56.87</v>
      </c>
      <c r="BM225">
        <v>8.5299999999999994</v>
      </c>
      <c r="BN225">
        <v>65.400000000000006</v>
      </c>
      <c r="BO225">
        <v>65.400000000000006</v>
      </c>
      <c r="BQ225" t="s">
        <v>756</v>
      </c>
      <c r="BR225" t="s">
        <v>82</v>
      </c>
      <c r="BS225" s="3">
        <v>45994</v>
      </c>
      <c r="BT225" s="4">
        <v>0.39652777777777776</v>
      </c>
      <c r="BU225" t="s">
        <v>757</v>
      </c>
      <c r="BV225" t="s">
        <v>84</v>
      </c>
      <c r="BY225">
        <v>15572.7</v>
      </c>
      <c r="CA225" t="s">
        <v>758</v>
      </c>
      <c r="CC225" t="s">
        <v>76</v>
      </c>
      <c r="CD225">
        <v>1609</v>
      </c>
      <c r="CE225" t="s">
        <v>86</v>
      </c>
      <c r="CF225" s="3">
        <v>45994</v>
      </c>
      <c r="CI225">
        <v>1</v>
      </c>
      <c r="CJ225">
        <v>1</v>
      </c>
      <c r="CK225">
        <v>32</v>
      </c>
      <c r="CL225" t="s">
        <v>87</v>
      </c>
    </row>
    <row r="226" spans="1:90" x14ac:dyDescent="0.3">
      <c r="A226" t="s">
        <v>72</v>
      </c>
      <c r="B226" t="s">
        <v>73</v>
      </c>
      <c r="C226" t="s">
        <v>74</v>
      </c>
      <c r="E226" t="str">
        <f>"080069619217"</f>
        <v>080069619217</v>
      </c>
      <c r="F226" s="3">
        <v>45993</v>
      </c>
      <c r="G226">
        <v>202609</v>
      </c>
      <c r="H226" t="s">
        <v>75</v>
      </c>
      <c r="I226" t="s">
        <v>76</v>
      </c>
      <c r="J226" t="s">
        <v>77</v>
      </c>
      <c r="K226" t="s">
        <v>78</v>
      </c>
      <c r="L226" t="s">
        <v>608</v>
      </c>
      <c r="M226" t="s">
        <v>609</v>
      </c>
      <c r="N226" t="s">
        <v>610</v>
      </c>
      <c r="O226" t="s">
        <v>89</v>
      </c>
      <c r="P226" t="str">
        <f>"4170071439                    "</f>
        <v xml:space="preserve">4170071439           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82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1</v>
      </c>
      <c r="BI226">
        <v>4</v>
      </c>
      <c r="BJ226">
        <v>1.4</v>
      </c>
      <c r="BK226">
        <v>4</v>
      </c>
      <c r="BL226">
        <v>268.37</v>
      </c>
      <c r="BM226">
        <v>40.26</v>
      </c>
      <c r="BN226">
        <v>308.63</v>
      </c>
      <c r="BO226">
        <v>308.63</v>
      </c>
      <c r="BQ226" t="s">
        <v>611</v>
      </c>
      <c r="BR226" t="s">
        <v>82</v>
      </c>
      <c r="BS226" s="3">
        <v>45994</v>
      </c>
      <c r="BT226" s="4">
        <v>0.52986111111111112</v>
      </c>
      <c r="BU226" t="s">
        <v>612</v>
      </c>
      <c r="BV226" t="s">
        <v>84</v>
      </c>
      <c r="BY226">
        <v>7000</v>
      </c>
      <c r="CA226" t="s">
        <v>613</v>
      </c>
      <c r="CC226" t="s">
        <v>609</v>
      </c>
      <c r="CD226">
        <v>6850</v>
      </c>
      <c r="CE226" t="s">
        <v>86</v>
      </c>
      <c r="CF226" s="3">
        <v>45995</v>
      </c>
      <c r="CI226">
        <v>2</v>
      </c>
      <c r="CJ226">
        <v>1</v>
      </c>
      <c r="CK226">
        <v>23</v>
      </c>
      <c r="CL226" t="s">
        <v>87</v>
      </c>
    </row>
    <row r="227" spans="1:90" x14ac:dyDescent="0.3">
      <c r="A227" t="s">
        <v>72</v>
      </c>
      <c r="B227" t="s">
        <v>73</v>
      </c>
      <c r="C227" t="s">
        <v>74</v>
      </c>
      <c r="E227" t="str">
        <f>"080069619556"</f>
        <v>080069619556</v>
      </c>
      <c r="F227" s="3">
        <v>45993</v>
      </c>
      <c r="G227">
        <v>202609</v>
      </c>
      <c r="H227" t="s">
        <v>75</v>
      </c>
      <c r="I227" t="s">
        <v>76</v>
      </c>
      <c r="J227" t="s">
        <v>77</v>
      </c>
      <c r="K227" t="s">
        <v>78</v>
      </c>
      <c r="L227" t="s">
        <v>156</v>
      </c>
      <c r="M227" t="s">
        <v>157</v>
      </c>
      <c r="N227" t="s">
        <v>470</v>
      </c>
      <c r="O227" t="s">
        <v>89</v>
      </c>
      <c r="P227" t="str">
        <f>"4170071467                    "</f>
        <v xml:space="preserve">4170071467              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22.24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1</v>
      </c>
      <c r="BI227">
        <v>2</v>
      </c>
      <c r="BJ227">
        <v>1.5</v>
      </c>
      <c r="BK227">
        <v>2</v>
      </c>
      <c r="BL227">
        <v>72.78</v>
      </c>
      <c r="BM227">
        <v>10.92</v>
      </c>
      <c r="BN227">
        <v>83.7</v>
      </c>
      <c r="BO227">
        <v>83.7</v>
      </c>
      <c r="BQ227" t="s">
        <v>471</v>
      </c>
      <c r="BR227" t="s">
        <v>82</v>
      </c>
      <c r="BS227" s="3">
        <v>45994</v>
      </c>
      <c r="BT227" s="4">
        <v>0.41111111111111109</v>
      </c>
      <c r="BU227" t="s">
        <v>759</v>
      </c>
      <c r="BV227" t="s">
        <v>84</v>
      </c>
      <c r="BY227">
        <v>7500</v>
      </c>
      <c r="CA227" t="s">
        <v>473</v>
      </c>
      <c r="CC227" t="s">
        <v>157</v>
      </c>
      <c r="CD227">
        <v>7480</v>
      </c>
      <c r="CE227" t="s">
        <v>86</v>
      </c>
      <c r="CF227" s="3">
        <v>45995</v>
      </c>
      <c r="CI227">
        <v>1</v>
      </c>
      <c r="CJ227">
        <v>1</v>
      </c>
      <c r="CK227">
        <v>21</v>
      </c>
      <c r="CL227" t="s">
        <v>87</v>
      </c>
    </row>
    <row r="228" spans="1:90" x14ac:dyDescent="0.3">
      <c r="A228" t="s">
        <v>72</v>
      </c>
      <c r="B228" t="s">
        <v>73</v>
      </c>
      <c r="C228" t="s">
        <v>74</v>
      </c>
      <c r="E228" t="str">
        <f>"080069619592"</f>
        <v>080069619592</v>
      </c>
      <c r="F228" s="3">
        <v>45993</v>
      </c>
      <c r="G228">
        <v>202609</v>
      </c>
      <c r="H228" t="s">
        <v>75</v>
      </c>
      <c r="I228" t="s">
        <v>76</v>
      </c>
      <c r="J228" t="s">
        <v>77</v>
      </c>
      <c r="K228" t="s">
        <v>78</v>
      </c>
      <c r="L228" t="s">
        <v>302</v>
      </c>
      <c r="M228" t="s">
        <v>303</v>
      </c>
      <c r="N228" t="s">
        <v>760</v>
      </c>
      <c r="O228" t="s">
        <v>89</v>
      </c>
      <c r="P228" t="str">
        <f>"4170071460                    "</f>
        <v xml:space="preserve">4170071460              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22.24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1</v>
      </c>
      <c r="BI228">
        <v>1.9</v>
      </c>
      <c r="BJ228">
        <v>1.3</v>
      </c>
      <c r="BK228">
        <v>2</v>
      </c>
      <c r="BL228">
        <v>72.78</v>
      </c>
      <c r="BM228">
        <v>10.92</v>
      </c>
      <c r="BN228">
        <v>83.7</v>
      </c>
      <c r="BO228">
        <v>83.7</v>
      </c>
      <c r="BQ228" t="s">
        <v>761</v>
      </c>
      <c r="BR228" t="s">
        <v>82</v>
      </c>
      <c r="BS228" s="3">
        <v>45994</v>
      </c>
      <c r="BT228" s="4">
        <v>0.41875000000000001</v>
      </c>
      <c r="BU228" t="s">
        <v>762</v>
      </c>
      <c r="BV228" t="s">
        <v>84</v>
      </c>
      <c r="BY228">
        <v>6483.18</v>
      </c>
      <c r="CA228">
        <v>9103185460089</v>
      </c>
      <c r="CC228" t="s">
        <v>303</v>
      </c>
      <c r="CD228" s="5" t="s">
        <v>350</v>
      </c>
      <c r="CE228" t="s">
        <v>86</v>
      </c>
      <c r="CF228" s="3">
        <v>45994</v>
      </c>
      <c r="CI228">
        <v>1</v>
      </c>
      <c r="CJ228">
        <v>1</v>
      </c>
      <c r="CK228">
        <v>21</v>
      </c>
      <c r="CL228" t="s">
        <v>87</v>
      </c>
    </row>
    <row r="229" spans="1:90" x14ac:dyDescent="0.3">
      <c r="A229" t="s">
        <v>72</v>
      </c>
      <c r="B229" t="s">
        <v>73</v>
      </c>
      <c r="C229" t="s">
        <v>74</v>
      </c>
      <c r="E229" t="str">
        <f>"080069619622"</f>
        <v>080069619622</v>
      </c>
      <c r="F229" s="3">
        <v>45993</v>
      </c>
      <c r="G229">
        <v>202609</v>
      </c>
      <c r="H229" t="s">
        <v>75</v>
      </c>
      <c r="I229" t="s">
        <v>76</v>
      </c>
      <c r="J229" t="s">
        <v>77</v>
      </c>
      <c r="K229" t="s">
        <v>78</v>
      </c>
      <c r="L229" t="s">
        <v>533</v>
      </c>
      <c r="M229" t="s">
        <v>533</v>
      </c>
      <c r="N229" t="s">
        <v>763</v>
      </c>
      <c r="O229" t="s">
        <v>89</v>
      </c>
      <c r="P229" t="str">
        <f>"4170071462                    "</f>
        <v xml:space="preserve">4170071462               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43.09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1</v>
      </c>
      <c r="BI229">
        <v>1</v>
      </c>
      <c r="BJ229">
        <v>1.4</v>
      </c>
      <c r="BK229">
        <v>1.5</v>
      </c>
      <c r="BL229">
        <v>141.02000000000001</v>
      </c>
      <c r="BM229">
        <v>21.15</v>
      </c>
      <c r="BN229">
        <v>162.16999999999999</v>
      </c>
      <c r="BO229">
        <v>162.16999999999999</v>
      </c>
      <c r="BQ229" t="s">
        <v>764</v>
      </c>
      <c r="BR229" t="s">
        <v>82</v>
      </c>
      <c r="BS229" s="3">
        <v>45994</v>
      </c>
      <c r="BT229" s="4">
        <v>0.80069444444444449</v>
      </c>
      <c r="BU229" t="s">
        <v>765</v>
      </c>
      <c r="BV229" t="s">
        <v>87</v>
      </c>
      <c r="BW229" t="s">
        <v>153</v>
      </c>
      <c r="BX229" t="s">
        <v>345</v>
      </c>
      <c r="BY229">
        <v>7000</v>
      </c>
      <c r="CA229" t="s">
        <v>537</v>
      </c>
      <c r="CC229" t="s">
        <v>533</v>
      </c>
      <c r="CD229">
        <v>7646</v>
      </c>
      <c r="CE229" t="s">
        <v>86</v>
      </c>
      <c r="CF229" s="3">
        <v>45995</v>
      </c>
      <c r="CI229">
        <v>1</v>
      </c>
      <c r="CJ229">
        <v>1</v>
      </c>
      <c r="CK229">
        <v>23</v>
      </c>
      <c r="CL229" t="s">
        <v>87</v>
      </c>
    </row>
    <row r="230" spans="1:90" x14ac:dyDescent="0.3">
      <c r="A230" t="s">
        <v>72</v>
      </c>
      <c r="B230" t="s">
        <v>73</v>
      </c>
      <c r="C230" t="s">
        <v>74</v>
      </c>
      <c r="E230" t="str">
        <f>"080069619663"</f>
        <v>080069619663</v>
      </c>
      <c r="F230" s="3">
        <v>45993</v>
      </c>
      <c r="G230">
        <v>202609</v>
      </c>
      <c r="H230" t="s">
        <v>75</v>
      </c>
      <c r="I230" t="s">
        <v>76</v>
      </c>
      <c r="J230" t="s">
        <v>77</v>
      </c>
      <c r="K230" t="s">
        <v>78</v>
      </c>
      <c r="L230" t="s">
        <v>109</v>
      </c>
      <c r="M230" t="s">
        <v>110</v>
      </c>
      <c r="N230" t="s">
        <v>511</v>
      </c>
      <c r="O230" t="s">
        <v>89</v>
      </c>
      <c r="P230" t="str">
        <f>"4170071468                    "</f>
        <v xml:space="preserve">4170071468               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31.28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1</v>
      </c>
      <c r="BI230">
        <v>2</v>
      </c>
      <c r="BJ230">
        <v>1.1000000000000001</v>
      </c>
      <c r="BK230">
        <v>2</v>
      </c>
      <c r="BL230">
        <v>102.36</v>
      </c>
      <c r="BM230">
        <v>15.35</v>
      </c>
      <c r="BN230">
        <v>117.71</v>
      </c>
      <c r="BO230">
        <v>117.71</v>
      </c>
      <c r="BQ230" t="s">
        <v>512</v>
      </c>
      <c r="BR230" t="s">
        <v>82</v>
      </c>
      <c r="BS230" s="3">
        <v>45994</v>
      </c>
      <c r="BT230" s="4">
        <v>0.55347222222222225</v>
      </c>
      <c r="BU230" t="s">
        <v>766</v>
      </c>
      <c r="BV230" t="s">
        <v>87</v>
      </c>
      <c r="BW230" t="s">
        <v>174</v>
      </c>
      <c r="BX230" t="s">
        <v>633</v>
      </c>
      <c r="BY230">
        <v>5510</v>
      </c>
      <c r="CA230" t="s">
        <v>634</v>
      </c>
      <c r="CC230" t="s">
        <v>110</v>
      </c>
      <c r="CD230">
        <v>1748</v>
      </c>
      <c r="CE230" t="s">
        <v>86</v>
      </c>
      <c r="CF230" s="3">
        <v>45995</v>
      </c>
      <c r="CI230">
        <v>1</v>
      </c>
      <c r="CJ230">
        <v>1</v>
      </c>
      <c r="CK230">
        <v>24</v>
      </c>
      <c r="CL230" t="s">
        <v>87</v>
      </c>
    </row>
    <row r="231" spans="1:90" x14ac:dyDescent="0.3">
      <c r="A231" t="s">
        <v>72</v>
      </c>
      <c r="B231" t="s">
        <v>73</v>
      </c>
      <c r="C231" t="s">
        <v>74</v>
      </c>
      <c r="E231" t="str">
        <f>"080069619693"</f>
        <v>080069619693</v>
      </c>
      <c r="F231" s="3">
        <v>45993</v>
      </c>
      <c r="G231">
        <v>202609</v>
      </c>
      <c r="H231" t="s">
        <v>75</v>
      </c>
      <c r="I231" t="s">
        <v>76</v>
      </c>
      <c r="J231" t="s">
        <v>77</v>
      </c>
      <c r="K231" t="s">
        <v>78</v>
      </c>
      <c r="L231" t="s">
        <v>526</v>
      </c>
      <c r="M231" t="s">
        <v>527</v>
      </c>
      <c r="N231" t="s">
        <v>528</v>
      </c>
      <c r="O231" t="s">
        <v>89</v>
      </c>
      <c r="P231" t="str">
        <f>"4170071415                    "</f>
        <v xml:space="preserve">4170071415              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43.09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17.41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1</v>
      </c>
      <c r="BI231">
        <v>1</v>
      </c>
      <c r="BJ231">
        <v>0.9</v>
      </c>
      <c r="BK231">
        <v>1</v>
      </c>
      <c r="BL231">
        <v>158.43</v>
      </c>
      <c r="BM231">
        <v>23.76</v>
      </c>
      <c r="BN231">
        <v>182.19</v>
      </c>
      <c r="BO231">
        <v>182.19</v>
      </c>
      <c r="BQ231" t="s">
        <v>529</v>
      </c>
      <c r="BR231" t="s">
        <v>82</v>
      </c>
      <c r="BS231" s="3">
        <v>45994</v>
      </c>
      <c r="BT231" s="4">
        <v>0.63194444444444442</v>
      </c>
      <c r="BU231" t="s">
        <v>767</v>
      </c>
      <c r="BV231" t="s">
        <v>84</v>
      </c>
      <c r="BY231">
        <v>4376.6499999999996</v>
      </c>
      <c r="BZ231" t="s">
        <v>30</v>
      </c>
      <c r="CC231" t="s">
        <v>527</v>
      </c>
      <c r="CD231" s="5" t="s">
        <v>532</v>
      </c>
      <c r="CE231" t="s">
        <v>86</v>
      </c>
      <c r="CF231" s="3">
        <v>45995</v>
      </c>
      <c r="CI231">
        <v>1</v>
      </c>
      <c r="CJ231">
        <v>1</v>
      </c>
      <c r="CK231">
        <v>23</v>
      </c>
      <c r="CL231" t="s">
        <v>87</v>
      </c>
    </row>
    <row r="232" spans="1:90" x14ac:dyDescent="0.3">
      <c r="A232" t="s">
        <v>72</v>
      </c>
      <c r="B232" t="s">
        <v>73</v>
      </c>
      <c r="C232" t="s">
        <v>74</v>
      </c>
      <c r="E232" t="str">
        <f>"080069619729"</f>
        <v>080069619729</v>
      </c>
      <c r="F232" s="3">
        <v>45993</v>
      </c>
      <c r="G232">
        <v>202609</v>
      </c>
      <c r="H232" t="s">
        <v>75</v>
      </c>
      <c r="I232" t="s">
        <v>76</v>
      </c>
      <c r="J232" t="s">
        <v>77</v>
      </c>
      <c r="K232" t="s">
        <v>78</v>
      </c>
      <c r="L232" t="s">
        <v>265</v>
      </c>
      <c r="M232" t="s">
        <v>266</v>
      </c>
      <c r="N232" t="s">
        <v>474</v>
      </c>
      <c r="O232" t="s">
        <v>89</v>
      </c>
      <c r="P232" t="str">
        <f>"4170071424                    "</f>
        <v xml:space="preserve">4170071424               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17.37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1</v>
      </c>
      <c r="BJ232">
        <v>0.2</v>
      </c>
      <c r="BK232">
        <v>1</v>
      </c>
      <c r="BL232">
        <v>56.85</v>
      </c>
      <c r="BM232">
        <v>8.5299999999999994</v>
      </c>
      <c r="BN232">
        <v>65.38</v>
      </c>
      <c r="BO232">
        <v>65.38</v>
      </c>
      <c r="BQ232" t="s">
        <v>475</v>
      </c>
      <c r="BR232" t="s">
        <v>82</v>
      </c>
      <c r="BS232" s="3">
        <v>45994</v>
      </c>
      <c r="BT232" s="4">
        <v>0.38194444444444442</v>
      </c>
      <c r="BU232" t="s">
        <v>716</v>
      </c>
      <c r="BV232" t="s">
        <v>84</v>
      </c>
      <c r="BY232">
        <v>1200</v>
      </c>
      <c r="CA232" t="s">
        <v>417</v>
      </c>
      <c r="CC232" t="s">
        <v>266</v>
      </c>
      <c r="CD232">
        <v>1459</v>
      </c>
      <c r="CE232" t="s">
        <v>134</v>
      </c>
      <c r="CF232" s="3">
        <v>45994</v>
      </c>
      <c r="CI232">
        <v>1</v>
      </c>
      <c r="CJ232">
        <v>1</v>
      </c>
      <c r="CK232">
        <v>22</v>
      </c>
      <c r="CL232" t="s">
        <v>87</v>
      </c>
    </row>
    <row r="233" spans="1:90" x14ac:dyDescent="0.3">
      <c r="A233" t="s">
        <v>72</v>
      </c>
      <c r="B233" t="s">
        <v>73</v>
      </c>
      <c r="C233" t="s">
        <v>74</v>
      </c>
      <c r="E233" t="str">
        <f>"080069620030"</f>
        <v>080069620030</v>
      </c>
      <c r="F233" s="3">
        <v>45993</v>
      </c>
      <c r="G233">
        <v>202609</v>
      </c>
      <c r="H233" t="s">
        <v>75</v>
      </c>
      <c r="I233" t="s">
        <v>76</v>
      </c>
      <c r="J233" t="s">
        <v>77</v>
      </c>
      <c r="K233" t="s">
        <v>78</v>
      </c>
      <c r="L233" t="s">
        <v>141</v>
      </c>
      <c r="M233" t="s">
        <v>142</v>
      </c>
      <c r="N233" t="s">
        <v>379</v>
      </c>
      <c r="O233" t="s">
        <v>89</v>
      </c>
      <c r="P233" t="str">
        <f>"4170071480                    "</f>
        <v xml:space="preserve">4170071480               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22.24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1</v>
      </c>
      <c r="BI233">
        <v>1</v>
      </c>
      <c r="BJ233">
        <v>0.2</v>
      </c>
      <c r="BK233">
        <v>1</v>
      </c>
      <c r="BL233">
        <v>72.78</v>
      </c>
      <c r="BM233">
        <v>10.92</v>
      </c>
      <c r="BN233">
        <v>83.7</v>
      </c>
      <c r="BO233">
        <v>83.7</v>
      </c>
      <c r="BQ233" t="s">
        <v>380</v>
      </c>
      <c r="BR233" t="s">
        <v>82</v>
      </c>
      <c r="BS233" s="3">
        <v>45994</v>
      </c>
      <c r="BT233" s="4">
        <v>0.43194444444444446</v>
      </c>
      <c r="BU233" t="s">
        <v>381</v>
      </c>
      <c r="BV233" t="s">
        <v>84</v>
      </c>
      <c r="BY233">
        <v>1200</v>
      </c>
      <c r="CA233" t="s">
        <v>382</v>
      </c>
      <c r="CC233" t="s">
        <v>142</v>
      </c>
      <c r="CD233">
        <v>6001</v>
      </c>
      <c r="CE233" t="s">
        <v>134</v>
      </c>
      <c r="CF233" s="3">
        <v>45994</v>
      </c>
      <c r="CI233">
        <v>1</v>
      </c>
      <c r="CJ233">
        <v>1</v>
      </c>
      <c r="CK233">
        <v>21</v>
      </c>
      <c r="CL233" t="s">
        <v>87</v>
      </c>
    </row>
    <row r="234" spans="1:90" x14ac:dyDescent="0.3">
      <c r="A234" t="s">
        <v>72</v>
      </c>
      <c r="B234" t="s">
        <v>73</v>
      </c>
      <c r="C234" t="s">
        <v>74</v>
      </c>
      <c r="E234" t="str">
        <f>"080069620069"</f>
        <v>080069620069</v>
      </c>
      <c r="F234" s="3">
        <v>45993</v>
      </c>
      <c r="G234">
        <v>202609</v>
      </c>
      <c r="H234" t="s">
        <v>75</v>
      </c>
      <c r="I234" t="s">
        <v>76</v>
      </c>
      <c r="J234" t="s">
        <v>77</v>
      </c>
      <c r="K234" t="s">
        <v>78</v>
      </c>
      <c r="L234" t="s">
        <v>148</v>
      </c>
      <c r="M234" t="s">
        <v>149</v>
      </c>
      <c r="N234" t="s">
        <v>150</v>
      </c>
      <c r="O234" t="s">
        <v>89</v>
      </c>
      <c r="P234" t="str">
        <f>"4170071464                    "</f>
        <v xml:space="preserve">4170071464              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43.09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1</v>
      </c>
      <c r="BJ234">
        <v>1.1000000000000001</v>
      </c>
      <c r="BK234">
        <v>1.5</v>
      </c>
      <c r="BL234">
        <v>141.02000000000001</v>
      </c>
      <c r="BM234">
        <v>21.15</v>
      </c>
      <c r="BN234">
        <v>162.16999999999999</v>
      </c>
      <c r="BO234">
        <v>162.16999999999999</v>
      </c>
      <c r="BQ234" t="s">
        <v>151</v>
      </c>
      <c r="BR234" t="s">
        <v>82</v>
      </c>
      <c r="BS234" s="3">
        <v>45994</v>
      </c>
      <c r="BT234" s="4">
        <v>0.49722222222222223</v>
      </c>
      <c r="BU234" t="s">
        <v>152</v>
      </c>
      <c r="BV234" t="s">
        <v>84</v>
      </c>
      <c r="BY234">
        <v>5510</v>
      </c>
      <c r="CA234" t="s">
        <v>155</v>
      </c>
      <c r="CC234" t="s">
        <v>149</v>
      </c>
      <c r="CD234">
        <v>7300</v>
      </c>
      <c r="CE234" t="s">
        <v>86</v>
      </c>
      <c r="CF234" s="3">
        <v>45995</v>
      </c>
      <c r="CI234">
        <v>1</v>
      </c>
      <c r="CJ234">
        <v>1</v>
      </c>
      <c r="CK234">
        <v>23</v>
      </c>
      <c r="CL234" t="s">
        <v>87</v>
      </c>
    </row>
    <row r="235" spans="1:90" x14ac:dyDescent="0.3">
      <c r="A235" t="s">
        <v>72</v>
      </c>
      <c r="B235" t="s">
        <v>73</v>
      </c>
      <c r="C235" t="s">
        <v>74</v>
      </c>
      <c r="E235" t="str">
        <f>"080069620072"</f>
        <v>080069620072</v>
      </c>
      <c r="F235" s="3">
        <v>45993</v>
      </c>
      <c r="G235">
        <v>202609</v>
      </c>
      <c r="H235" t="s">
        <v>75</v>
      </c>
      <c r="I235" t="s">
        <v>76</v>
      </c>
      <c r="J235" t="s">
        <v>77</v>
      </c>
      <c r="K235" t="s">
        <v>78</v>
      </c>
      <c r="L235" t="s">
        <v>141</v>
      </c>
      <c r="M235" t="s">
        <v>142</v>
      </c>
      <c r="N235" t="s">
        <v>585</v>
      </c>
      <c r="O235" t="s">
        <v>89</v>
      </c>
      <c r="P235" t="str">
        <f>"4170071405                    "</f>
        <v xml:space="preserve">4170071405              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22.24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1</v>
      </c>
      <c r="BI235">
        <v>1</v>
      </c>
      <c r="BJ235">
        <v>0.2</v>
      </c>
      <c r="BK235">
        <v>1</v>
      </c>
      <c r="BL235">
        <v>72.78</v>
      </c>
      <c r="BM235">
        <v>10.92</v>
      </c>
      <c r="BN235">
        <v>83.7</v>
      </c>
      <c r="BO235">
        <v>83.7</v>
      </c>
      <c r="BQ235" t="s">
        <v>586</v>
      </c>
      <c r="BR235" t="s">
        <v>82</v>
      </c>
      <c r="BS235" s="3">
        <v>45994</v>
      </c>
      <c r="BT235" s="4">
        <v>0.42222222222222222</v>
      </c>
      <c r="BU235" t="s">
        <v>607</v>
      </c>
      <c r="BV235" t="s">
        <v>84</v>
      </c>
      <c r="BY235">
        <v>1200</v>
      </c>
      <c r="CA235" t="s">
        <v>569</v>
      </c>
      <c r="CC235" t="s">
        <v>142</v>
      </c>
      <c r="CD235">
        <v>6001</v>
      </c>
      <c r="CE235" t="s">
        <v>134</v>
      </c>
      <c r="CF235" s="3">
        <v>45994</v>
      </c>
      <c r="CI235">
        <v>1</v>
      </c>
      <c r="CJ235">
        <v>1</v>
      </c>
      <c r="CK235">
        <v>21</v>
      </c>
      <c r="CL235" t="s">
        <v>87</v>
      </c>
    </row>
    <row r="236" spans="1:90" x14ac:dyDescent="0.3">
      <c r="A236" t="s">
        <v>72</v>
      </c>
      <c r="B236" t="s">
        <v>73</v>
      </c>
      <c r="C236" t="s">
        <v>74</v>
      </c>
      <c r="E236" t="str">
        <f>"080069620135"</f>
        <v>080069620135</v>
      </c>
      <c r="F236" s="3">
        <v>45993</v>
      </c>
      <c r="G236">
        <v>202609</v>
      </c>
      <c r="H236" t="s">
        <v>75</v>
      </c>
      <c r="I236" t="s">
        <v>76</v>
      </c>
      <c r="J236" t="s">
        <v>77</v>
      </c>
      <c r="K236" t="s">
        <v>78</v>
      </c>
      <c r="L236" t="s">
        <v>100</v>
      </c>
      <c r="M236" t="s">
        <v>101</v>
      </c>
      <c r="N236" t="s">
        <v>768</v>
      </c>
      <c r="O236" t="s">
        <v>89</v>
      </c>
      <c r="P236" t="str">
        <f>"4170071451                    "</f>
        <v xml:space="preserve">4170071451               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22.24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1</v>
      </c>
      <c r="BI236">
        <v>1</v>
      </c>
      <c r="BJ236">
        <v>0.2</v>
      </c>
      <c r="BK236">
        <v>1</v>
      </c>
      <c r="BL236">
        <v>72.78</v>
      </c>
      <c r="BM236">
        <v>10.92</v>
      </c>
      <c r="BN236">
        <v>83.7</v>
      </c>
      <c r="BO236">
        <v>83.7</v>
      </c>
      <c r="BQ236" t="s">
        <v>769</v>
      </c>
      <c r="BR236" t="s">
        <v>82</v>
      </c>
      <c r="BS236" s="3">
        <v>45994</v>
      </c>
      <c r="BT236" s="4">
        <v>0.57499999999999996</v>
      </c>
      <c r="BU236" t="s">
        <v>770</v>
      </c>
      <c r="BV236" t="s">
        <v>87</v>
      </c>
      <c r="BW236" t="s">
        <v>186</v>
      </c>
      <c r="BX236" t="s">
        <v>771</v>
      </c>
      <c r="BY236">
        <v>1200</v>
      </c>
      <c r="CA236" t="s">
        <v>623</v>
      </c>
      <c r="CC236" t="s">
        <v>101</v>
      </c>
      <c r="CD236">
        <v>4052</v>
      </c>
      <c r="CE236" t="s">
        <v>134</v>
      </c>
      <c r="CF236" s="3">
        <v>45995</v>
      </c>
      <c r="CI236">
        <v>1</v>
      </c>
      <c r="CJ236">
        <v>1</v>
      </c>
      <c r="CK236">
        <v>21</v>
      </c>
      <c r="CL236" t="s">
        <v>87</v>
      </c>
    </row>
    <row r="237" spans="1:90" x14ac:dyDescent="0.3">
      <c r="A237" t="s">
        <v>72</v>
      </c>
      <c r="B237" t="s">
        <v>73</v>
      </c>
      <c r="C237" t="s">
        <v>74</v>
      </c>
      <c r="E237" t="str">
        <f>"080069620143"</f>
        <v>080069620143</v>
      </c>
      <c r="F237" s="3">
        <v>45993</v>
      </c>
      <c r="G237">
        <v>202609</v>
      </c>
      <c r="H237" t="s">
        <v>75</v>
      </c>
      <c r="I237" t="s">
        <v>76</v>
      </c>
      <c r="J237" t="s">
        <v>77</v>
      </c>
      <c r="K237" t="s">
        <v>78</v>
      </c>
      <c r="L237" t="s">
        <v>772</v>
      </c>
      <c r="M237" t="s">
        <v>773</v>
      </c>
      <c r="N237" t="s">
        <v>774</v>
      </c>
      <c r="O237" t="s">
        <v>89</v>
      </c>
      <c r="P237" t="str">
        <f>"4170071457                    "</f>
        <v xml:space="preserve">4170071457               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55.58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17.41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1</v>
      </c>
      <c r="BI237">
        <v>5</v>
      </c>
      <c r="BJ237">
        <v>2.1</v>
      </c>
      <c r="BK237">
        <v>5</v>
      </c>
      <c r="BL237">
        <v>199.31</v>
      </c>
      <c r="BM237">
        <v>29.9</v>
      </c>
      <c r="BN237">
        <v>229.21</v>
      </c>
      <c r="BO237">
        <v>229.21</v>
      </c>
      <c r="BQ237" t="s">
        <v>775</v>
      </c>
      <c r="BR237" t="s">
        <v>82</v>
      </c>
      <c r="BS237" s="3">
        <v>45996</v>
      </c>
      <c r="BT237" s="4">
        <v>0.50624999999999998</v>
      </c>
      <c r="BU237" t="s">
        <v>776</v>
      </c>
      <c r="BV237" t="s">
        <v>87</v>
      </c>
      <c r="BW237" t="s">
        <v>246</v>
      </c>
      <c r="BX237" t="s">
        <v>294</v>
      </c>
      <c r="BY237">
        <v>10260</v>
      </c>
      <c r="BZ237" t="s">
        <v>30</v>
      </c>
      <c r="CA237" t="s">
        <v>623</v>
      </c>
      <c r="CC237" t="s">
        <v>773</v>
      </c>
      <c r="CD237">
        <v>4133</v>
      </c>
      <c r="CE237" t="s">
        <v>86</v>
      </c>
      <c r="CF237" s="3">
        <v>45997</v>
      </c>
      <c r="CI237">
        <v>1</v>
      </c>
      <c r="CJ237">
        <v>3</v>
      </c>
      <c r="CK237">
        <v>21</v>
      </c>
      <c r="CL237" t="s">
        <v>87</v>
      </c>
    </row>
    <row r="238" spans="1:90" x14ac:dyDescent="0.3">
      <c r="A238" t="s">
        <v>72</v>
      </c>
      <c r="B238" t="s">
        <v>73</v>
      </c>
      <c r="C238" t="s">
        <v>74</v>
      </c>
      <c r="E238" t="str">
        <f>"080069620209"</f>
        <v>080069620209</v>
      </c>
      <c r="F238" s="3">
        <v>45993</v>
      </c>
      <c r="G238">
        <v>202609</v>
      </c>
      <c r="H238" t="s">
        <v>75</v>
      </c>
      <c r="I238" t="s">
        <v>76</v>
      </c>
      <c r="J238" t="s">
        <v>77</v>
      </c>
      <c r="K238" t="s">
        <v>78</v>
      </c>
      <c r="L238" t="s">
        <v>302</v>
      </c>
      <c r="M238" t="s">
        <v>303</v>
      </c>
      <c r="N238" t="s">
        <v>777</v>
      </c>
      <c r="O238" t="s">
        <v>89</v>
      </c>
      <c r="P238" t="str">
        <f>"4170071429                    "</f>
        <v xml:space="preserve">4170071429               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22.24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1</v>
      </c>
      <c r="BI238">
        <v>1.1000000000000001</v>
      </c>
      <c r="BJ238">
        <v>0.9</v>
      </c>
      <c r="BK238">
        <v>1.5</v>
      </c>
      <c r="BL238">
        <v>72.78</v>
      </c>
      <c r="BM238">
        <v>10.92</v>
      </c>
      <c r="BN238">
        <v>83.7</v>
      </c>
      <c r="BO238">
        <v>83.7</v>
      </c>
      <c r="BQ238" t="s">
        <v>778</v>
      </c>
      <c r="BR238" t="s">
        <v>82</v>
      </c>
      <c r="BS238" s="3">
        <v>45994</v>
      </c>
      <c r="BT238" s="4">
        <v>0.39791666666666664</v>
      </c>
      <c r="BU238" t="s">
        <v>779</v>
      </c>
      <c r="BV238" t="s">
        <v>84</v>
      </c>
      <c r="BY238">
        <v>4382.16</v>
      </c>
      <c r="CA238">
        <v>8303236124087</v>
      </c>
      <c r="CC238" t="s">
        <v>303</v>
      </c>
      <c r="CD238" s="5" t="s">
        <v>307</v>
      </c>
      <c r="CE238" t="s">
        <v>86</v>
      </c>
      <c r="CF238" s="3">
        <v>45994</v>
      </c>
      <c r="CI238">
        <v>1</v>
      </c>
      <c r="CJ238">
        <v>1</v>
      </c>
      <c r="CK238">
        <v>21</v>
      </c>
      <c r="CL238" t="s">
        <v>87</v>
      </c>
    </row>
    <row r="239" spans="1:90" x14ac:dyDescent="0.3">
      <c r="A239" t="s">
        <v>72</v>
      </c>
      <c r="B239" t="s">
        <v>73</v>
      </c>
      <c r="C239" t="s">
        <v>74</v>
      </c>
      <c r="E239" t="str">
        <f>"080069620497"</f>
        <v>080069620497</v>
      </c>
      <c r="F239" s="3">
        <v>45993</v>
      </c>
      <c r="G239">
        <v>202609</v>
      </c>
      <c r="H239" t="s">
        <v>75</v>
      </c>
      <c r="I239" t="s">
        <v>76</v>
      </c>
      <c r="J239" t="s">
        <v>77</v>
      </c>
      <c r="K239" t="s">
        <v>78</v>
      </c>
      <c r="L239" t="s">
        <v>208</v>
      </c>
      <c r="M239" t="s">
        <v>209</v>
      </c>
      <c r="N239" t="s">
        <v>210</v>
      </c>
      <c r="O239" t="s">
        <v>80</v>
      </c>
      <c r="P239" t="str">
        <f>"4170071478                    "</f>
        <v xml:space="preserve">4170071478               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55.45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1</v>
      </c>
      <c r="BI239">
        <v>21.8</v>
      </c>
      <c r="BJ239">
        <v>17.600000000000001</v>
      </c>
      <c r="BK239">
        <v>22</v>
      </c>
      <c r="BL239">
        <v>187.57</v>
      </c>
      <c r="BM239">
        <v>28.14</v>
      </c>
      <c r="BN239">
        <v>215.71</v>
      </c>
      <c r="BO239">
        <v>215.71</v>
      </c>
      <c r="BQ239" t="s">
        <v>211</v>
      </c>
      <c r="BR239" t="s">
        <v>82</v>
      </c>
      <c r="BS239" s="3">
        <v>45994</v>
      </c>
      <c r="BT239" s="4">
        <v>0.36527777777777776</v>
      </c>
      <c r="BU239" t="s">
        <v>260</v>
      </c>
      <c r="BV239" t="s">
        <v>84</v>
      </c>
      <c r="BY239">
        <v>88201.33</v>
      </c>
      <c r="CA239">
        <v>7712195338085</v>
      </c>
      <c r="CC239" t="s">
        <v>209</v>
      </c>
      <c r="CD239" s="5" t="s">
        <v>213</v>
      </c>
      <c r="CE239" t="s">
        <v>86</v>
      </c>
      <c r="CF239" s="3">
        <v>45994</v>
      </c>
      <c r="CI239">
        <v>1</v>
      </c>
      <c r="CJ239">
        <v>1</v>
      </c>
      <c r="CK239">
        <v>41</v>
      </c>
      <c r="CL239" t="s">
        <v>87</v>
      </c>
    </row>
    <row r="240" spans="1:90" x14ac:dyDescent="0.3">
      <c r="A240" t="s">
        <v>72</v>
      </c>
      <c r="B240" t="s">
        <v>73</v>
      </c>
      <c r="C240" t="s">
        <v>74</v>
      </c>
      <c r="E240" t="str">
        <f>"080069620559"</f>
        <v>080069620559</v>
      </c>
      <c r="F240" s="3">
        <v>45993</v>
      </c>
      <c r="G240">
        <v>202609</v>
      </c>
      <c r="H240" t="s">
        <v>75</v>
      </c>
      <c r="I240" t="s">
        <v>76</v>
      </c>
      <c r="J240" t="s">
        <v>77</v>
      </c>
      <c r="K240" t="s">
        <v>78</v>
      </c>
      <c r="L240" t="s">
        <v>141</v>
      </c>
      <c r="M240" t="s">
        <v>142</v>
      </c>
      <c r="N240" t="s">
        <v>604</v>
      </c>
      <c r="O240" t="s">
        <v>80</v>
      </c>
      <c r="P240" t="str">
        <f>"4170071366                    "</f>
        <v xml:space="preserve">4170071366                  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183.44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1</v>
      </c>
      <c r="BI240">
        <v>94</v>
      </c>
      <c r="BJ240">
        <v>70.2</v>
      </c>
      <c r="BK240">
        <v>94</v>
      </c>
      <c r="BL240">
        <v>606.44000000000005</v>
      </c>
      <c r="BM240">
        <v>90.97</v>
      </c>
      <c r="BN240">
        <v>697.41</v>
      </c>
      <c r="BO240">
        <v>697.41</v>
      </c>
      <c r="BQ240" t="s">
        <v>605</v>
      </c>
      <c r="BR240" t="s">
        <v>82</v>
      </c>
      <c r="BS240" s="3">
        <v>45996</v>
      </c>
      <c r="BT240" s="4">
        <v>0.56180555555555556</v>
      </c>
      <c r="BU240" t="s">
        <v>780</v>
      </c>
      <c r="BV240" t="s">
        <v>84</v>
      </c>
      <c r="BY240">
        <v>350880</v>
      </c>
      <c r="CA240" t="s">
        <v>489</v>
      </c>
      <c r="CC240" t="s">
        <v>142</v>
      </c>
      <c r="CD240">
        <v>6070</v>
      </c>
      <c r="CE240" t="s">
        <v>781</v>
      </c>
      <c r="CF240" s="3">
        <v>45996</v>
      </c>
      <c r="CI240">
        <v>3</v>
      </c>
      <c r="CJ240">
        <v>3</v>
      </c>
      <c r="CK240">
        <v>41</v>
      </c>
      <c r="CL240" t="s">
        <v>87</v>
      </c>
    </row>
    <row r="241" spans="1:90" x14ac:dyDescent="0.3">
      <c r="A241" t="s">
        <v>72</v>
      </c>
      <c r="B241" t="s">
        <v>73</v>
      </c>
      <c r="C241" t="s">
        <v>74</v>
      </c>
      <c r="E241" t="str">
        <f>"080069620627"</f>
        <v>080069620627</v>
      </c>
      <c r="F241" s="3">
        <v>45993</v>
      </c>
      <c r="G241">
        <v>202609</v>
      </c>
      <c r="H241" t="s">
        <v>75</v>
      </c>
      <c r="I241" t="s">
        <v>76</v>
      </c>
      <c r="J241" t="s">
        <v>77</v>
      </c>
      <c r="K241" t="s">
        <v>78</v>
      </c>
      <c r="L241" t="s">
        <v>189</v>
      </c>
      <c r="M241" t="s">
        <v>190</v>
      </c>
      <c r="N241" t="s">
        <v>782</v>
      </c>
      <c r="O241" t="s">
        <v>89</v>
      </c>
      <c r="P241" t="str">
        <f>"4170071450                    "</f>
        <v xml:space="preserve">4170071450                    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83.37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1</v>
      </c>
      <c r="BI241">
        <v>5</v>
      </c>
      <c r="BJ241">
        <v>7.4</v>
      </c>
      <c r="BK241">
        <v>7.5</v>
      </c>
      <c r="BL241">
        <v>272.83999999999997</v>
      </c>
      <c r="BM241">
        <v>40.93</v>
      </c>
      <c r="BN241">
        <v>313.77</v>
      </c>
      <c r="BO241">
        <v>313.77</v>
      </c>
      <c r="BQ241" t="s">
        <v>783</v>
      </c>
      <c r="BR241" t="s">
        <v>82</v>
      </c>
      <c r="BS241" s="3">
        <v>45995</v>
      </c>
      <c r="BT241" s="4">
        <v>0.4513888888888889</v>
      </c>
      <c r="BU241" t="s">
        <v>784</v>
      </c>
      <c r="BV241" t="s">
        <v>87</v>
      </c>
      <c r="BY241">
        <v>36836.36</v>
      </c>
      <c r="CA241" t="s">
        <v>785</v>
      </c>
      <c r="CC241" t="s">
        <v>190</v>
      </c>
      <c r="CD241">
        <v>3201</v>
      </c>
      <c r="CE241" t="s">
        <v>93</v>
      </c>
      <c r="CF241" s="3">
        <v>45996</v>
      </c>
      <c r="CI241">
        <v>1</v>
      </c>
      <c r="CJ241">
        <v>2</v>
      </c>
      <c r="CK241">
        <v>21</v>
      </c>
      <c r="CL241" t="s">
        <v>87</v>
      </c>
    </row>
    <row r="242" spans="1:90" x14ac:dyDescent="0.3">
      <c r="A242" t="s">
        <v>72</v>
      </c>
      <c r="B242" t="s">
        <v>73</v>
      </c>
      <c r="C242" t="s">
        <v>74</v>
      </c>
      <c r="E242" t="str">
        <f>"080069620676"</f>
        <v>080069620676</v>
      </c>
      <c r="F242" s="3">
        <v>45993</v>
      </c>
      <c r="G242">
        <v>202609</v>
      </c>
      <c r="H242" t="s">
        <v>75</v>
      </c>
      <c r="I242" t="s">
        <v>76</v>
      </c>
      <c r="J242" t="s">
        <v>77</v>
      </c>
      <c r="K242" t="s">
        <v>78</v>
      </c>
      <c r="L242" t="s">
        <v>302</v>
      </c>
      <c r="M242" t="s">
        <v>303</v>
      </c>
      <c r="N242" t="s">
        <v>786</v>
      </c>
      <c r="O242" t="s">
        <v>89</v>
      </c>
      <c r="P242" t="str">
        <f>"4170071477                    "</f>
        <v xml:space="preserve">4170071477                    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22.24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1</v>
      </c>
      <c r="BI242">
        <v>0.8</v>
      </c>
      <c r="BJ242">
        <v>0.9</v>
      </c>
      <c r="BK242">
        <v>1</v>
      </c>
      <c r="BL242">
        <v>72.78</v>
      </c>
      <c r="BM242">
        <v>10.92</v>
      </c>
      <c r="BN242">
        <v>83.7</v>
      </c>
      <c r="BO242">
        <v>83.7</v>
      </c>
      <c r="BQ242" t="s">
        <v>787</v>
      </c>
      <c r="BR242" t="s">
        <v>82</v>
      </c>
      <c r="BS242" s="3">
        <v>45994</v>
      </c>
      <c r="BT242" s="4">
        <v>0.31736111111111109</v>
      </c>
      <c r="BU242" t="s">
        <v>788</v>
      </c>
      <c r="BV242" t="s">
        <v>84</v>
      </c>
      <c r="BY242">
        <v>4444.4799999999996</v>
      </c>
      <c r="CA242">
        <v>9107126013089</v>
      </c>
      <c r="CC242" t="s">
        <v>303</v>
      </c>
      <c r="CD242" s="5" t="s">
        <v>657</v>
      </c>
      <c r="CE242" t="s">
        <v>86</v>
      </c>
      <c r="CF242" s="3">
        <v>45994</v>
      </c>
      <c r="CI242">
        <v>1</v>
      </c>
      <c r="CJ242">
        <v>1</v>
      </c>
      <c r="CK242">
        <v>21</v>
      </c>
      <c r="CL242" t="s">
        <v>87</v>
      </c>
    </row>
    <row r="243" spans="1:90" x14ac:dyDescent="0.3">
      <c r="A243" t="s">
        <v>72</v>
      </c>
      <c r="B243" t="s">
        <v>73</v>
      </c>
      <c r="C243" t="s">
        <v>74</v>
      </c>
      <c r="E243" t="str">
        <f>"080069620995"</f>
        <v>080069620995</v>
      </c>
      <c r="F243" s="3">
        <v>45993</v>
      </c>
      <c r="G243">
        <v>202609</v>
      </c>
      <c r="H243" t="s">
        <v>75</v>
      </c>
      <c r="I243" t="s">
        <v>76</v>
      </c>
      <c r="J243" t="s">
        <v>77</v>
      </c>
      <c r="K243" t="s">
        <v>78</v>
      </c>
      <c r="L243" t="s">
        <v>141</v>
      </c>
      <c r="M243" t="s">
        <v>142</v>
      </c>
      <c r="N243" t="s">
        <v>789</v>
      </c>
      <c r="O243" t="s">
        <v>80</v>
      </c>
      <c r="P243" t="str">
        <f>"1026194298                    "</f>
        <v xml:space="preserve">1026194298                  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521.17999999999995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5</v>
      </c>
      <c r="BI243">
        <v>280</v>
      </c>
      <c r="BJ243">
        <v>283.10000000000002</v>
      </c>
      <c r="BK243">
        <v>284</v>
      </c>
      <c r="BL243">
        <v>1711.78</v>
      </c>
      <c r="BM243">
        <v>256.77</v>
      </c>
      <c r="BN243">
        <v>1968.55</v>
      </c>
      <c r="BO243">
        <v>1968.55</v>
      </c>
      <c r="BQ243" t="s">
        <v>790</v>
      </c>
      <c r="BR243" t="s">
        <v>82</v>
      </c>
      <c r="BS243" t="s">
        <v>500</v>
      </c>
      <c r="BY243">
        <v>1323216</v>
      </c>
      <c r="CC243" t="s">
        <v>142</v>
      </c>
      <c r="CD243">
        <v>6001</v>
      </c>
      <c r="CE243" t="s">
        <v>86</v>
      </c>
      <c r="CI243">
        <v>3</v>
      </c>
      <c r="CJ243" t="s">
        <v>500</v>
      </c>
      <c r="CK243">
        <v>41</v>
      </c>
      <c r="CL243" t="s">
        <v>87</v>
      </c>
    </row>
    <row r="244" spans="1:90" x14ac:dyDescent="0.3">
      <c r="A244" t="s">
        <v>72</v>
      </c>
      <c r="B244" t="s">
        <v>73</v>
      </c>
      <c r="C244" t="s">
        <v>74</v>
      </c>
      <c r="E244" t="str">
        <f>"080069621049"</f>
        <v>080069621049</v>
      </c>
      <c r="F244" s="3">
        <v>45993</v>
      </c>
      <c r="G244">
        <v>202609</v>
      </c>
      <c r="H244" t="s">
        <v>75</v>
      </c>
      <c r="I244" t="s">
        <v>76</v>
      </c>
      <c r="J244" t="s">
        <v>77</v>
      </c>
      <c r="K244" t="s">
        <v>78</v>
      </c>
      <c r="L244" t="s">
        <v>141</v>
      </c>
      <c r="M244" t="s">
        <v>142</v>
      </c>
      <c r="N244" t="s">
        <v>791</v>
      </c>
      <c r="O244" t="s">
        <v>89</v>
      </c>
      <c r="P244" t="str">
        <f>"4170071475                    "</f>
        <v xml:space="preserve">4170071475                  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22.24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1</v>
      </c>
      <c r="BI244">
        <v>1</v>
      </c>
      <c r="BJ244">
        <v>0.2</v>
      </c>
      <c r="BK244">
        <v>1</v>
      </c>
      <c r="BL244">
        <v>72.78</v>
      </c>
      <c r="BM244">
        <v>10.92</v>
      </c>
      <c r="BN244">
        <v>83.7</v>
      </c>
      <c r="BO244">
        <v>83.7</v>
      </c>
      <c r="BQ244" t="s">
        <v>792</v>
      </c>
      <c r="BR244" t="s">
        <v>82</v>
      </c>
      <c r="BS244" s="3">
        <v>45994</v>
      </c>
      <c r="BT244" s="4">
        <v>0.42708333333333331</v>
      </c>
      <c r="BU244" t="s">
        <v>793</v>
      </c>
      <c r="BV244" t="s">
        <v>84</v>
      </c>
      <c r="BY244">
        <v>1200</v>
      </c>
      <c r="CA244" t="s">
        <v>146</v>
      </c>
      <c r="CC244" t="s">
        <v>142</v>
      </c>
      <c r="CD244">
        <v>6001</v>
      </c>
      <c r="CE244" t="s">
        <v>134</v>
      </c>
      <c r="CF244" s="3">
        <v>45994</v>
      </c>
      <c r="CI244">
        <v>1</v>
      </c>
      <c r="CJ244">
        <v>1</v>
      </c>
      <c r="CK244">
        <v>21</v>
      </c>
      <c r="CL244" t="s">
        <v>87</v>
      </c>
    </row>
    <row r="245" spans="1:90" x14ac:dyDescent="0.3">
      <c r="A245" t="s">
        <v>72</v>
      </c>
      <c r="B245" t="s">
        <v>73</v>
      </c>
      <c r="C245" t="s">
        <v>74</v>
      </c>
      <c r="E245" t="str">
        <f>"080069621097"</f>
        <v>080069621097</v>
      </c>
      <c r="F245" s="3">
        <v>45993</v>
      </c>
      <c r="G245">
        <v>202609</v>
      </c>
      <c r="H245" t="s">
        <v>75</v>
      </c>
      <c r="I245" t="s">
        <v>76</v>
      </c>
      <c r="J245" t="s">
        <v>77</v>
      </c>
      <c r="K245" t="s">
        <v>78</v>
      </c>
      <c r="L245" t="s">
        <v>94</v>
      </c>
      <c r="M245" t="s">
        <v>95</v>
      </c>
      <c r="N245" t="s">
        <v>794</v>
      </c>
      <c r="O245" t="s">
        <v>89</v>
      </c>
      <c r="P245" t="str">
        <f>"4170071513                    "</f>
        <v xml:space="preserve">4170071513                  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22.24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1</v>
      </c>
      <c r="BI245">
        <v>1</v>
      </c>
      <c r="BJ245">
        <v>0.2</v>
      </c>
      <c r="BK245">
        <v>1</v>
      </c>
      <c r="BL245">
        <v>72.78</v>
      </c>
      <c r="BM245">
        <v>10.92</v>
      </c>
      <c r="BN245">
        <v>83.7</v>
      </c>
      <c r="BO245">
        <v>83.7</v>
      </c>
      <c r="BQ245" t="s">
        <v>795</v>
      </c>
      <c r="BR245" t="s">
        <v>82</v>
      </c>
      <c r="BS245" s="3">
        <v>45994</v>
      </c>
      <c r="BT245" s="4">
        <v>0.40208333333333335</v>
      </c>
      <c r="BU245" t="s">
        <v>796</v>
      </c>
      <c r="BV245" t="s">
        <v>84</v>
      </c>
      <c r="BY245">
        <v>1200</v>
      </c>
      <c r="CA245" t="s">
        <v>99</v>
      </c>
      <c r="CC245" t="s">
        <v>95</v>
      </c>
      <c r="CD245">
        <v>3600</v>
      </c>
      <c r="CE245" t="s">
        <v>134</v>
      </c>
      <c r="CF245" s="3">
        <v>45994</v>
      </c>
      <c r="CI245">
        <v>1</v>
      </c>
      <c r="CJ245">
        <v>1</v>
      </c>
      <c r="CK245">
        <v>21</v>
      </c>
      <c r="CL245" t="s">
        <v>87</v>
      </c>
    </row>
    <row r="246" spans="1:90" x14ac:dyDescent="0.3">
      <c r="A246" t="s">
        <v>72</v>
      </c>
      <c r="B246" t="s">
        <v>73</v>
      </c>
      <c r="C246" t="s">
        <v>74</v>
      </c>
      <c r="E246" t="str">
        <f>"080069621184"</f>
        <v>080069621184</v>
      </c>
      <c r="F246" s="3">
        <v>45993</v>
      </c>
      <c r="G246">
        <v>202609</v>
      </c>
      <c r="H246" t="s">
        <v>75</v>
      </c>
      <c r="I246" t="s">
        <v>76</v>
      </c>
      <c r="J246" t="s">
        <v>77</v>
      </c>
      <c r="K246" t="s">
        <v>78</v>
      </c>
      <c r="L246" t="s">
        <v>772</v>
      </c>
      <c r="M246" t="s">
        <v>773</v>
      </c>
      <c r="N246" t="s">
        <v>797</v>
      </c>
      <c r="O246" t="s">
        <v>89</v>
      </c>
      <c r="P246" t="str">
        <f>"4170071520                    "</f>
        <v xml:space="preserve">4170071520                  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22.24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1</v>
      </c>
      <c r="BI246">
        <v>1</v>
      </c>
      <c r="BJ246">
        <v>0.2</v>
      </c>
      <c r="BK246">
        <v>1</v>
      </c>
      <c r="BL246">
        <v>72.78</v>
      </c>
      <c r="BM246">
        <v>10.92</v>
      </c>
      <c r="BN246">
        <v>83.7</v>
      </c>
      <c r="BO246">
        <v>83.7</v>
      </c>
      <c r="BQ246" t="s">
        <v>798</v>
      </c>
      <c r="BR246" t="s">
        <v>82</v>
      </c>
      <c r="BS246" s="3">
        <v>45995</v>
      </c>
      <c r="BT246" s="4">
        <v>0.54861111111111116</v>
      </c>
      <c r="BU246" t="s">
        <v>799</v>
      </c>
      <c r="BV246" t="s">
        <v>87</v>
      </c>
      <c r="BW246" t="s">
        <v>246</v>
      </c>
      <c r="BX246" t="s">
        <v>800</v>
      </c>
      <c r="BY246">
        <v>1200</v>
      </c>
      <c r="CA246" t="s">
        <v>623</v>
      </c>
      <c r="CC246" t="s">
        <v>773</v>
      </c>
      <c r="CD246">
        <v>4113</v>
      </c>
      <c r="CE246" t="s">
        <v>134</v>
      </c>
      <c r="CF246" s="3">
        <v>45996</v>
      </c>
      <c r="CI246">
        <v>1</v>
      </c>
      <c r="CJ246">
        <v>2</v>
      </c>
      <c r="CK246">
        <v>21</v>
      </c>
      <c r="CL246" t="s">
        <v>87</v>
      </c>
    </row>
    <row r="247" spans="1:90" x14ac:dyDescent="0.3">
      <c r="A247" t="s">
        <v>72</v>
      </c>
      <c r="B247" t="s">
        <v>73</v>
      </c>
      <c r="C247" t="s">
        <v>74</v>
      </c>
      <c r="E247" t="str">
        <f>"080069621222"</f>
        <v>080069621222</v>
      </c>
      <c r="F247" s="3">
        <v>45993</v>
      </c>
      <c r="G247">
        <v>202609</v>
      </c>
      <c r="H247" t="s">
        <v>75</v>
      </c>
      <c r="I247" t="s">
        <v>76</v>
      </c>
      <c r="J247" t="s">
        <v>77</v>
      </c>
      <c r="K247" t="s">
        <v>78</v>
      </c>
      <c r="L247" t="s">
        <v>94</v>
      </c>
      <c r="M247" t="s">
        <v>95</v>
      </c>
      <c r="N247" t="s">
        <v>794</v>
      </c>
      <c r="O247" t="s">
        <v>89</v>
      </c>
      <c r="P247" t="str">
        <f>"4170071511                    "</f>
        <v xml:space="preserve">4170071511                  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22.24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1</v>
      </c>
      <c r="BI247">
        <v>1</v>
      </c>
      <c r="BJ247">
        <v>0.2</v>
      </c>
      <c r="BK247">
        <v>1</v>
      </c>
      <c r="BL247">
        <v>72.78</v>
      </c>
      <c r="BM247">
        <v>10.92</v>
      </c>
      <c r="BN247">
        <v>83.7</v>
      </c>
      <c r="BO247">
        <v>83.7</v>
      </c>
      <c r="BQ247" t="s">
        <v>795</v>
      </c>
      <c r="BR247" t="s">
        <v>82</v>
      </c>
      <c r="BS247" s="3">
        <v>45994</v>
      </c>
      <c r="BT247" s="4">
        <v>0.40208333333333335</v>
      </c>
      <c r="BU247" t="s">
        <v>796</v>
      </c>
      <c r="BV247" t="s">
        <v>84</v>
      </c>
      <c r="BY247">
        <v>1200</v>
      </c>
      <c r="CA247" t="s">
        <v>99</v>
      </c>
      <c r="CC247" t="s">
        <v>95</v>
      </c>
      <c r="CD247">
        <v>3600</v>
      </c>
      <c r="CE247" t="s">
        <v>801</v>
      </c>
      <c r="CF247" s="3">
        <v>45994</v>
      </c>
      <c r="CI247">
        <v>1</v>
      </c>
      <c r="CJ247">
        <v>1</v>
      </c>
      <c r="CK247">
        <v>21</v>
      </c>
      <c r="CL247" t="s">
        <v>87</v>
      </c>
    </row>
    <row r="248" spans="1:90" x14ac:dyDescent="0.3">
      <c r="A248" t="s">
        <v>72</v>
      </c>
      <c r="B248" t="s">
        <v>73</v>
      </c>
      <c r="C248" t="s">
        <v>74</v>
      </c>
      <c r="E248" t="str">
        <f>"080069621252"</f>
        <v>080069621252</v>
      </c>
      <c r="F248" s="3">
        <v>45993</v>
      </c>
      <c r="G248">
        <v>202609</v>
      </c>
      <c r="H248" t="s">
        <v>75</v>
      </c>
      <c r="I248" t="s">
        <v>76</v>
      </c>
      <c r="J248" t="s">
        <v>77</v>
      </c>
      <c r="K248" t="s">
        <v>78</v>
      </c>
      <c r="L248" t="s">
        <v>141</v>
      </c>
      <c r="M248" t="s">
        <v>142</v>
      </c>
      <c r="N248" t="s">
        <v>585</v>
      </c>
      <c r="O248" t="s">
        <v>89</v>
      </c>
      <c r="P248" t="str">
        <f>"4170071403                    "</f>
        <v xml:space="preserve">4170071403                  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22.24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1</v>
      </c>
      <c r="BI248">
        <v>1</v>
      </c>
      <c r="BJ248">
        <v>0.2</v>
      </c>
      <c r="BK248">
        <v>1</v>
      </c>
      <c r="BL248">
        <v>72.78</v>
      </c>
      <c r="BM248">
        <v>10.92</v>
      </c>
      <c r="BN248">
        <v>83.7</v>
      </c>
      <c r="BO248">
        <v>83.7</v>
      </c>
      <c r="BQ248" t="s">
        <v>586</v>
      </c>
      <c r="BR248" t="s">
        <v>82</v>
      </c>
      <c r="BS248" s="3">
        <v>45994</v>
      </c>
      <c r="BT248" s="4">
        <v>0.42222222222222222</v>
      </c>
      <c r="BU248" t="s">
        <v>802</v>
      </c>
      <c r="BV248" t="s">
        <v>84</v>
      </c>
      <c r="BY248">
        <v>1200</v>
      </c>
      <c r="CA248" t="s">
        <v>569</v>
      </c>
      <c r="CC248" t="s">
        <v>142</v>
      </c>
      <c r="CD248">
        <v>6001</v>
      </c>
      <c r="CE248" t="s">
        <v>134</v>
      </c>
      <c r="CF248" s="3">
        <v>45994</v>
      </c>
      <c r="CI248">
        <v>1</v>
      </c>
      <c r="CJ248">
        <v>1</v>
      </c>
      <c r="CK248">
        <v>21</v>
      </c>
      <c r="CL248" t="s">
        <v>87</v>
      </c>
    </row>
    <row r="249" spans="1:90" x14ac:dyDescent="0.3">
      <c r="A249" t="s">
        <v>72</v>
      </c>
      <c r="B249" t="s">
        <v>73</v>
      </c>
      <c r="C249" t="s">
        <v>74</v>
      </c>
      <c r="E249" t="str">
        <f>"080069621292"</f>
        <v>080069621292</v>
      </c>
      <c r="F249" s="3">
        <v>45993</v>
      </c>
      <c r="G249">
        <v>202609</v>
      </c>
      <c r="H249" t="s">
        <v>75</v>
      </c>
      <c r="I249" t="s">
        <v>76</v>
      </c>
      <c r="J249" t="s">
        <v>77</v>
      </c>
      <c r="K249" t="s">
        <v>78</v>
      </c>
      <c r="L249" t="s">
        <v>803</v>
      </c>
      <c r="M249" t="s">
        <v>804</v>
      </c>
      <c r="N249" t="s">
        <v>805</v>
      </c>
      <c r="O249" t="s">
        <v>89</v>
      </c>
      <c r="P249" t="str">
        <f>"4170071421                    "</f>
        <v xml:space="preserve">4170071421                    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43.09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</v>
      </c>
      <c r="BI249">
        <v>1</v>
      </c>
      <c r="BJ249">
        <v>0.2</v>
      </c>
      <c r="BK249">
        <v>1</v>
      </c>
      <c r="BL249">
        <v>141.02000000000001</v>
      </c>
      <c r="BM249">
        <v>21.15</v>
      </c>
      <c r="BN249">
        <v>162.16999999999999</v>
      </c>
      <c r="BO249">
        <v>162.16999999999999</v>
      </c>
      <c r="BQ249" t="s">
        <v>806</v>
      </c>
      <c r="BR249" t="s">
        <v>82</v>
      </c>
      <c r="BS249" s="3">
        <v>45996</v>
      </c>
      <c r="BT249" s="4">
        <v>0.63611111111111107</v>
      </c>
      <c r="BU249" t="s">
        <v>807</v>
      </c>
      <c r="BV249" t="s">
        <v>87</v>
      </c>
      <c r="BW249" t="s">
        <v>174</v>
      </c>
      <c r="BX249" t="s">
        <v>808</v>
      </c>
      <c r="BY249">
        <v>1200</v>
      </c>
      <c r="CA249">
        <v>7611055191081</v>
      </c>
      <c r="CC249" t="s">
        <v>804</v>
      </c>
      <c r="CD249">
        <v>7395</v>
      </c>
      <c r="CE249" t="s">
        <v>134</v>
      </c>
      <c r="CI249">
        <v>1</v>
      </c>
      <c r="CJ249">
        <v>3</v>
      </c>
      <c r="CK249">
        <v>23</v>
      </c>
      <c r="CL249" t="s">
        <v>87</v>
      </c>
    </row>
    <row r="250" spans="1:90" x14ac:dyDescent="0.3">
      <c r="A250" t="s">
        <v>72</v>
      </c>
      <c r="B250" t="s">
        <v>73</v>
      </c>
      <c r="C250" t="s">
        <v>74</v>
      </c>
      <c r="E250" t="str">
        <f>"080069621335"</f>
        <v>080069621335</v>
      </c>
      <c r="F250" s="3">
        <v>45993</v>
      </c>
      <c r="G250">
        <v>202609</v>
      </c>
      <c r="H250" t="s">
        <v>75</v>
      </c>
      <c r="I250" t="s">
        <v>76</v>
      </c>
      <c r="J250" t="s">
        <v>77</v>
      </c>
      <c r="K250" t="s">
        <v>78</v>
      </c>
      <c r="L250" t="s">
        <v>141</v>
      </c>
      <c r="M250" t="s">
        <v>142</v>
      </c>
      <c r="N250" t="s">
        <v>585</v>
      </c>
      <c r="O250" t="s">
        <v>89</v>
      </c>
      <c r="P250" t="str">
        <f>"4170071456                    "</f>
        <v xml:space="preserve">4170071456                    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22.24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1</v>
      </c>
      <c r="BI250">
        <v>1</v>
      </c>
      <c r="BJ250">
        <v>0.2</v>
      </c>
      <c r="BK250">
        <v>1</v>
      </c>
      <c r="BL250">
        <v>72.78</v>
      </c>
      <c r="BM250">
        <v>10.92</v>
      </c>
      <c r="BN250">
        <v>83.7</v>
      </c>
      <c r="BO250">
        <v>83.7</v>
      </c>
      <c r="BQ250" t="s">
        <v>586</v>
      </c>
      <c r="BR250" t="s">
        <v>82</v>
      </c>
      <c r="BS250" s="3">
        <v>45994</v>
      </c>
      <c r="BT250" s="4">
        <v>0.42222222222222222</v>
      </c>
      <c r="BU250" t="s">
        <v>607</v>
      </c>
      <c r="BV250" t="s">
        <v>84</v>
      </c>
      <c r="BY250">
        <v>1200</v>
      </c>
      <c r="CA250" t="s">
        <v>569</v>
      </c>
      <c r="CC250" t="s">
        <v>142</v>
      </c>
      <c r="CD250">
        <v>6001</v>
      </c>
      <c r="CE250" t="s">
        <v>134</v>
      </c>
      <c r="CF250" s="3">
        <v>45994</v>
      </c>
      <c r="CI250">
        <v>1</v>
      </c>
      <c r="CJ250">
        <v>1</v>
      </c>
      <c r="CK250">
        <v>21</v>
      </c>
      <c r="CL250" t="s">
        <v>87</v>
      </c>
    </row>
    <row r="251" spans="1:90" x14ac:dyDescent="0.3">
      <c r="A251" t="s">
        <v>72</v>
      </c>
      <c r="B251" t="s">
        <v>73</v>
      </c>
      <c r="C251" t="s">
        <v>74</v>
      </c>
      <c r="E251" t="str">
        <f>"080069621336"</f>
        <v>080069621336</v>
      </c>
      <c r="F251" s="3">
        <v>45993</v>
      </c>
      <c r="G251">
        <v>202609</v>
      </c>
      <c r="H251" t="s">
        <v>75</v>
      </c>
      <c r="I251" t="s">
        <v>76</v>
      </c>
      <c r="J251" t="s">
        <v>77</v>
      </c>
      <c r="K251" t="s">
        <v>78</v>
      </c>
      <c r="L251" t="s">
        <v>141</v>
      </c>
      <c r="M251" t="s">
        <v>142</v>
      </c>
      <c r="N251" t="s">
        <v>809</v>
      </c>
      <c r="O251" t="s">
        <v>89</v>
      </c>
      <c r="P251" t="str">
        <f>"4170071507                    "</f>
        <v xml:space="preserve">4170071507                    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22.24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1</v>
      </c>
      <c r="BI251">
        <v>1.3</v>
      </c>
      <c r="BJ251">
        <v>1.5</v>
      </c>
      <c r="BK251">
        <v>1.5</v>
      </c>
      <c r="BL251">
        <v>72.78</v>
      </c>
      <c r="BM251">
        <v>10.92</v>
      </c>
      <c r="BN251">
        <v>83.7</v>
      </c>
      <c r="BO251">
        <v>83.7</v>
      </c>
      <c r="BQ251" t="s">
        <v>810</v>
      </c>
      <c r="BR251" t="s">
        <v>82</v>
      </c>
      <c r="BS251" s="3">
        <v>45994</v>
      </c>
      <c r="BT251" s="4">
        <v>0.43263888888888891</v>
      </c>
      <c r="BU251" t="s">
        <v>811</v>
      </c>
      <c r="BV251" t="s">
        <v>84</v>
      </c>
      <c r="BY251">
        <v>7344.94</v>
      </c>
      <c r="CA251" t="s">
        <v>327</v>
      </c>
      <c r="CC251" t="s">
        <v>142</v>
      </c>
      <c r="CD251">
        <v>6020</v>
      </c>
      <c r="CE251" t="s">
        <v>86</v>
      </c>
      <c r="CF251" s="3">
        <v>45994</v>
      </c>
      <c r="CI251">
        <v>1</v>
      </c>
      <c r="CJ251">
        <v>1</v>
      </c>
      <c r="CK251">
        <v>21</v>
      </c>
      <c r="CL251" t="s">
        <v>87</v>
      </c>
    </row>
    <row r="252" spans="1:90" x14ac:dyDescent="0.3">
      <c r="A252" t="s">
        <v>72</v>
      </c>
      <c r="B252" t="s">
        <v>73</v>
      </c>
      <c r="C252" t="s">
        <v>74</v>
      </c>
      <c r="E252" t="str">
        <f>"080069621377"</f>
        <v>080069621377</v>
      </c>
      <c r="F252" s="3">
        <v>45993</v>
      </c>
      <c r="G252">
        <v>202609</v>
      </c>
      <c r="H252" t="s">
        <v>75</v>
      </c>
      <c r="I252" t="s">
        <v>76</v>
      </c>
      <c r="J252" t="s">
        <v>77</v>
      </c>
      <c r="K252" t="s">
        <v>78</v>
      </c>
      <c r="L252" t="s">
        <v>283</v>
      </c>
      <c r="M252" t="s">
        <v>284</v>
      </c>
      <c r="N252" t="s">
        <v>812</v>
      </c>
      <c r="O252" t="s">
        <v>89</v>
      </c>
      <c r="P252" t="str">
        <f>"4170071523                    "</f>
        <v xml:space="preserve">4170071523                  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43.09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1</v>
      </c>
      <c r="BI252">
        <v>1</v>
      </c>
      <c r="BJ252">
        <v>0.2</v>
      </c>
      <c r="BK252">
        <v>1</v>
      </c>
      <c r="BL252">
        <v>141.02000000000001</v>
      </c>
      <c r="BM252">
        <v>21.15</v>
      </c>
      <c r="BN252">
        <v>162.16999999999999</v>
      </c>
      <c r="BO252">
        <v>162.16999999999999</v>
      </c>
      <c r="BQ252" t="s">
        <v>813</v>
      </c>
      <c r="BR252" t="s">
        <v>82</v>
      </c>
      <c r="BS252" s="3">
        <v>45994</v>
      </c>
      <c r="BT252" s="4">
        <v>0.43125000000000002</v>
      </c>
      <c r="BU252" t="s">
        <v>814</v>
      </c>
      <c r="BV252" t="s">
        <v>84</v>
      </c>
      <c r="BY252">
        <v>1200</v>
      </c>
      <c r="CA252">
        <v>8505285566089</v>
      </c>
      <c r="CC252" t="s">
        <v>284</v>
      </c>
      <c r="CD252">
        <v>1947</v>
      </c>
      <c r="CE252" t="s">
        <v>134</v>
      </c>
      <c r="CF252" s="3">
        <v>45995</v>
      </c>
      <c r="CI252">
        <v>1</v>
      </c>
      <c r="CJ252">
        <v>1</v>
      </c>
      <c r="CK252">
        <v>23</v>
      </c>
      <c r="CL252" t="s">
        <v>87</v>
      </c>
    </row>
    <row r="253" spans="1:90" x14ac:dyDescent="0.3">
      <c r="A253" t="s">
        <v>72</v>
      </c>
      <c r="B253" t="s">
        <v>73</v>
      </c>
      <c r="C253" t="s">
        <v>74</v>
      </c>
      <c r="E253" t="str">
        <f>"080069621383"</f>
        <v>080069621383</v>
      </c>
      <c r="F253" s="3">
        <v>45993</v>
      </c>
      <c r="G253">
        <v>202609</v>
      </c>
      <c r="H253" t="s">
        <v>75</v>
      </c>
      <c r="I253" t="s">
        <v>76</v>
      </c>
      <c r="J253" t="s">
        <v>77</v>
      </c>
      <c r="K253" t="s">
        <v>78</v>
      </c>
      <c r="L253" t="s">
        <v>533</v>
      </c>
      <c r="M253" t="s">
        <v>533</v>
      </c>
      <c r="N253" t="s">
        <v>815</v>
      </c>
      <c r="O253" t="s">
        <v>89</v>
      </c>
      <c r="P253" t="str">
        <f>"4170071483                    "</f>
        <v xml:space="preserve">4170071483              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43.09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1</v>
      </c>
      <c r="BI253">
        <v>1</v>
      </c>
      <c r="BJ253">
        <v>0.2</v>
      </c>
      <c r="BK253">
        <v>1</v>
      </c>
      <c r="BL253">
        <v>141.02000000000001</v>
      </c>
      <c r="BM253">
        <v>21.15</v>
      </c>
      <c r="BN253">
        <v>162.16999999999999</v>
      </c>
      <c r="BO253">
        <v>162.16999999999999</v>
      </c>
      <c r="BQ253" t="s">
        <v>816</v>
      </c>
      <c r="BR253" t="s">
        <v>82</v>
      </c>
      <c r="BS253" s="3">
        <v>45994</v>
      </c>
      <c r="BT253" s="4">
        <v>0.68402777777777779</v>
      </c>
      <c r="BU253" t="s">
        <v>817</v>
      </c>
      <c r="BV253" t="s">
        <v>87</v>
      </c>
      <c r="BW253" t="s">
        <v>153</v>
      </c>
      <c r="BX253" t="s">
        <v>345</v>
      </c>
      <c r="BY253">
        <v>1200</v>
      </c>
      <c r="CA253" t="s">
        <v>537</v>
      </c>
      <c r="CC253" t="s">
        <v>533</v>
      </c>
      <c r="CD253">
        <v>7646</v>
      </c>
      <c r="CE253" t="s">
        <v>134</v>
      </c>
      <c r="CF253" s="3">
        <v>45995</v>
      </c>
      <c r="CI253">
        <v>1</v>
      </c>
      <c r="CJ253">
        <v>1</v>
      </c>
      <c r="CK253">
        <v>23</v>
      </c>
      <c r="CL253" t="s">
        <v>87</v>
      </c>
    </row>
    <row r="254" spans="1:90" x14ac:dyDescent="0.3">
      <c r="A254" t="s">
        <v>72</v>
      </c>
      <c r="B254" t="s">
        <v>73</v>
      </c>
      <c r="C254" t="s">
        <v>74</v>
      </c>
      <c r="E254" t="str">
        <f>"080069621418"</f>
        <v>080069621418</v>
      </c>
      <c r="F254" s="3">
        <v>45993</v>
      </c>
      <c r="G254">
        <v>202609</v>
      </c>
      <c r="H254" t="s">
        <v>75</v>
      </c>
      <c r="I254" t="s">
        <v>76</v>
      </c>
      <c r="J254" t="s">
        <v>77</v>
      </c>
      <c r="K254" t="s">
        <v>78</v>
      </c>
      <c r="L254" t="s">
        <v>128</v>
      </c>
      <c r="M254" t="s">
        <v>129</v>
      </c>
      <c r="N254" t="s">
        <v>818</v>
      </c>
      <c r="O254" t="s">
        <v>89</v>
      </c>
      <c r="P254" t="str">
        <f>"4170071442                    "</f>
        <v xml:space="preserve">4170071442              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27.79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1</v>
      </c>
      <c r="BI254">
        <v>0.9</v>
      </c>
      <c r="BJ254">
        <v>2.1</v>
      </c>
      <c r="BK254">
        <v>2.5</v>
      </c>
      <c r="BL254">
        <v>90.96</v>
      </c>
      <c r="BM254">
        <v>13.64</v>
      </c>
      <c r="BN254">
        <v>104.6</v>
      </c>
      <c r="BO254">
        <v>104.6</v>
      </c>
      <c r="BQ254" t="s">
        <v>819</v>
      </c>
      <c r="BR254" t="s">
        <v>82</v>
      </c>
      <c r="BS254" s="3">
        <v>45995</v>
      </c>
      <c r="BT254" s="4">
        <v>0.46597222222222223</v>
      </c>
      <c r="BU254" t="s">
        <v>820</v>
      </c>
      <c r="BV254" t="s">
        <v>87</v>
      </c>
      <c r="BW254" t="s">
        <v>186</v>
      </c>
      <c r="BX254" t="s">
        <v>187</v>
      </c>
      <c r="BY254">
        <v>10668</v>
      </c>
      <c r="CA254" t="s">
        <v>821</v>
      </c>
      <c r="CC254" t="s">
        <v>129</v>
      </c>
      <c r="CD254">
        <v>5201</v>
      </c>
      <c r="CE254" t="s">
        <v>93</v>
      </c>
      <c r="CF254" s="3">
        <v>45996</v>
      </c>
      <c r="CI254">
        <v>1</v>
      </c>
      <c r="CJ254">
        <v>2</v>
      </c>
      <c r="CK254">
        <v>21</v>
      </c>
      <c r="CL254" t="s">
        <v>87</v>
      </c>
    </row>
    <row r="255" spans="1:90" x14ac:dyDescent="0.3">
      <c r="A255" t="s">
        <v>72</v>
      </c>
      <c r="B255" t="s">
        <v>73</v>
      </c>
      <c r="C255" t="s">
        <v>74</v>
      </c>
      <c r="E255" t="str">
        <f>"080069621428"</f>
        <v>080069621428</v>
      </c>
      <c r="F255" s="3">
        <v>45993</v>
      </c>
      <c r="G255">
        <v>202609</v>
      </c>
      <c r="H255" t="s">
        <v>75</v>
      </c>
      <c r="I255" t="s">
        <v>76</v>
      </c>
      <c r="J255" t="s">
        <v>77</v>
      </c>
      <c r="K255" t="s">
        <v>78</v>
      </c>
      <c r="L255" t="s">
        <v>141</v>
      </c>
      <c r="M255" t="s">
        <v>142</v>
      </c>
      <c r="N255" t="s">
        <v>143</v>
      </c>
      <c r="O255" t="s">
        <v>89</v>
      </c>
      <c r="P255" t="str">
        <f>"4170070951                    "</f>
        <v xml:space="preserve">4170070951                 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22.24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1</v>
      </c>
      <c r="BI255">
        <v>1</v>
      </c>
      <c r="BJ255">
        <v>0.2</v>
      </c>
      <c r="BK255">
        <v>1</v>
      </c>
      <c r="BL255">
        <v>72.78</v>
      </c>
      <c r="BM255">
        <v>10.92</v>
      </c>
      <c r="BN255">
        <v>83.7</v>
      </c>
      <c r="BO255">
        <v>83.7</v>
      </c>
      <c r="BQ255" t="s">
        <v>144</v>
      </c>
      <c r="BR255" t="s">
        <v>82</v>
      </c>
      <c r="BS255" s="3">
        <v>45994</v>
      </c>
      <c r="BT255" s="4">
        <v>0.41180555555555554</v>
      </c>
      <c r="BU255" t="s">
        <v>145</v>
      </c>
      <c r="BV255" t="s">
        <v>84</v>
      </c>
      <c r="BY255">
        <v>1200</v>
      </c>
      <c r="CA255" t="s">
        <v>146</v>
      </c>
      <c r="CC255" t="s">
        <v>142</v>
      </c>
      <c r="CD255">
        <v>6001</v>
      </c>
      <c r="CE255" t="s">
        <v>134</v>
      </c>
      <c r="CF255" s="3">
        <v>45994</v>
      </c>
      <c r="CI255">
        <v>1</v>
      </c>
      <c r="CJ255">
        <v>1</v>
      </c>
      <c r="CK255">
        <v>21</v>
      </c>
      <c r="CL255" t="s">
        <v>87</v>
      </c>
    </row>
    <row r="256" spans="1:90" x14ac:dyDescent="0.3">
      <c r="A256" t="s">
        <v>72</v>
      </c>
      <c r="B256" t="s">
        <v>73</v>
      </c>
      <c r="C256" t="s">
        <v>74</v>
      </c>
      <c r="E256" t="str">
        <f>"080069621460"</f>
        <v>080069621460</v>
      </c>
      <c r="F256" s="3">
        <v>45993</v>
      </c>
      <c r="G256">
        <v>202609</v>
      </c>
      <c r="H256" t="s">
        <v>75</v>
      </c>
      <c r="I256" t="s">
        <v>76</v>
      </c>
      <c r="J256" t="s">
        <v>77</v>
      </c>
      <c r="K256" t="s">
        <v>78</v>
      </c>
      <c r="L256" t="s">
        <v>94</v>
      </c>
      <c r="M256" t="s">
        <v>95</v>
      </c>
      <c r="N256" t="s">
        <v>794</v>
      </c>
      <c r="O256" t="s">
        <v>89</v>
      </c>
      <c r="P256" t="str">
        <f>"4170071506                    "</f>
        <v xml:space="preserve">4170071506                    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22.24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1</v>
      </c>
      <c r="BI256">
        <v>1</v>
      </c>
      <c r="BJ256">
        <v>0.2</v>
      </c>
      <c r="BK256">
        <v>1</v>
      </c>
      <c r="BL256">
        <v>72.78</v>
      </c>
      <c r="BM256">
        <v>10.92</v>
      </c>
      <c r="BN256">
        <v>83.7</v>
      </c>
      <c r="BO256">
        <v>83.7</v>
      </c>
      <c r="BQ256" t="s">
        <v>795</v>
      </c>
      <c r="BR256" t="s">
        <v>82</v>
      </c>
      <c r="BS256" s="3">
        <v>45994</v>
      </c>
      <c r="BT256" s="4">
        <v>0.40208333333333335</v>
      </c>
      <c r="BU256" t="s">
        <v>796</v>
      </c>
      <c r="BV256" t="s">
        <v>84</v>
      </c>
      <c r="BY256">
        <v>1200</v>
      </c>
      <c r="CA256" t="s">
        <v>99</v>
      </c>
      <c r="CC256" t="s">
        <v>95</v>
      </c>
      <c r="CD256">
        <v>3600</v>
      </c>
      <c r="CE256" t="s">
        <v>134</v>
      </c>
      <c r="CF256" s="3">
        <v>45994</v>
      </c>
      <c r="CI256">
        <v>1</v>
      </c>
      <c r="CJ256">
        <v>1</v>
      </c>
      <c r="CK256">
        <v>21</v>
      </c>
      <c r="CL256" t="s">
        <v>87</v>
      </c>
    </row>
    <row r="257" spans="1:90" x14ac:dyDescent="0.3">
      <c r="A257" t="s">
        <v>72</v>
      </c>
      <c r="B257" t="s">
        <v>73</v>
      </c>
      <c r="C257" t="s">
        <v>74</v>
      </c>
      <c r="E257" t="str">
        <f>"080069621479"</f>
        <v>080069621479</v>
      </c>
      <c r="F257" s="3">
        <v>45993</v>
      </c>
      <c r="G257">
        <v>202609</v>
      </c>
      <c r="H257" t="s">
        <v>75</v>
      </c>
      <c r="I257" t="s">
        <v>76</v>
      </c>
      <c r="J257" t="s">
        <v>77</v>
      </c>
      <c r="K257" t="s">
        <v>78</v>
      </c>
      <c r="L257" t="s">
        <v>176</v>
      </c>
      <c r="M257" t="s">
        <v>177</v>
      </c>
      <c r="N257" t="s">
        <v>178</v>
      </c>
      <c r="O257" t="s">
        <v>89</v>
      </c>
      <c r="P257" t="str">
        <f>"4170071492                    "</f>
        <v xml:space="preserve">4170071492                 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17.37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1</v>
      </c>
      <c r="BI257">
        <v>2.7</v>
      </c>
      <c r="BJ257">
        <v>0.9</v>
      </c>
      <c r="BK257">
        <v>3</v>
      </c>
      <c r="BL257">
        <v>56.85</v>
      </c>
      <c r="BM257">
        <v>8.5299999999999994</v>
      </c>
      <c r="BN257">
        <v>65.38</v>
      </c>
      <c r="BO257">
        <v>65.38</v>
      </c>
      <c r="BQ257" t="s">
        <v>179</v>
      </c>
      <c r="BR257" t="s">
        <v>82</v>
      </c>
      <c r="BS257" s="3">
        <v>45994</v>
      </c>
      <c r="BT257" s="4">
        <v>0.4</v>
      </c>
      <c r="BU257" t="s">
        <v>180</v>
      </c>
      <c r="BV257" t="s">
        <v>84</v>
      </c>
      <c r="BY257">
        <v>4376.18</v>
      </c>
      <c r="CA257" t="s">
        <v>182</v>
      </c>
      <c r="CC257" t="s">
        <v>177</v>
      </c>
      <c r="CD257">
        <v>2094</v>
      </c>
      <c r="CE257" t="s">
        <v>86</v>
      </c>
      <c r="CF257" s="3">
        <v>45994</v>
      </c>
      <c r="CI257">
        <v>1</v>
      </c>
      <c r="CJ257">
        <v>1</v>
      </c>
      <c r="CK257">
        <v>22</v>
      </c>
      <c r="CL257" t="s">
        <v>87</v>
      </c>
    </row>
    <row r="258" spans="1:90" x14ac:dyDescent="0.3">
      <c r="A258" t="s">
        <v>72</v>
      </c>
      <c r="B258" t="s">
        <v>73</v>
      </c>
      <c r="C258" t="s">
        <v>74</v>
      </c>
      <c r="E258" t="str">
        <f>"080069621688"</f>
        <v>080069621688</v>
      </c>
      <c r="F258" s="3">
        <v>45993</v>
      </c>
      <c r="G258">
        <v>202609</v>
      </c>
      <c r="H258" t="s">
        <v>75</v>
      </c>
      <c r="I258" t="s">
        <v>76</v>
      </c>
      <c r="J258" t="s">
        <v>77</v>
      </c>
      <c r="K258" t="s">
        <v>78</v>
      </c>
      <c r="L258" t="s">
        <v>141</v>
      </c>
      <c r="M258" t="s">
        <v>142</v>
      </c>
      <c r="N258" t="s">
        <v>585</v>
      </c>
      <c r="O258" t="s">
        <v>89</v>
      </c>
      <c r="P258" t="str">
        <f>"4170071416                    "</f>
        <v xml:space="preserve">4170071416                    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22.24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1</v>
      </c>
      <c r="BI258">
        <v>1</v>
      </c>
      <c r="BJ258">
        <v>1.4</v>
      </c>
      <c r="BK258">
        <v>1.5</v>
      </c>
      <c r="BL258">
        <v>72.78</v>
      </c>
      <c r="BM258">
        <v>10.92</v>
      </c>
      <c r="BN258">
        <v>83.7</v>
      </c>
      <c r="BO258">
        <v>83.7</v>
      </c>
      <c r="BQ258" t="s">
        <v>586</v>
      </c>
      <c r="BR258" t="s">
        <v>82</v>
      </c>
      <c r="BS258" s="3">
        <v>45994</v>
      </c>
      <c r="BT258" s="4">
        <v>0.42222222222222222</v>
      </c>
      <c r="BU258" t="s">
        <v>607</v>
      </c>
      <c r="BV258" t="s">
        <v>84</v>
      </c>
      <c r="BY258">
        <v>7000</v>
      </c>
      <c r="CA258" t="s">
        <v>569</v>
      </c>
      <c r="CC258" t="s">
        <v>142</v>
      </c>
      <c r="CD258">
        <v>6001</v>
      </c>
      <c r="CE258" t="s">
        <v>86</v>
      </c>
      <c r="CF258" s="3">
        <v>45994</v>
      </c>
      <c r="CI258">
        <v>1</v>
      </c>
      <c r="CJ258">
        <v>1</v>
      </c>
      <c r="CK258">
        <v>21</v>
      </c>
      <c r="CL258" t="s">
        <v>87</v>
      </c>
    </row>
    <row r="259" spans="1:90" x14ac:dyDescent="0.3">
      <c r="A259" t="s">
        <v>72</v>
      </c>
      <c r="B259" t="s">
        <v>73</v>
      </c>
      <c r="C259" t="s">
        <v>74</v>
      </c>
      <c r="E259" t="str">
        <f>"080069621718"</f>
        <v>080069621718</v>
      </c>
      <c r="F259" s="3">
        <v>45993</v>
      </c>
      <c r="G259">
        <v>202609</v>
      </c>
      <c r="H259" t="s">
        <v>75</v>
      </c>
      <c r="I259" t="s">
        <v>76</v>
      </c>
      <c r="J259" t="s">
        <v>77</v>
      </c>
      <c r="K259" t="s">
        <v>78</v>
      </c>
      <c r="L259" t="s">
        <v>141</v>
      </c>
      <c r="M259" t="s">
        <v>142</v>
      </c>
      <c r="N259" t="s">
        <v>585</v>
      </c>
      <c r="O259" t="s">
        <v>89</v>
      </c>
      <c r="P259" t="str">
        <f>"4170071408                    "</f>
        <v xml:space="preserve">4170071408                    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22.24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1</v>
      </c>
      <c r="BI259">
        <v>1</v>
      </c>
      <c r="BJ259">
        <v>1.1000000000000001</v>
      </c>
      <c r="BK259">
        <v>1.5</v>
      </c>
      <c r="BL259">
        <v>72.78</v>
      </c>
      <c r="BM259">
        <v>10.92</v>
      </c>
      <c r="BN259">
        <v>83.7</v>
      </c>
      <c r="BO259">
        <v>83.7</v>
      </c>
      <c r="BQ259" t="s">
        <v>586</v>
      </c>
      <c r="BR259" t="s">
        <v>82</v>
      </c>
      <c r="BS259" s="3">
        <v>45994</v>
      </c>
      <c r="BT259" s="4">
        <v>0.42222222222222222</v>
      </c>
      <c r="BU259" t="s">
        <v>607</v>
      </c>
      <c r="BV259" t="s">
        <v>84</v>
      </c>
      <c r="BY259">
        <v>5510</v>
      </c>
      <c r="CA259" t="s">
        <v>569</v>
      </c>
      <c r="CC259" t="s">
        <v>142</v>
      </c>
      <c r="CD259">
        <v>6001</v>
      </c>
      <c r="CE259" t="s">
        <v>86</v>
      </c>
      <c r="CF259" s="3">
        <v>45994</v>
      </c>
      <c r="CI259">
        <v>1</v>
      </c>
      <c r="CJ259">
        <v>1</v>
      </c>
      <c r="CK259">
        <v>21</v>
      </c>
      <c r="CL259" t="s">
        <v>87</v>
      </c>
    </row>
    <row r="260" spans="1:90" x14ac:dyDescent="0.3">
      <c r="A260" t="s">
        <v>72</v>
      </c>
      <c r="B260" t="s">
        <v>73</v>
      </c>
      <c r="C260" t="s">
        <v>74</v>
      </c>
      <c r="E260" t="str">
        <f>"080069621752"</f>
        <v>080069621752</v>
      </c>
      <c r="F260" s="3">
        <v>45993</v>
      </c>
      <c r="G260">
        <v>202609</v>
      </c>
      <c r="H260" t="s">
        <v>75</v>
      </c>
      <c r="I260" t="s">
        <v>76</v>
      </c>
      <c r="J260" t="s">
        <v>77</v>
      </c>
      <c r="K260" t="s">
        <v>78</v>
      </c>
      <c r="L260" t="s">
        <v>156</v>
      </c>
      <c r="M260" t="s">
        <v>157</v>
      </c>
      <c r="N260" t="s">
        <v>261</v>
      </c>
      <c r="O260" t="s">
        <v>89</v>
      </c>
      <c r="P260" t="str">
        <f>"4170071516                    "</f>
        <v xml:space="preserve">4170071516                    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22.24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1</v>
      </c>
      <c r="BI260">
        <v>1</v>
      </c>
      <c r="BJ260">
        <v>0.9</v>
      </c>
      <c r="BK260">
        <v>1</v>
      </c>
      <c r="BL260">
        <v>72.78</v>
      </c>
      <c r="BM260">
        <v>10.92</v>
      </c>
      <c r="BN260">
        <v>83.7</v>
      </c>
      <c r="BO260">
        <v>83.7</v>
      </c>
      <c r="BQ260" t="s">
        <v>262</v>
      </c>
      <c r="BR260" t="s">
        <v>82</v>
      </c>
      <c r="BS260" s="3">
        <v>45994</v>
      </c>
      <c r="BT260" s="4">
        <v>0.41249999999999998</v>
      </c>
      <c r="BU260" t="s">
        <v>822</v>
      </c>
      <c r="BV260" t="s">
        <v>84</v>
      </c>
      <c r="BY260">
        <v>4275</v>
      </c>
      <c r="CA260" t="s">
        <v>823</v>
      </c>
      <c r="CC260" t="s">
        <v>157</v>
      </c>
      <c r="CD260">
        <v>7441</v>
      </c>
      <c r="CE260" t="s">
        <v>86</v>
      </c>
      <c r="CF260" s="3">
        <v>45995</v>
      </c>
      <c r="CI260">
        <v>1</v>
      </c>
      <c r="CJ260">
        <v>1</v>
      </c>
      <c r="CK260">
        <v>21</v>
      </c>
      <c r="CL260" t="s">
        <v>87</v>
      </c>
    </row>
    <row r="261" spans="1:90" x14ac:dyDescent="0.3">
      <c r="A261" t="s">
        <v>72</v>
      </c>
      <c r="B261" t="s">
        <v>73</v>
      </c>
      <c r="C261" t="s">
        <v>74</v>
      </c>
      <c r="E261" t="str">
        <f>"080069621797"</f>
        <v>080069621797</v>
      </c>
      <c r="F261" s="3">
        <v>45993</v>
      </c>
      <c r="G261">
        <v>202609</v>
      </c>
      <c r="H261" t="s">
        <v>75</v>
      </c>
      <c r="I261" t="s">
        <v>76</v>
      </c>
      <c r="J261" t="s">
        <v>77</v>
      </c>
      <c r="K261" t="s">
        <v>78</v>
      </c>
      <c r="L261" t="s">
        <v>283</v>
      </c>
      <c r="M261" t="s">
        <v>284</v>
      </c>
      <c r="N261" t="s">
        <v>285</v>
      </c>
      <c r="O261" t="s">
        <v>89</v>
      </c>
      <c r="P261" t="str">
        <f>"4170071482                    "</f>
        <v xml:space="preserve">4170071482                    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43.09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1</v>
      </c>
      <c r="BI261">
        <v>1</v>
      </c>
      <c r="BJ261">
        <v>0.2</v>
      </c>
      <c r="BK261">
        <v>1</v>
      </c>
      <c r="BL261">
        <v>141.02000000000001</v>
      </c>
      <c r="BM261">
        <v>21.15</v>
      </c>
      <c r="BN261">
        <v>162.16999999999999</v>
      </c>
      <c r="BO261">
        <v>162.16999999999999</v>
      </c>
      <c r="BQ261" t="s">
        <v>286</v>
      </c>
      <c r="BR261" t="s">
        <v>82</v>
      </c>
      <c r="BS261" s="3">
        <v>45994</v>
      </c>
      <c r="BT261" s="4">
        <v>0.36319444444444443</v>
      </c>
      <c r="BU261" t="s">
        <v>287</v>
      </c>
      <c r="BV261" t="s">
        <v>84</v>
      </c>
      <c r="BY261">
        <v>1200</v>
      </c>
      <c r="CA261">
        <v>6805135560080</v>
      </c>
      <c r="CC261" t="s">
        <v>284</v>
      </c>
      <c r="CD261">
        <v>1947</v>
      </c>
      <c r="CE261" t="s">
        <v>134</v>
      </c>
      <c r="CF261" s="3">
        <v>45995</v>
      </c>
      <c r="CI261">
        <v>1</v>
      </c>
      <c r="CJ261">
        <v>1</v>
      </c>
      <c r="CK261">
        <v>23</v>
      </c>
      <c r="CL261" t="s">
        <v>87</v>
      </c>
    </row>
    <row r="262" spans="1:90" x14ac:dyDescent="0.3">
      <c r="A262" t="s">
        <v>72</v>
      </c>
      <c r="B262" t="s">
        <v>73</v>
      </c>
      <c r="C262" t="s">
        <v>74</v>
      </c>
      <c r="E262" t="str">
        <f>"080069622263"</f>
        <v>080069622263</v>
      </c>
      <c r="F262" s="3">
        <v>45993</v>
      </c>
      <c r="G262">
        <v>202609</v>
      </c>
      <c r="H262" t="s">
        <v>75</v>
      </c>
      <c r="I262" t="s">
        <v>76</v>
      </c>
      <c r="J262" t="s">
        <v>77</v>
      </c>
      <c r="K262" t="s">
        <v>78</v>
      </c>
      <c r="L262" t="s">
        <v>302</v>
      </c>
      <c r="M262" t="s">
        <v>303</v>
      </c>
      <c r="N262" t="s">
        <v>824</v>
      </c>
      <c r="O262" t="s">
        <v>89</v>
      </c>
      <c r="P262" t="str">
        <f>"4170071505                    "</f>
        <v xml:space="preserve">4170071505                    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22.24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1</v>
      </c>
      <c r="BI262">
        <v>1</v>
      </c>
      <c r="BJ262">
        <v>1.8</v>
      </c>
      <c r="BK262">
        <v>2</v>
      </c>
      <c r="BL262">
        <v>72.78</v>
      </c>
      <c r="BM262">
        <v>10.92</v>
      </c>
      <c r="BN262">
        <v>83.7</v>
      </c>
      <c r="BO262">
        <v>83.7</v>
      </c>
      <c r="BQ262" t="s">
        <v>825</v>
      </c>
      <c r="BR262" t="s">
        <v>82</v>
      </c>
      <c r="BS262" s="3">
        <v>45994</v>
      </c>
      <c r="BT262" s="4">
        <v>0.38333333333333336</v>
      </c>
      <c r="BU262" t="s">
        <v>656</v>
      </c>
      <c r="BV262" t="s">
        <v>84</v>
      </c>
      <c r="BY262">
        <v>9100</v>
      </c>
      <c r="CA262">
        <v>8303236124087</v>
      </c>
      <c r="CC262" t="s">
        <v>303</v>
      </c>
      <c r="CD262" s="5" t="s">
        <v>826</v>
      </c>
      <c r="CE262" t="s">
        <v>93</v>
      </c>
      <c r="CF262" s="3">
        <v>45994</v>
      </c>
      <c r="CI262">
        <v>1</v>
      </c>
      <c r="CJ262">
        <v>1</v>
      </c>
      <c r="CK262">
        <v>21</v>
      </c>
      <c r="CL262" t="s">
        <v>87</v>
      </c>
    </row>
    <row r="263" spans="1:90" x14ac:dyDescent="0.3">
      <c r="A263" t="s">
        <v>72</v>
      </c>
      <c r="B263" t="s">
        <v>73</v>
      </c>
      <c r="C263" t="s">
        <v>74</v>
      </c>
      <c r="E263" t="str">
        <f>"080069622267"</f>
        <v>080069622267</v>
      </c>
      <c r="F263" s="3">
        <v>45993</v>
      </c>
      <c r="G263">
        <v>202609</v>
      </c>
      <c r="H263" t="s">
        <v>75</v>
      </c>
      <c r="I263" t="s">
        <v>76</v>
      </c>
      <c r="J263" t="s">
        <v>77</v>
      </c>
      <c r="K263" t="s">
        <v>78</v>
      </c>
      <c r="L263" t="s">
        <v>100</v>
      </c>
      <c r="M263" t="s">
        <v>101</v>
      </c>
      <c r="N263" t="s">
        <v>827</v>
      </c>
      <c r="O263" t="s">
        <v>89</v>
      </c>
      <c r="P263" t="str">
        <f>"4170071502                    "</f>
        <v xml:space="preserve">4170071502                    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22.24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1</v>
      </c>
      <c r="BI263">
        <v>1</v>
      </c>
      <c r="BJ263">
        <v>0.2</v>
      </c>
      <c r="BK263">
        <v>1</v>
      </c>
      <c r="BL263">
        <v>72.78</v>
      </c>
      <c r="BM263">
        <v>10.92</v>
      </c>
      <c r="BN263">
        <v>83.7</v>
      </c>
      <c r="BO263">
        <v>83.7</v>
      </c>
      <c r="BQ263" t="s">
        <v>828</v>
      </c>
      <c r="BR263" t="s">
        <v>82</v>
      </c>
      <c r="BS263" s="3">
        <v>45994</v>
      </c>
      <c r="BT263" s="4">
        <v>0.52083333333333337</v>
      </c>
      <c r="BU263" t="s">
        <v>829</v>
      </c>
      <c r="BV263" t="s">
        <v>87</v>
      </c>
      <c r="BW263" t="s">
        <v>246</v>
      </c>
      <c r="BX263" t="s">
        <v>247</v>
      </c>
      <c r="BY263">
        <v>1200</v>
      </c>
      <c r="CA263" t="s">
        <v>248</v>
      </c>
      <c r="CC263" t="s">
        <v>101</v>
      </c>
      <c r="CD263">
        <v>4080</v>
      </c>
      <c r="CE263" t="s">
        <v>134</v>
      </c>
      <c r="CF263" s="3">
        <v>45994</v>
      </c>
      <c r="CI263">
        <v>1</v>
      </c>
      <c r="CJ263">
        <v>1</v>
      </c>
      <c r="CK263">
        <v>21</v>
      </c>
      <c r="CL263" t="s">
        <v>87</v>
      </c>
    </row>
    <row r="264" spans="1:90" x14ac:dyDescent="0.3">
      <c r="A264" t="s">
        <v>72</v>
      </c>
      <c r="B264" t="s">
        <v>73</v>
      </c>
      <c r="C264" t="s">
        <v>74</v>
      </c>
      <c r="E264" t="str">
        <f>"080069622289"</f>
        <v>080069622289</v>
      </c>
      <c r="F264" s="3">
        <v>45993</v>
      </c>
      <c r="G264">
        <v>202609</v>
      </c>
      <c r="H264" t="s">
        <v>75</v>
      </c>
      <c r="I264" t="s">
        <v>76</v>
      </c>
      <c r="J264" t="s">
        <v>77</v>
      </c>
      <c r="K264" t="s">
        <v>78</v>
      </c>
      <c r="L264" t="s">
        <v>141</v>
      </c>
      <c r="M264" t="s">
        <v>142</v>
      </c>
      <c r="N264" t="s">
        <v>830</v>
      </c>
      <c r="O264" t="s">
        <v>89</v>
      </c>
      <c r="P264" t="str">
        <f>"4170071524                    "</f>
        <v xml:space="preserve">4170071524                    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22.24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1</v>
      </c>
      <c r="BI264">
        <v>1</v>
      </c>
      <c r="BJ264">
        <v>0.2</v>
      </c>
      <c r="BK264">
        <v>1</v>
      </c>
      <c r="BL264">
        <v>72.78</v>
      </c>
      <c r="BM264">
        <v>10.92</v>
      </c>
      <c r="BN264">
        <v>83.7</v>
      </c>
      <c r="BO264">
        <v>83.7</v>
      </c>
      <c r="BQ264" t="s">
        <v>831</v>
      </c>
      <c r="BR264" t="s">
        <v>82</v>
      </c>
      <c r="BS264" s="3">
        <v>45994</v>
      </c>
      <c r="BT264" s="4">
        <v>0.40416666666666667</v>
      </c>
      <c r="BU264" t="s">
        <v>832</v>
      </c>
      <c r="BV264" t="s">
        <v>84</v>
      </c>
      <c r="BY264">
        <v>1200</v>
      </c>
      <c r="CA264" t="s">
        <v>146</v>
      </c>
      <c r="CC264" t="s">
        <v>142</v>
      </c>
      <c r="CD264">
        <v>6001</v>
      </c>
      <c r="CE264" t="s">
        <v>134</v>
      </c>
      <c r="CF264" s="3">
        <v>45994</v>
      </c>
      <c r="CI264">
        <v>1</v>
      </c>
      <c r="CJ264">
        <v>1</v>
      </c>
      <c r="CK264">
        <v>21</v>
      </c>
      <c r="CL264" t="s">
        <v>87</v>
      </c>
    </row>
    <row r="265" spans="1:90" x14ac:dyDescent="0.3">
      <c r="A265" t="s">
        <v>72</v>
      </c>
      <c r="B265" t="s">
        <v>73</v>
      </c>
      <c r="C265" t="s">
        <v>74</v>
      </c>
      <c r="E265" t="str">
        <f>"080069622306"</f>
        <v>080069622306</v>
      </c>
      <c r="F265" s="3">
        <v>45993</v>
      </c>
      <c r="G265">
        <v>202609</v>
      </c>
      <c r="H265" t="s">
        <v>75</v>
      </c>
      <c r="I265" t="s">
        <v>76</v>
      </c>
      <c r="J265" t="s">
        <v>77</v>
      </c>
      <c r="K265" t="s">
        <v>78</v>
      </c>
      <c r="L265" t="s">
        <v>75</v>
      </c>
      <c r="M265" t="s">
        <v>76</v>
      </c>
      <c r="N265" t="s">
        <v>79</v>
      </c>
      <c r="O265" t="s">
        <v>89</v>
      </c>
      <c r="P265" t="str">
        <f>"4170071479                    "</f>
        <v xml:space="preserve">4170071479                    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17.37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1</v>
      </c>
      <c r="BI265">
        <v>1</v>
      </c>
      <c r="BJ265">
        <v>0.2</v>
      </c>
      <c r="BK265">
        <v>1</v>
      </c>
      <c r="BL265">
        <v>56.85</v>
      </c>
      <c r="BM265">
        <v>8.5299999999999994</v>
      </c>
      <c r="BN265">
        <v>65.38</v>
      </c>
      <c r="BO265">
        <v>65.38</v>
      </c>
      <c r="BQ265" t="s">
        <v>81</v>
      </c>
      <c r="BR265" t="s">
        <v>82</v>
      </c>
      <c r="BS265" s="3">
        <v>45994</v>
      </c>
      <c r="BT265" s="4">
        <v>0.41458333333333336</v>
      </c>
      <c r="BU265" t="s">
        <v>83</v>
      </c>
      <c r="BV265" t="s">
        <v>84</v>
      </c>
      <c r="BY265">
        <v>1200</v>
      </c>
      <c r="CA265" t="s">
        <v>85</v>
      </c>
      <c r="CC265" t="s">
        <v>76</v>
      </c>
      <c r="CD265">
        <v>1619</v>
      </c>
      <c r="CE265" t="s">
        <v>134</v>
      </c>
      <c r="CF265" s="3">
        <v>45994</v>
      </c>
      <c r="CI265">
        <v>1</v>
      </c>
      <c r="CJ265">
        <v>1</v>
      </c>
      <c r="CK265">
        <v>22</v>
      </c>
      <c r="CL265" t="s">
        <v>87</v>
      </c>
    </row>
    <row r="266" spans="1:90" x14ac:dyDescent="0.3">
      <c r="A266" t="s">
        <v>72</v>
      </c>
      <c r="B266" t="s">
        <v>73</v>
      </c>
      <c r="C266" t="s">
        <v>74</v>
      </c>
      <c r="E266" t="str">
        <f>"080069622333"</f>
        <v>080069622333</v>
      </c>
      <c r="F266" s="3">
        <v>45993</v>
      </c>
      <c r="G266">
        <v>202609</v>
      </c>
      <c r="H266" t="s">
        <v>75</v>
      </c>
      <c r="I266" t="s">
        <v>76</v>
      </c>
      <c r="J266" t="s">
        <v>77</v>
      </c>
      <c r="K266" t="s">
        <v>78</v>
      </c>
      <c r="L266" t="s">
        <v>156</v>
      </c>
      <c r="M266" t="s">
        <v>157</v>
      </c>
      <c r="N266" t="s">
        <v>627</v>
      </c>
      <c r="O266" t="s">
        <v>89</v>
      </c>
      <c r="P266" t="str">
        <f>"4170071529                    "</f>
        <v xml:space="preserve">4170071529                    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22.24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1</v>
      </c>
      <c r="BI266">
        <v>1</v>
      </c>
      <c r="BJ266">
        <v>0.2</v>
      </c>
      <c r="BK266">
        <v>1</v>
      </c>
      <c r="BL266">
        <v>72.78</v>
      </c>
      <c r="BM266">
        <v>10.92</v>
      </c>
      <c r="BN266">
        <v>83.7</v>
      </c>
      <c r="BO266">
        <v>83.7</v>
      </c>
      <c r="BQ266" t="s">
        <v>628</v>
      </c>
      <c r="BR266" t="s">
        <v>82</v>
      </c>
      <c r="BS266" t="s">
        <v>500</v>
      </c>
      <c r="BY266">
        <v>1200</v>
      </c>
      <c r="CC266" t="s">
        <v>157</v>
      </c>
      <c r="CD266">
        <v>7535</v>
      </c>
      <c r="CE266" t="s">
        <v>134</v>
      </c>
      <c r="CI266">
        <v>1</v>
      </c>
      <c r="CJ266" t="s">
        <v>500</v>
      </c>
      <c r="CK266">
        <v>21</v>
      </c>
      <c r="CL266" t="s">
        <v>87</v>
      </c>
    </row>
    <row r="267" spans="1:90" x14ac:dyDescent="0.3">
      <c r="A267" t="s">
        <v>72</v>
      </c>
      <c r="B267" t="s">
        <v>73</v>
      </c>
      <c r="C267" t="s">
        <v>74</v>
      </c>
      <c r="E267" t="str">
        <f>"080069622381"</f>
        <v>080069622381</v>
      </c>
      <c r="F267" s="3">
        <v>45993</v>
      </c>
      <c r="G267">
        <v>202609</v>
      </c>
      <c r="H267" t="s">
        <v>75</v>
      </c>
      <c r="I267" t="s">
        <v>76</v>
      </c>
      <c r="J267" t="s">
        <v>77</v>
      </c>
      <c r="K267" t="s">
        <v>78</v>
      </c>
      <c r="L267" t="s">
        <v>141</v>
      </c>
      <c r="M267" t="s">
        <v>142</v>
      </c>
      <c r="N267" t="s">
        <v>731</v>
      </c>
      <c r="O267" t="s">
        <v>89</v>
      </c>
      <c r="P267" t="str">
        <f>"4170071518                    "</f>
        <v xml:space="preserve">4170071518                    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22.24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1</v>
      </c>
      <c r="BI267">
        <v>1</v>
      </c>
      <c r="BJ267">
        <v>0.2</v>
      </c>
      <c r="BK267">
        <v>1</v>
      </c>
      <c r="BL267">
        <v>72.78</v>
      </c>
      <c r="BM267">
        <v>10.92</v>
      </c>
      <c r="BN267">
        <v>83.7</v>
      </c>
      <c r="BO267">
        <v>83.7</v>
      </c>
      <c r="BQ267" t="s">
        <v>732</v>
      </c>
      <c r="BR267" t="s">
        <v>82</v>
      </c>
      <c r="BS267" s="3">
        <v>45994</v>
      </c>
      <c r="BT267" s="4">
        <v>0.42986111111111114</v>
      </c>
      <c r="BU267" t="s">
        <v>733</v>
      </c>
      <c r="BV267" t="s">
        <v>84</v>
      </c>
      <c r="BY267">
        <v>1200</v>
      </c>
      <c r="CA267" t="s">
        <v>277</v>
      </c>
      <c r="CC267" t="s">
        <v>142</v>
      </c>
      <c r="CD267">
        <v>6001</v>
      </c>
      <c r="CE267" t="s">
        <v>134</v>
      </c>
      <c r="CF267" s="3">
        <v>45994</v>
      </c>
      <c r="CI267">
        <v>1</v>
      </c>
      <c r="CJ267">
        <v>1</v>
      </c>
      <c r="CK267">
        <v>21</v>
      </c>
      <c r="CL267" t="s">
        <v>87</v>
      </c>
    </row>
    <row r="268" spans="1:90" x14ac:dyDescent="0.3">
      <c r="A268" t="s">
        <v>72</v>
      </c>
      <c r="B268" t="s">
        <v>73</v>
      </c>
      <c r="C268" t="s">
        <v>74</v>
      </c>
      <c r="E268" t="str">
        <f>"080069622397"</f>
        <v>080069622397</v>
      </c>
      <c r="F268" s="3">
        <v>45993</v>
      </c>
      <c r="G268">
        <v>202609</v>
      </c>
      <c r="H268" t="s">
        <v>75</v>
      </c>
      <c r="I268" t="s">
        <v>76</v>
      </c>
      <c r="J268" t="s">
        <v>77</v>
      </c>
      <c r="K268" t="s">
        <v>78</v>
      </c>
      <c r="L268" t="s">
        <v>141</v>
      </c>
      <c r="M268" t="s">
        <v>142</v>
      </c>
      <c r="N268" t="s">
        <v>731</v>
      </c>
      <c r="O268" t="s">
        <v>89</v>
      </c>
      <c r="P268" t="str">
        <f>"4170071514                    "</f>
        <v xml:space="preserve">4170071514                    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22.24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1</v>
      </c>
      <c r="BI268">
        <v>1</v>
      </c>
      <c r="BJ268">
        <v>0.2</v>
      </c>
      <c r="BK268">
        <v>1</v>
      </c>
      <c r="BL268">
        <v>72.78</v>
      </c>
      <c r="BM268">
        <v>10.92</v>
      </c>
      <c r="BN268">
        <v>83.7</v>
      </c>
      <c r="BO268">
        <v>83.7</v>
      </c>
      <c r="BQ268" t="s">
        <v>732</v>
      </c>
      <c r="BR268" t="s">
        <v>82</v>
      </c>
      <c r="BS268" s="3">
        <v>45994</v>
      </c>
      <c r="BT268" s="4">
        <v>0.42986111111111114</v>
      </c>
      <c r="BU268" t="s">
        <v>733</v>
      </c>
      <c r="BV268" t="s">
        <v>84</v>
      </c>
      <c r="BY268">
        <v>1200</v>
      </c>
      <c r="CA268" t="s">
        <v>277</v>
      </c>
      <c r="CC268" t="s">
        <v>142</v>
      </c>
      <c r="CD268">
        <v>6001</v>
      </c>
      <c r="CE268" t="s">
        <v>134</v>
      </c>
      <c r="CF268" s="3">
        <v>45994</v>
      </c>
      <c r="CI268">
        <v>1</v>
      </c>
      <c r="CJ268">
        <v>1</v>
      </c>
      <c r="CK268">
        <v>21</v>
      </c>
      <c r="CL268" t="s">
        <v>87</v>
      </c>
    </row>
    <row r="269" spans="1:90" x14ac:dyDescent="0.3">
      <c r="A269" t="s">
        <v>72</v>
      </c>
      <c r="B269" t="s">
        <v>73</v>
      </c>
      <c r="C269" t="s">
        <v>74</v>
      </c>
      <c r="E269" t="str">
        <f>"080069622408"</f>
        <v>080069622408</v>
      </c>
      <c r="F269" s="3">
        <v>45993</v>
      </c>
      <c r="G269">
        <v>202609</v>
      </c>
      <c r="H269" t="s">
        <v>75</v>
      </c>
      <c r="I269" t="s">
        <v>76</v>
      </c>
      <c r="J269" t="s">
        <v>77</v>
      </c>
      <c r="K269" t="s">
        <v>78</v>
      </c>
      <c r="L269" t="s">
        <v>94</v>
      </c>
      <c r="M269" t="s">
        <v>95</v>
      </c>
      <c r="N269" t="s">
        <v>794</v>
      </c>
      <c r="O269" t="s">
        <v>89</v>
      </c>
      <c r="P269" t="str">
        <f>"4170071498                    "</f>
        <v xml:space="preserve">4170071498                    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22.24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1</v>
      </c>
      <c r="BI269">
        <v>1</v>
      </c>
      <c r="BJ269">
        <v>0.2</v>
      </c>
      <c r="BK269">
        <v>1</v>
      </c>
      <c r="BL269">
        <v>72.78</v>
      </c>
      <c r="BM269">
        <v>10.92</v>
      </c>
      <c r="BN269">
        <v>83.7</v>
      </c>
      <c r="BO269">
        <v>83.7</v>
      </c>
      <c r="BQ269" t="s">
        <v>795</v>
      </c>
      <c r="BR269" t="s">
        <v>82</v>
      </c>
      <c r="BS269" s="3">
        <v>45994</v>
      </c>
      <c r="BT269" s="4">
        <v>0.40208333333333335</v>
      </c>
      <c r="BU269" t="s">
        <v>796</v>
      </c>
      <c r="BV269" t="s">
        <v>84</v>
      </c>
      <c r="BY269">
        <v>1200</v>
      </c>
      <c r="CA269" t="s">
        <v>99</v>
      </c>
      <c r="CC269" t="s">
        <v>95</v>
      </c>
      <c r="CD269">
        <v>3600</v>
      </c>
      <c r="CE269" t="s">
        <v>134</v>
      </c>
      <c r="CF269" s="3">
        <v>45994</v>
      </c>
      <c r="CI269">
        <v>1</v>
      </c>
      <c r="CJ269">
        <v>1</v>
      </c>
      <c r="CK269">
        <v>21</v>
      </c>
      <c r="CL269" t="s">
        <v>87</v>
      </c>
    </row>
    <row r="270" spans="1:90" x14ac:dyDescent="0.3">
      <c r="A270" t="s">
        <v>72</v>
      </c>
      <c r="B270" t="s">
        <v>73</v>
      </c>
      <c r="C270" t="s">
        <v>74</v>
      </c>
      <c r="E270" t="str">
        <f>"080069622443"</f>
        <v>080069622443</v>
      </c>
      <c r="F270" s="3">
        <v>45993</v>
      </c>
      <c r="G270">
        <v>202609</v>
      </c>
      <c r="H270" t="s">
        <v>75</v>
      </c>
      <c r="I270" t="s">
        <v>76</v>
      </c>
      <c r="J270" t="s">
        <v>77</v>
      </c>
      <c r="K270" t="s">
        <v>78</v>
      </c>
      <c r="L270" t="s">
        <v>141</v>
      </c>
      <c r="M270" t="s">
        <v>142</v>
      </c>
      <c r="N270" t="s">
        <v>833</v>
      </c>
      <c r="O270" t="s">
        <v>89</v>
      </c>
      <c r="P270" t="str">
        <f>"4170071528                    "</f>
        <v xml:space="preserve">4170071528                    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22.24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1</v>
      </c>
      <c r="BI270">
        <v>1</v>
      </c>
      <c r="BJ270">
        <v>0.2</v>
      </c>
      <c r="BK270">
        <v>1</v>
      </c>
      <c r="BL270">
        <v>72.78</v>
      </c>
      <c r="BM270">
        <v>10.92</v>
      </c>
      <c r="BN270">
        <v>83.7</v>
      </c>
      <c r="BO270">
        <v>83.7</v>
      </c>
      <c r="BQ270" t="s">
        <v>834</v>
      </c>
      <c r="BR270" t="s">
        <v>82</v>
      </c>
      <c r="BS270" s="3">
        <v>45994</v>
      </c>
      <c r="BT270" s="4">
        <v>0.35972222222222222</v>
      </c>
      <c r="BU270" t="s">
        <v>835</v>
      </c>
      <c r="BV270" t="s">
        <v>84</v>
      </c>
      <c r="BY270">
        <v>1200</v>
      </c>
      <c r="CA270" t="s">
        <v>146</v>
      </c>
      <c r="CC270" t="s">
        <v>142</v>
      </c>
      <c r="CD270">
        <v>6045</v>
      </c>
      <c r="CE270" t="s">
        <v>134</v>
      </c>
      <c r="CF270" s="3">
        <v>45994</v>
      </c>
      <c r="CI270">
        <v>1</v>
      </c>
      <c r="CJ270">
        <v>1</v>
      </c>
      <c r="CK270">
        <v>21</v>
      </c>
      <c r="CL270" t="s">
        <v>87</v>
      </c>
    </row>
    <row r="271" spans="1:90" x14ac:dyDescent="0.3">
      <c r="A271" t="s">
        <v>72</v>
      </c>
      <c r="B271" t="s">
        <v>73</v>
      </c>
      <c r="C271" t="s">
        <v>74</v>
      </c>
      <c r="E271" t="str">
        <f>"080069622509"</f>
        <v>080069622509</v>
      </c>
      <c r="F271" s="3">
        <v>45993</v>
      </c>
      <c r="G271">
        <v>202609</v>
      </c>
      <c r="H271" t="s">
        <v>75</v>
      </c>
      <c r="I271" t="s">
        <v>76</v>
      </c>
      <c r="J271" t="s">
        <v>77</v>
      </c>
      <c r="K271" t="s">
        <v>78</v>
      </c>
      <c r="L271" t="s">
        <v>141</v>
      </c>
      <c r="M271" t="s">
        <v>142</v>
      </c>
      <c r="N271" t="s">
        <v>789</v>
      </c>
      <c r="O271" t="s">
        <v>89</v>
      </c>
      <c r="P271" t="str">
        <f>"4170071565                    "</f>
        <v xml:space="preserve">4170071565                    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72.25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1</v>
      </c>
      <c r="BI271">
        <v>6.3</v>
      </c>
      <c r="BJ271">
        <v>2.2000000000000002</v>
      </c>
      <c r="BK271">
        <v>6.5</v>
      </c>
      <c r="BL271">
        <v>236.46</v>
      </c>
      <c r="BM271">
        <v>35.47</v>
      </c>
      <c r="BN271">
        <v>271.93</v>
      </c>
      <c r="BO271">
        <v>271.93</v>
      </c>
      <c r="BQ271" t="s">
        <v>790</v>
      </c>
      <c r="BR271" t="s">
        <v>82</v>
      </c>
      <c r="BS271" s="3">
        <v>45994</v>
      </c>
      <c r="BT271" s="4">
        <v>0.40138888888888891</v>
      </c>
      <c r="BU271" t="s">
        <v>836</v>
      </c>
      <c r="BV271" t="s">
        <v>84</v>
      </c>
      <c r="BY271">
        <v>11046.6</v>
      </c>
      <c r="CA271" t="s">
        <v>277</v>
      </c>
      <c r="CC271" t="s">
        <v>142</v>
      </c>
      <c r="CD271">
        <v>6001</v>
      </c>
      <c r="CE271" t="s">
        <v>86</v>
      </c>
      <c r="CF271" s="3">
        <v>45994</v>
      </c>
      <c r="CI271">
        <v>1</v>
      </c>
      <c r="CJ271">
        <v>1</v>
      </c>
      <c r="CK271">
        <v>21</v>
      </c>
      <c r="CL271" t="s">
        <v>87</v>
      </c>
    </row>
    <row r="272" spans="1:90" x14ac:dyDescent="0.3">
      <c r="A272" t="s">
        <v>72</v>
      </c>
      <c r="B272" t="s">
        <v>73</v>
      </c>
      <c r="C272" t="s">
        <v>74</v>
      </c>
      <c r="E272" t="str">
        <f>"080069622649"</f>
        <v>080069622649</v>
      </c>
      <c r="F272" s="3">
        <v>45993</v>
      </c>
      <c r="G272">
        <v>202609</v>
      </c>
      <c r="H272" t="s">
        <v>75</v>
      </c>
      <c r="I272" t="s">
        <v>76</v>
      </c>
      <c r="J272" t="s">
        <v>77</v>
      </c>
      <c r="K272" t="s">
        <v>78</v>
      </c>
      <c r="L272" t="s">
        <v>94</v>
      </c>
      <c r="M272" t="s">
        <v>95</v>
      </c>
      <c r="N272" t="s">
        <v>794</v>
      </c>
      <c r="O272" t="s">
        <v>89</v>
      </c>
      <c r="P272" t="str">
        <f>"4170071499                    "</f>
        <v xml:space="preserve">4170071499                    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22.24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1</v>
      </c>
      <c r="BI272">
        <v>1</v>
      </c>
      <c r="BJ272">
        <v>0.2</v>
      </c>
      <c r="BK272">
        <v>1</v>
      </c>
      <c r="BL272">
        <v>72.78</v>
      </c>
      <c r="BM272">
        <v>10.92</v>
      </c>
      <c r="BN272">
        <v>83.7</v>
      </c>
      <c r="BO272">
        <v>83.7</v>
      </c>
      <c r="BQ272" t="s">
        <v>795</v>
      </c>
      <c r="BR272" t="s">
        <v>82</v>
      </c>
      <c r="BS272" s="3">
        <v>45994</v>
      </c>
      <c r="BT272" s="4">
        <v>0.40208333333333335</v>
      </c>
      <c r="BU272" t="s">
        <v>796</v>
      </c>
      <c r="BV272" t="s">
        <v>84</v>
      </c>
      <c r="BY272">
        <v>1200</v>
      </c>
      <c r="CA272" t="s">
        <v>99</v>
      </c>
      <c r="CC272" t="s">
        <v>95</v>
      </c>
      <c r="CD272">
        <v>3600</v>
      </c>
      <c r="CE272" t="s">
        <v>134</v>
      </c>
      <c r="CF272" s="3">
        <v>45994</v>
      </c>
      <c r="CI272">
        <v>1</v>
      </c>
      <c r="CJ272">
        <v>1</v>
      </c>
      <c r="CK272">
        <v>21</v>
      </c>
      <c r="CL272" t="s">
        <v>87</v>
      </c>
    </row>
    <row r="273" spans="1:90" x14ac:dyDescent="0.3">
      <c r="A273" t="s">
        <v>72</v>
      </c>
      <c r="B273" t="s">
        <v>73</v>
      </c>
      <c r="C273" t="s">
        <v>74</v>
      </c>
      <c r="E273" t="str">
        <f>"080069622685"</f>
        <v>080069622685</v>
      </c>
      <c r="F273" s="3">
        <v>45993</v>
      </c>
      <c r="G273">
        <v>202609</v>
      </c>
      <c r="H273" t="s">
        <v>75</v>
      </c>
      <c r="I273" t="s">
        <v>76</v>
      </c>
      <c r="J273" t="s">
        <v>77</v>
      </c>
      <c r="K273" t="s">
        <v>78</v>
      </c>
      <c r="L273" t="s">
        <v>94</v>
      </c>
      <c r="M273" t="s">
        <v>95</v>
      </c>
      <c r="N273" t="s">
        <v>794</v>
      </c>
      <c r="O273" t="s">
        <v>89</v>
      </c>
      <c r="P273" t="str">
        <f>"4170071501                    "</f>
        <v xml:space="preserve">4170071501                    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22.24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1</v>
      </c>
      <c r="BI273">
        <v>1</v>
      </c>
      <c r="BJ273">
        <v>0.2</v>
      </c>
      <c r="BK273">
        <v>1</v>
      </c>
      <c r="BL273">
        <v>72.78</v>
      </c>
      <c r="BM273">
        <v>10.92</v>
      </c>
      <c r="BN273">
        <v>83.7</v>
      </c>
      <c r="BO273">
        <v>83.7</v>
      </c>
      <c r="BQ273" t="s">
        <v>795</v>
      </c>
      <c r="BR273" t="s">
        <v>82</v>
      </c>
      <c r="BS273" s="3">
        <v>45994</v>
      </c>
      <c r="BT273" s="4">
        <v>0.40208333333333335</v>
      </c>
      <c r="BU273" t="s">
        <v>796</v>
      </c>
      <c r="BV273" t="s">
        <v>84</v>
      </c>
      <c r="BY273">
        <v>1200</v>
      </c>
      <c r="CA273" t="s">
        <v>99</v>
      </c>
      <c r="CC273" t="s">
        <v>95</v>
      </c>
      <c r="CD273">
        <v>3600</v>
      </c>
      <c r="CE273" t="s">
        <v>134</v>
      </c>
      <c r="CF273" s="3">
        <v>45994</v>
      </c>
      <c r="CI273">
        <v>1</v>
      </c>
      <c r="CJ273">
        <v>1</v>
      </c>
      <c r="CK273">
        <v>21</v>
      </c>
      <c r="CL273" t="s">
        <v>87</v>
      </c>
    </row>
    <row r="274" spans="1:90" x14ac:dyDescent="0.3">
      <c r="A274" t="s">
        <v>72</v>
      </c>
      <c r="B274" t="s">
        <v>73</v>
      </c>
      <c r="C274" t="s">
        <v>74</v>
      </c>
      <c r="E274" t="str">
        <f>"080069622714"</f>
        <v>080069622714</v>
      </c>
      <c r="F274" s="3">
        <v>45993</v>
      </c>
      <c r="G274">
        <v>202609</v>
      </c>
      <c r="H274" t="s">
        <v>75</v>
      </c>
      <c r="I274" t="s">
        <v>76</v>
      </c>
      <c r="J274" t="s">
        <v>77</v>
      </c>
      <c r="K274" t="s">
        <v>78</v>
      </c>
      <c r="L274" t="s">
        <v>156</v>
      </c>
      <c r="M274" t="s">
        <v>157</v>
      </c>
      <c r="N274" t="s">
        <v>837</v>
      </c>
      <c r="O274" t="s">
        <v>89</v>
      </c>
      <c r="P274" t="str">
        <f>"4170071485                    "</f>
        <v xml:space="preserve">4170071485                    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22.24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1</v>
      </c>
      <c r="BI274">
        <v>1</v>
      </c>
      <c r="BJ274">
        <v>0.2</v>
      </c>
      <c r="BK274">
        <v>1</v>
      </c>
      <c r="BL274">
        <v>72.78</v>
      </c>
      <c r="BM274">
        <v>10.92</v>
      </c>
      <c r="BN274">
        <v>83.7</v>
      </c>
      <c r="BO274">
        <v>83.7</v>
      </c>
      <c r="BQ274" t="s">
        <v>838</v>
      </c>
      <c r="BR274" t="s">
        <v>82</v>
      </c>
      <c r="BS274" s="3">
        <v>45994</v>
      </c>
      <c r="BT274" s="4">
        <v>0.65347222222222223</v>
      </c>
      <c r="BU274" t="s">
        <v>839</v>
      </c>
      <c r="BV274" t="s">
        <v>87</v>
      </c>
      <c r="BW274" t="s">
        <v>153</v>
      </c>
      <c r="BX274" t="s">
        <v>345</v>
      </c>
      <c r="BY274">
        <v>1200</v>
      </c>
      <c r="CA274" t="s">
        <v>840</v>
      </c>
      <c r="CC274" t="s">
        <v>157</v>
      </c>
      <c r="CD274">
        <v>7975</v>
      </c>
      <c r="CE274" t="s">
        <v>134</v>
      </c>
      <c r="CF274" s="3">
        <v>45995</v>
      </c>
      <c r="CI274">
        <v>1</v>
      </c>
      <c r="CJ274">
        <v>1</v>
      </c>
      <c r="CK274">
        <v>21</v>
      </c>
      <c r="CL274" t="s">
        <v>87</v>
      </c>
    </row>
    <row r="275" spans="1:90" x14ac:dyDescent="0.3">
      <c r="A275" t="s">
        <v>72</v>
      </c>
      <c r="B275" t="s">
        <v>73</v>
      </c>
      <c r="C275" t="s">
        <v>74</v>
      </c>
      <c r="E275" t="str">
        <f>"080069622757"</f>
        <v>080069622757</v>
      </c>
      <c r="F275" s="3">
        <v>45993</v>
      </c>
      <c r="G275">
        <v>202609</v>
      </c>
      <c r="H275" t="s">
        <v>75</v>
      </c>
      <c r="I275" t="s">
        <v>76</v>
      </c>
      <c r="J275" t="s">
        <v>77</v>
      </c>
      <c r="K275" t="s">
        <v>78</v>
      </c>
      <c r="L275" t="s">
        <v>218</v>
      </c>
      <c r="M275" t="s">
        <v>219</v>
      </c>
      <c r="N275" t="s">
        <v>220</v>
      </c>
      <c r="O275" t="s">
        <v>89</v>
      </c>
      <c r="P275" t="str">
        <f>"4170071525                    "</f>
        <v xml:space="preserve">4170071525                    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354.4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1</v>
      </c>
      <c r="BI275">
        <v>0.2</v>
      </c>
      <c r="BJ275">
        <v>17.8</v>
      </c>
      <c r="BK275">
        <v>18</v>
      </c>
      <c r="BL275">
        <v>1159.8499999999999</v>
      </c>
      <c r="BM275">
        <v>173.98</v>
      </c>
      <c r="BN275">
        <v>1333.83</v>
      </c>
      <c r="BO275">
        <v>1333.83</v>
      </c>
      <c r="BQ275" t="s">
        <v>221</v>
      </c>
      <c r="BR275" t="s">
        <v>82</v>
      </c>
      <c r="BS275" s="3">
        <v>45994</v>
      </c>
      <c r="BT275" s="4">
        <v>0.35416666666666669</v>
      </c>
      <c r="BU275" t="s">
        <v>222</v>
      </c>
      <c r="BV275" t="s">
        <v>84</v>
      </c>
      <c r="BY275">
        <v>89112.87</v>
      </c>
      <c r="CC275" t="s">
        <v>219</v>
      </c>
      <c r="CD275">
        <v>2740</v>
      </c>
      <c r="CE275" t="s">
        <v>134</v>
      </c>
      <c r="CF275" s="3">
        <v>45995</v>
      </c>
      <c r="CI275">
        <v>1</v>
      </c>
      <c r="CJ275">
        <v>1</v>
      </c>
      <c r="CK275">
        <v>23</v>
      </c>
      <c r="CL275" t="s">
        <v>87</v>
      </c>
    </row>
    <row r="276" spans="1:90" x14ac:dyDescent="0.3">
      <c r="A276" t="s">
        <v>72</v>
      </c>
      <c r="B276" t="s">
        <v>73</v>
      </c>
      <c r="C276" t="s">
        <v>74</v>
      </c>
      <c r="E276" t="str">
        <f>"080069623067"</f>
        <v>080069623067</v>
      </c>
      <c r="F276" s="3">
        <v>45993</v>
      </c>
      <c r="G276">
        <v>202609</v>
      </c>
      <c r="H276" t="s">
        <v>75</v>
      </c>
      <c r="I276" t="s">
        <v>76</v>
      </c>
      <c r="J276" t="s">
        <v>77</v>
      </c>
      <c r="K276" t="s">
        <v>78</v>
      </c>
      <c r="L276" t="s">
        <v>437</v>
      </c>
      <c r="M276" t="s">
        <v>438</v>
      </c>
      <c r="N276" t="s">
        <v>841</v>
      </c>
      <c r="O276" t="s">
        <v>89</v>
      </c>
      <c r="P276" t="str">
        <f>"4170071458                    "</f>
        <v xml:space="preserve">4170071458                    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43.09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1</v>
      </c>
      <c r="BI276">
        <v>1</v>
      </c>
      <c r="BJ276">
        <v>0.2</v>
      </c>
      <c r="BK276">
        <v>1</v>
      </c>
      <c r="BL276">
        <v>141.02000000000001</v>
      </c>
      <c r="BM276">
        <v>21.15</v>
      </c>
      <c r="BN276">
        <v>162.16999999999999</v>
      </c>
      <c r="BO276">
        <v>162.16999999999999</v>
      </c>
      <c r="BQ276" t="s">
        <v>842</v>
      </c>
      <c r="BR276" t="s">
        <v>82</v>
      </c>
      <c r="BS276" s="3">
        <v>45995</v>
      </c>
      <c r="BT276" s="4">
        <v>0.72222222222222221</v>
      </c>
      <c r="BU276" t="s">
        <v>843</v>
      </c>
      <c r="BV276" t="s">
        <v>87</v>
      </c>
      <c r="BY276">
        <v>1200</v>
      </c>
      <c r="CA276" t="s">
        <v>442</v>
      </c>
      <c r="CC276" t="s">
        <v>438</v>
      </c>
      <c r="CD276">
        <v>3280</v>
      </c>
      <c r="CE276" t="s">
        <v>134</v>
      </c>
      <c r="CF276" s="3">
        <v>45996</v>
      </c>
      <c r="CI276">
        <v>1</v>
      </c>
      <c r="CJ276">
        <v>2</v>
      </c>
      <c r="CK276">
        <v>23</v>
      </c>
      <c r="CL276" t="s">
        <v>87</v>
      </c>
    </row>
    <row r="277" spans="1:90" x14ac:dyDescent="0.3">
      <c r="A277" t="s">
        <v>72</v>
      </c>
      <c r="B277" t="s">
        <v>73</v>
      </c>
      <c r="C277" t="s">
        <v>74</v>
      </c>
      <c r="E277" t="str">
        <f>"080069623116"</f>
        <v>080069623116</v>
      </c>
      <c r="F277" s="3">
        <v>45993</v>
      </c>
      <c r="G277">
        <v>202609</v>
      </c>
      <c r="H277" t="s">
        <v>75</v>
      </c>
      <c r="I277" t="s">
        <v>76</v>
      </c>
      <c r="J277" t="s">
        <v>77</v>
      </c>
      <c r="K277" t="s">
        <v>78</v>
      </c>
      <c r="L277" t="s">
        <v>141</v>
      </c>
      <c r="M277" t="s">
        <v>142</v>
      </c>
      <c r="N277" t="s">
        <v>844</v>
      </c>
      <c r="O277" t="s">
        <v>89</v>
      </c>
      <c r="P277" t="str">
        <f>"4170071419                    "</f>
        <v xml:space="preserve">4170071419                    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94.48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2</v>
      </c>
      <c r="BI277">
        <v>8.1999999999999993</v>
      </c>
      <c r="BJ277">
        <v>6.4</v>
      </c>
      <c r="BK277">
        <v>8.5</v>
      </c>
      <c r="BL277">
        <v>309.20999999999998</v>
      </c>
      <c r="BM277">
        <v>46.38</v>
      </c>
      <c r="BN277">
        <v>355.59</v>
      </c>
      <c r="BO277">
        <v>355.59</v>
      </c>
      <c r="BQ277" t="s">
        <v>845</v>
      </c>
      <c r="BR277" t="s">
        <v>82</v>
      </c>
      <c r="BS277" s="3">
        <v>45994</v>
      </c>
      <c r="BT277" s="4">
        <v>0.42291666666666666</v>
      </c>
      <c r="BU277" t="s">
        <v>846</v>
      </c>
      <c r="BV277" t="s">
        <v>84</v>
      </c>
      <c r="BY277">
        <v>32182.55</v>
      </c>
      <c r="CA277" t="s">
        <v>146</v>
      </c>
      <c r="CC277" t="s">
        <v>142</v>
      </c>
      <c r="CD277">
        <v>6000</v>
      </c>
      <c r="CE277" t="s">
        <v>93</v>
      </c>
      <c r="CF277" s="3">
        <v>45994</v>
      </c>
      <c r="CI277">
        <v>1</v>
      </c>
      <c r="CJ277">
        <v>1</v>
      </c>
      <c r="CK277">
        <v>21</v>
      </c>
      <c r="CL277" t="s">
        <v>87</v>
      </c>
    </row>
    <row r="278" spans="1:90" x14ac:dyDescent="0.3">
      <c r="A278" t="s">
        <v>72</v>
      </c>
      <c r="B278" t="s">
        <v>73</v>
      </c>
      <c r="C278" t="s">
        <v>74</v>
      </c>
      <c r="E278" t="str">
        <f>"080069623760"</f>
        <v>080069623760</v>
      </c>
      <c r="F278" s="3">
        <v>45993</v>
      </c>
      <c r="G278">
        <v>202609</v>
      </c>
      <c r="H278" t="s">
        <v>75</v>
      </c>
      <c r="I278" t="s">
        <v>76</v>
      </c>
      <c r="J278" t="s">
        <v>77</v>
      </c>
      <c r="K278" t="s">
        <v>78</v>
      </c>
      <c r="L278" t="s">
        <v>533</v>
      </c>
      <c r="M278" t="s">
        <v>533</v>
      </c>
      <c r="N278" t="s">
        <v>534</v>
      </c>
      <c r="O278" t="s">
        <v>80</v>
      </c>
      <c r="P278" t="str">
        <f>"4170071583                    "</f>
        <v xml:space="preserve">4170071583                    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292.97000000000003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1</v>
      </c>
      <c r="BI278">
        <v>39</v>
      </c>
      <c r="BJ278">
        <v>89.7</v>
      </c>
      <c r="BK278">
        <v>90</v>
      </c>
      <c r="BL278">
        <v>964.92</v>
      </c>
      <c r="BM278">
        <v>144.74</v>
      </c>
      <c r="BN278">
        <v>1109.6600000000001</v>
      </c>
      <c r="BO278">
        <v>1109.6600000000001</v>
      </c>
      <c r="BQ278" t="s">
        <v>535</v>
      </c>
      <c r="BR278" t="s">
        <v>82</v>
      </c>
      <c r="BS278" t="s">
        <v>500</v>
      </c>
      <c r="BY278">
        <v>448335</v>
      </c>
      <c r="CC278" t="s">
        <v>533</v>
      </c>
      <c r="CD278">
        <v>7646</v>
      </c>
      <c r="CE278" t="s">
        <v>781</v>
      </c>
      <c r="CI278">
        <v>3</v>
      </c>
      <c r="CJ278" t="s">
        <v>500</v>
      </c>
      <c r="CK278">
        <v>43</v>
      </c>
      <c r="CL278" t="s">
        <v>87</v>
      </c>
    </row>
    <row r="279" spans="1:90" x14ac:dyDescent="0.3">
      <c r="A279" t="s">
        <v>72</v>
      </c>
      <c r="B279" t="s">
        <v>73</v>
      </c>
      <c r="C279" t="s">
        <v>74</v>
      </c>
      <c r="E279" t="str">
        <f>"080069623938"</f>
        <v>080069623938</v>
      </c>
      <c r="F279" s="3">
        <v>45993</v>
      </c>
      <c r="G279">
        <v>202609</v>
      </c>
      <c r="H279" t="s">
        <v>75</v>
      </c>
      <c r="I279" t="s">
        <v>76</v>
      </c>
      <c r="J279" t="s">
        <v>77</v>
      </c>
      <c r="K279" t="s">
        <v>78</v>
      </c>
      <c r="L279" t="s">
        <v>128</v>
      </c>
      <c r="M279" t="s">
        <v>129</v>
      </c>
      <c r="N279" t="s">
        <v>818</v>
      </c>
      <c r="O279" t="s">
        <v>89</v>
      </c>
      <c r="P279" t="str">
        <f>"4170071443                    "</f>
        <v xml:space="preserve">4170071443                    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50.02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1</v>
      </c>
      <c r="BI279">
        <v>4.3</v>
      </c>
      <c r="BJ279">
        <v>1.4</v>
      </c>
      <c r="BK279">
        <v>4.5</v>
      </c>
      <c r="BL279">
        <v>163.71</v>
      </c>
      <c r="BM279">
        <v>24.56</v>
      </c>
      <c r="BN279">
        <v>188.27</v>
      </c>
      <c r="BO279">
        <v>188.27</v>
      </c>
      <c r="BQ279" t="s">
        <v>819</v>
      </c>
      <c r="BR279" t="s">
        <v>82</v>
      </c>
      <c r="BS279" s="3">
        <v>45994</v>
      </c>
      <c r="BT279" s="4">
        <v>0.66666666666666663</v>
      </c>
      <c r="BU279" t="s">
        <v>847</v>
      </c>
      <c r="BV279" t="s">
        <v>87</v>
      </c>
      <c r="BW279" t="s">
        <v>715</v>
      </c>
      <c r="BX279" t="s">
        <v>187</v>
      </c>
      <c r="BY279">
        <v>6876.9</v>
      </c>
      <c r="CC279" t="s">
        <v>129</v>
      </c>
      <c r="CD279">
        <v>5201</v>
      </c>
      <c r="CE279" t="s">
        <v>86</v>
      </c>
      <c r="CF279" s="3">
        <v>45995</v>
      </c>
      <c r="CI279">
        <v>1</v>
      </c>
      <c r="CJ279">
        <v>1</v>
      </c>
      <c r="CK279">
        <v>21</v>
      </c>
      <c r="CL279" t="s">
        <v>87</v>
      </c>
    </row>
    <row r="280" spans="1:90" x14ac:dyDescent="0.3">
      <c r="A280" t="s">
        <v>72</v>
      </c>
      <c r="B280" t="s">
        <v>73</v>
      </c>
      <c r="C280" t="s">
        <v>74</v>
      </c>
      <c r="E280" t="str">
        <f>"080069625554"</f>
        <v>080069625554</v>
      </c>
      <c r="F280" s="3">
        <v>45993</v>
      </c>
      <c r="G280">
        <v>202609</v>
      </c>
      <c r="H280" t="s">
        <v>75</v>
      </c>
      <c r="I280" t="s">
        <v>76</v>
      </c>
      <c r="J280" t="s">
        <v>77</v>
      </c>
      <c r="K280" t="s">
        <v>78</v>
      </c>
      <c r="L280" t="s">
        <v>75</v>
      </c>
      <c r="M280" t="s">
        <v>76</v>
      </c>
      <c r="N280" t="s">
        <v>195</v>
      </c>
      <c r="O280" t="s">
        <v>80</v>
      </c>
      <c r="P280" t="str">
        <f>"4170071515                    "</f>
        <v xml:space="preserve">4170071515                    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67.06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2</v>
      </c>
      <c r="BI280">
        <v>27.4</v>
      </c>
      <c r="BJ280">
        <v>49.3</v>
      </c>
      <c r="BK280">
        <v>50</v>
      </c>
      <c r="BL280">
        <v>225.58</v>
      </c>
      <c r="BM280">
        <v>33.840000000000003</v>
      </c>
      <c r="BN280">
        <v>259.42</v>
      </c>
      <c r="BO280">
        <v>259.42</v>
      </c>
      <c r="BQ280" t="s">
        <v>196</v>
      </c>
      <c r="BR280" t="s">
        <v>82</v>
      </c>
      <c r="BS280" s="3">
        <v>45994</v>
      </c>
      <c r="BT280" s="4">
        <v>0.38124999999999998</v>
      </c>
      <c r="BU280" t="s">
        <v>469</v>
      </c>
      <c r="BV280" t="s">
        <v>84</v>
      </c>
      <c r="BY280">
        <v>246484.2</v>
      </c>
      <c r="CA280" t="s">
        <v>848</v>
      </c>
      <c r="CC280" t="s">
        <v>76</v>
      </c>
      <c r="CD280">
        <v>1600</v>
      </c>
      <c r="CE280" t="s">
        <v>93</v>
      </c>
      <c r="CF280" s="3">
        <v>45994</v>
      </c>
      <c r="CI280">
        <v>1</v>
      </c>
      <c r="CJ280">
        <v>1</v>
      </c>
      <c r="CK280">
        <v>42</v>
      </c>
      <c r="CL280" t="s">
        <v>87</v>
      </c>
    </row>
    <row r="281" spans="1:90" x14ac:dyDescent="0.3">
      <c r="A281" t="s">
        <v>72</v>
      </c>
      <c r="B281" t="s">
        <v>73</v>
      </c>
      <c r="C281" t="s">
        <v>74</v>
      </c>
      <c r="E281" t="str">
        <f>"080069625587"</f>
        <v>080069625587</v>
      </c>
      <c r="F281" s="3">
        <v>45993</v>
      </c>
      <c r="G281">
        <v>202609</v>
      </c>
      <c r="H281" t="s">
        <v>75</v>
      </c>
      <c r="I281" t="s">
        <v>76</v>
      </c>
      <c r="J281" t="s">
        <v>77</v>
      </c>
      <c r="K281" t="s">
        <v>78</v>
      </c>
      <c r="L281" t="s">
        <v>156</v>
      </c>
      <c r="M281" t="s">
        <v>157</v>
      </c>
      <c r="N281" t="s">
        <v>261</v>
      </c>
      <c r="O281" t="s">
        <v>89</v>
      </c>
      <c r="P281" t="str">
        <f>"4170071585                    "</f>
        <v xml:space="preserve">4170071585                    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83.37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1</v>
      </c>
      <c r="BI281">
        <v>7</v>
      </c>
      <c r="BJ281">
        <v>7.5</v>
      </c>
      <c r="BK281">
        <v>7.5</v>
      </c>
      <c r="BL281">
        <v>272.83999999999997</v>
      </c>
      <c r="BM281">
        <v>40.93</v>
      </c>
      <c r="BN281">
        <v>313.77</v>
      </c>
      <c r="BO281">
        <v>313.77</v>
      </c>
      <c r="BQ281" t="s">
        <v>262</v>
      </c>
      <c r="BR281" t="s">
        <v>82</v>
      </c>
      <c r="BS281" s="3">
        <v>45994</v>
      </c>
      <c r="BT281" s="4">
        <v>0.41249999999999998</v>
      </c>
      <c r="BU281" t="s">
        <v>263</v>
      </c>
      <c r="BV281" t="s">
        <v>84</v>
      </c>
      <c r="BY281">
        <v>37488</v>
      </c>
      <c r="CA281" t="s">
        <v>264</v>
      </c>
      <c r="CC281" t="s">
        <v>157</v>
      </c>
      <c r="CD281">
        <v>7441</v>
      </c>
      <c r="CE281" t="s">
        <v>86</v>
      </c>
      <c r="CF281" s="3">
        <v>45995</v>
      </c>
      <c r="CI281">
        <v>1</v>
      </c>
      <c r="CJ281">
        <v>1</v>
      </c>
      <c r="CK281">
        <v>21</v>
      </c>
      <c r="CL281" t="s">
        <v>87</v>
      </c>
    </row>
    <row r="282" spans="1:90" x14ac:dyDescent="0.3">
      <c r="A282" t="s">
        <v>72</v>
      </c>
      <c r="B282" t="s">
        <v>73</v>
      </c>
      <c r="C282" t="s">
        <v>74</v>
      </c>
      <c r="E282" t="str">
        <f>"080069625634"</f>
        <v>080069625634</v>
      </c>
      <c r="F282" s="3">
        <v>45993</v>
      </c>
      <c r="G282">
        <v>202609</v>
      </c>
      <c r="H282" t="s">
        <v>75</v>
      </c>
      <c r="I282" t="s">
        <v>76</v>
      </c>
      <c r="J282" t="s">
        <v>77</v>
      </c>
      <c r="K282" t="s">
        <v>78</v>
      </c>
      <c r="L282" t="s">
        <v>389</v>
      </c>
      <c r="M282" t="s">
        <v>390</v>
      </c>
      <c r="N282" t="s">
        <v>849</v>
      </c>
      <c r="O282" t="s">
        <v>80</v>
      </c>
      <c r="P282" t="str">
        <f>"4170071582                    "</f>
        <v xml:space="preserve">4170071582                    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392.1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1</v>
      </c>
      <c r="BI282">
        <v>45</v>
      </c>
      <c r="BJ282">
        <v>121.5</v>
      </c>
      <c r="BK282">
        <v>122</v>
      </c>
      <c r="BL282">
        <v>1289.33</v>
      </c>
      <c r="BM282">
        <v>193.4</v>
      </c>
      <c r="BN282">
        <v>1482.73</v>
      </c>
      <c r="BO282">
        <v>1482.73</v>
      </c>
      <c r="BQ282" t="s">
        <v>850</v>
      </c>
      <c r="BR282" t="s">
        <v>82</v>
      </c>
      <c r="BS282" t="s">
        <v>500</v>
      </c>
      <c r="BY282">
        <v>607743</v>
      </c>
      <c r="CC282" t="s">
        <v>390</v>
      </c>
      <c r="CD282" s="5" t="s">
        <v>395</v>
      </c>
      <c r="CE282" t="s">
        <v>565</v>
      </c>
      <c r="CI282">
        <v>1</v>
      </c>
      <c r="CJ282" t="s">
        <v>500</v>
      </c>
      <c r="CK282">
        <v>43</v>
      </c>
      <c r="CL282" t="s">
        <v>87</v>
      </c>
    </row>
    <row r="283" spans="1:90" x14ac:dyDescent="0.3">
      <c r="A283" t="s">
        <v>72</v>
      </c>
      <c r="B283" t="s">
        <v>73</v>
      </c>
      <c r="C283" t="s">
        <v>74</v>
      </c>
      <c r="E283" t="str">
        <f>"080069625821"</f>
        <v>080069625821</v>
      </c>
      <c r="F283" s="3">
        <v>45993</v>
      </c>
      <c r="G283">
        <v>202609</v>
      </c>
      <c r="H283" t="s">
        <v>75</v>
      </c>
      <c r="I283" t="s">
        <v>76</v>
      </c>
      <c r="J283" t="s">
        <v>77</v>
      </c>
      <c r="K283" t="s">
        <v>78</v>
      </c>
      <c r="L283" t="s">
        <v>141</v>
      </c>
      <c r="M283" t="s">
        <v>142</v>
      </c>
      <c r="N283" t="s">
        <v>851</v>
      </c>
      <c r="O283" t="s">
        <v>89</v>
      </c>
      <c r="P283" t="str">
        <f>"4170071448                    "</f>
        <v xml:space="preserve">4170071448                    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22.24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1</v>
      </c>
      <c r="BI283">
        <v>1</v>
      </c>
      <c r="BJ283">
        <v>1.1000000000000001</v>
      </c>
      <c r="BK283">
        <v>1.5</v>
      </c>
      <c r="BL283">
        <v>72.78</v>
      </c>
      <c r="BM283">
        <v>10.92</v>
      </c>
      <c r="BN283">
        <v>83.7</v>
      </c>
      <c r="BO283">
        <v>83.7</v>
      </c>
      <c r="BQ283" t="s">
        <v>852</v>
      </c>
      <c r="BR283" t="s">
        <v>82</v>
      </c>
      <c r="BS283" s="3">
        <v>45994</v>
      </c>
      <c r="BT283" s="4">
        <v>0.39097222222222222</v>
      </c>
      <c r="BU283" t="s">
        <v>853</v>
      </c>
      <c r="BV283" t="s">
        <v>84</v>
      </c>
      <c r="BY283">
        <v>5320</v>
      </c>
      <c r="CA283" t="s">
        <v>569</v>
      </c>
      <c r="CC283" t="s">
        <v>142</v>
      </c>
      <c r="CD283">
        <v>6001</v>
      </c>
      <c r="CE283" t="s">
        <v>86</v>
      </c>
      <c r="CF283" s="3">
        <v>45994</v>
      </c>
      <c r="CI283">
        <v>1</v>
      </c>
      <c r="CJ283">
        <v>1</v>
      </c>
      <c r="CK283">
        <v>21</v>
      </c>
      <c r="CL283" t="s">
        <v>87</v>
      </c>
    </row>
    <row r="284" spans="1:90" x14ac:dyDescent="0.3">
      <c r="A284" t="s">
        <v>72</v>
      </c>
      <c r="B284" t="s">
        <v>73</v>
      </c>
      <c r="C284" t="s">
        <v>74</v>
      </c>
      <c r="E284" t="str">
        <f>"080069625866"</f>
        <v>080069625866</v>
      </c>
      <c r="F284" s="3">
        <v>45993</v>
      </c>
      <c r="G284">
        <v>202609</v>
      </c>
      <c r="H284" t="s">
        <v>75</v>
      </c>
      <c r="I284" t="s">
        <v>76</v>
      </c>
      <c r="J284" t="s">
        <v>77</v>
      </c>
      <c r="K284" t="s">
        <v>78</v>
      </c>
      <c r="L284" t="s">
        <v>332</v>
      </c>
      <c r="M284" t="s">
        <v>333</v>
      </c>
      <c r="N284" t="s">
        <v>334</v>
      </c>
      <c r="O284" t="s">
        <v>80</v>
      </c>
      <c r="P284" t="str">
        <f>"4170071548                    "</f>
        <v xml:space="preserve">4170071548                    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66.849999999999994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1</v>
      </c>
      <c r="BI284">
        <v>8.6999999999999993</v>
      </c>
      <c r="BJ284">
        <v>16.7</v>
      </c>
      <c r="BK284">
        <v>17</v>
      </c>
      <c r="BL284">
        <v>224.88</v>
      </c>
      <c r="BM284">
        <v>33.729999999999997</v>
      </c>
      <c r="BN284">
        <v>258.61</v>
      </c>
      <c r="BO284">
        <v>258.61</v>
      </c>
      <c r="BQ284" t="s">
        <v>335</v>
      </c>
      <c r="BR284" t="s">
        <v>82</v>
      </c>
      <c r="BS284" s="3">
        <v>45995</v>
      </c>
      <c r="BT284" s="4">
        <v>0.6430555555555556</v>
      </c>
      <c r="BU284" t="s">
        <v>336</v>
      </c>
      <c r="BV284" t="s">
        <v>84</v>
      </c>
      <c r="BY284">
        <v>83569.31</v>
      </c>
      <c r="CC284" t="s">
        <v>333</v>
      </c>
      <c r="CD284">
        <v>6500</v>
      </c>
      <c r="CE284" t="s">
        <v>93</v>
      </c>
      <c r="CF284" s="3">
        <v>45996</v>
      </c>
      <c r="CI284">
        <v>3</v>
      </c>
      <c r="CJ284">
        <v>2</v>
      </c>
      <c r="CK284">
        <v>43</v>
      </c>
      <c r="CL284" t="s">
        <v>87</v>
      </c>
    </row>
    <row r="285" spans="1:90" x14ac:dyDescent="0.3">
      <c r="A285" t="s">
        <v>72</v>
      </c>
      <c r="B285" t="s">
        <v>73</v>
      </c>
      <c r="C285" t="s">
        <v>74</v>
      </c>
      <c r="E285" t="str">
        <f>"080069625880"</f>
        <v>080069625880</v>
      </c>
      <c r="F285" s="3">
        <v>45993</v>
      </c>
      <c r="G285">
        <v>202609</v>
      </c>
      <c r="H285" t="s">
        <v>75</v>
      </c>
      <c r="I285" t="s">
        <v>76</v>
      </c>
      <c r="J285" t="s">
        <v>77</v>
      </c>
      <c r="K285" t="s">
        <v>78</v>
      </c>
      <c r="L285" t="s">
        <v>75</v>
      </c>
      <c r="M285" t="s">
        <v>76</v>
      </c>
      <c r="N285" t="s">
        <v>854</v>
      </c>
      <c r="O285" t="s">
        <v>89</v>
      </c>
      <c r="P285" t="str">
        <f>"4170071537                    "</f>
        <v xml:space="preserve">4170071537                    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17.37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1</v>
      </c>
      <c r="BI285">
        <v>1</v>
      </c>
      <c r="BJ285">
        <v>0.2</v>
      </c>
      <c r="BK285">
        <v>1</v>
      </c>
      <c r="BL285">
        <v>56.85</v>
      </c>
      <c r="BM285">
        <v>8.5299999999999994</v>
      </c>
      <c r="BN285">
        <v>65.38</v>
      </c>
      <c r="BO285">
        <v>65.38</v>
      </c>
      <c r="BQ285" t="s">
        <v>855</v>
      </c>
      <c r="BR285" t="s">
        <v>82</v>
      </c>
      <c r="BS285" s="3">
        <v>45994</v>
      </c>
      <c r="BT285" s="4">
        <v>0.48680555555555555</v>
      </c>
      <c r="BU285" t="s">
        <v>793</v>
      </c>
      <c r="BV285" t="s">
        <v>87</v>
      </c>
      <c r="BY285">
        <v>1200</v>
      </c>
      <c r="CA285" t="s">
        <v>856</v>
      </c>
      <c r="CC285" t="s">
        <v>76</v>
      </c>
      <c r="CD285">
        <v>1618</v>
      </c>
      <c r="CE285" t="s">
        <v>134</v>
      </c>
      <c r="CF285" s="3">
        <v>45995</v>
      </c>
      <c r="CI285">
        <v>1</v>
      </c>
      <c r="CJ285">
        <v>1</v>
      </c>
      <c r="CK285">
        <v>22</v>
      </c>
      <c r="CL285" t="s">
        <v>87</v>
      </c>
    </row>
    <row r="286" spans="1:90" x14ac:dyDescent="0.3">
      <c r="A286" t="s">
        <v>72</v>
      </c>
      <c r="B286" t="s">
        <v>73</v>
      </c>
      <c r="C286" t="s">
        <v>74</v>
      </c>
      <c r="E286" t="str">
        <f>"080069625906"</f>
        <v>080069625906</v>
      </c>
      <c r="F286" s="3">
        <v>45993</v>
      </c>
      <c r="G286">
        <v>202609</v>
      </c>
      <c r="H286" t="s">
        <v>75</v>
      </c>
      <c r="I286" t="s">
        <v>76</v>
      </c>
      <c r="J286" t="s">
        <v>77</v>
      </c>
      <c r="K286" t="s">
        <v>78</v>
      </c>
      <c r="L286" t="s">
        <v>265</v>
      </c>
      <c r="M286" t="s">
        <v>266</v>
      </c>
      <c r="N286" t="s">
        <v>857</v>
      </c>
      <c r="O286" t="s">
        <v>89</v>
      </c>
      <c r="P286" t="str">
        <f>"4170071554                    "</f>
        <v xml:space="preserve">4170071554                    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17.37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1</v>
      </c>
      <c r="BI286">
        <v>1</v>
      </c>
      <c r="BJ286">
        <v>0.2</v>
      </c>
      <c r="BK286">
        <v>1</v>
      </c>
      <c r="BL286">
        <v>56.85</v>
      </c>
      <c r="BM286">
        <v>8.5299999999999994</v>
      </c>
      <c r="BN286">
        <v>65.38</v>
      </c>
      <c r="BO286">
        <v>65.38</v>
      </c>
      <c r="BQ286" t="s">
        <v>858</v>
      </c>
      <c r="BR286" t="s">
        <v>82</v>
      </c>
      <c r="BS286" s="3">
        <v>45994</v>
      </c>
      <c r="BT286" s="4">
        <v>0.33750000000000002</v>
      </c>
      <c r="BU286" t="s">
        <v>859</v>
      </c>
      <c r="BV286" t="s">
        <v>84</v>
      </c>
      <c r="BY286">
        <v>1200</v>
      </c>
      <c r="CA286" t="s">
        <v>417</v>
      </c>
      <c r="CC286" t="s">
        <v>266</v>
      </c>
      <c r="CD286">
        <v>1459</v>
      </c>
      <c r="CE286" t="s">
        <v>134</v>
      </c>
      <c r="CF286" s="3">
        <v>45994</v>
      </c>
      <c r="CI286">
        <v>1</v>
      </c>
      <c r="CJ286">
        <v>1</v>
      </c>
      <c r="CK286">
        <v>22</v>
      </c>
      <c r="CL286" t="s">
        <v>87</v>
      </c>
    </row>
    <row r="287" spans="1:90" x14ac:dyDescent="0.3">
      <c r="A287" t="s">
        <v>72</v>
      </c>
      <c r="B287" t="s">
        <v>73</v>
      </c>
      <c r="C287" t="s">
        <v>74</v>
      </c>
      <c r="E287" t="str">
        <f>"080069625912"</f>
        <v>080069625912</v>
      </c>
      <c r="F287" s="3">
        <v>45993</v>
      </c>
      <c r="G287">
        <v>202609</v>
      </c>
      <c r="H287" t="s">
        <v>75</v>
      </c>
      <c r="I287" t="s">
        <v>76</v>
      </c>
      <c r="J287" t="s">
        <v>77</v>
      </c>
      <c r="K287" t="s">
        <v>78</v>
      </c>
      <c r="L287" t="s">
        <v>176</v>
      </c>
      <c r="M287" t="s">
        <v>177</v>
      </c>
      <c r="N287" t="s">
        <v>860</v>
      </c>
      <c r="O287" t="s">
        <v>340</v>
      </c>
      <c r="P287" t="str">
        <f>"4170071489                    "</f>
        <v xml:space="preserve">4170071489                    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17.38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1</v>
      </c>
      <c r="BI287">
        <v>2</v>
      </c>
      <c r="BJ287">
        <v>4.5999999999999996</v>
      </c>
      <c r="BK287">
        <v>5</v>
      </c>
      <c r="BL287">
        <v>56.87</v>
      </c>
      <c r="BM287">
        <v>8.5299999999999994</v>
      </c>
      <c r="BN287">
        <v>65.400000000000006</v>
      </c>
      <c r="BO287">
        <v>65.400000000000006</v>
      </c>
      <c r="BQ287" t="s">
        <v>861</v>
      </c>
      <c r="BR287" t="s">
        <v>82</v>
      </c>
      <c r="BS287" s="3">
        <v>45994</v>
      </c>
      <c r="BT287" s="4">
        <v>0.38819444444444445</v>
      </c>
      <c r="BU287" t="s">
        <v>862</v>
      </c>
      <c r="BV287" t="s">
        <v>84</v>
      </c>
      <c r="BY287">
        <v>22848</v>
      </c>
      <c r="CA287" t="s">
        <v>413</v>
      </c>
      <c r="CC287" t="s">
        <v>177</v>
      </c>
      <c r="CD287">
        <v>2013</v>
      </c>
      <c r="CE287" t="s">
        <v>93</v>
      </c>
      <c r="CF287" s="3">
        <v>45995</v>
      </c>
      <c r="CI287">
        <v>1</v>
      </c>
      <c r="CJ287">
        <v>1</v>
      </c>
      <c r="CK287">
        <v>32</v>
      </c>
      <c r="CL287" t="s">
        <v>87</v>
      </c>
    </row>
    <row r="288" spans="1:90" x14ac:dyDescent="0.3">
      <c r="A288" t="s">
        <v>72</v>
      </c>
      <c r="B288" t="s">
        <v>73</v>
      </c>
      <c r="C288" t="s">
        <v>74</v>
      </c>
      <c r="E288" t="str">
        <f>"080069625954"</f>
        <v>080069625954</v>
      </c>
      <c r="F288" s="3">
        <v>45993</v>
      </c>
      <c r="G288">
        <v>202609</v>
      </c>
      <c r="H288" t="s">
        <v>75</v>
      </c>
      <c r="I288" t="s">
        <v>76</v>
      </c>
      <c r="J288" t="s">
        <v>77</v>
      </c>
      <c r="K288" t="s">
        <v>78</v>
      </c>
      <c r="L288" t="s">
        <v>156</v>
      </c>
      <c r="M288" t="s">
        <v>157</v>
      </c>
      <c r="N288" t="s">
        <v>261</v>
      </c>
      <c r="O288" t="s">
        <v>89</v>
      </c>
      <c r="P288" t="str">
        <f>"4170071553                    "</f>
        <v xml:space="preserve">4170071553                    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22.24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1</v>
      </c>
      <c r="BI288">
        <v>1</v>
      </c>
      <c r="BJ288">
        <v>0.2</v>
      </c>
      <c r="BK288">
        <v>1</v>
      </c>
      <c r="BL288">
        <v>72.78</v>
      </c>
      <c r="BM288">
        <v>10.92</v>
      </c>
      <c r="BN288">
        <v>83.7</v>
      </c>
      <c r="BO288">
        <v>83.7</v>
      </c>
      <c r="BQ288" t="s">
        <v>262</v>
      </c>
      <c r="BR288" t="s">
        <v>82</v>
      </c>
      <c r="BS288" s="3">
        <v>45994</v>
      </c>
      <c r="BT288" s="4">
        <v>0.41249999999999998</v>
      </c>
      <c r="BU288" t="s">
        <v>263</v>
      </c>
      <c r="BV288" t="s">
        <v>84</v>
      </c>
      <c r="BY288">
        <v>1200</v>
      </c>
      <c r="CA288" t="s">
        <v>264</v>
      </c>
      <c r="CC288" t="s">
        <v>157</v>
      </c>
      <c r="CD288">
        <v>7441</v>
      </c>
      <c r="CE288" t="s">
        <v>134</v>
      </c>
      <c r="CF288" s="3">
        <v>45995</v>
      </c>
      <c r="CI288">
        <v>1</v>
      </c>
      <c r="CJ288">
        <v>1</v>
      </c>
      <c r="CK288">
        <v>21</v>
      </c>
      <c r="CL288" t="s">
        <v>87</v>
      </c>
    </row>
    <row r="289" spans="1:90" x14ac:dyDescent="0.3">
      <c r="A289" t="s">
        <v>72</v>
      </c>
      <c r="B289" t="s">
        <v>73</v>
      </c>
      <c r="C289" t="s">
        <v>74</v>
      </c>
      <c r="E289" t="str">
        <f>"080069625974"</f>
        <v>080069625974</v>
      </c>
      <c r="F289" s="3">
        <v>45993</v>
      </c>
      <c r="G289">
        <v>202609</v>
      </c>
      <c r="H289" t="s">
        <v>75</v>
      </c>
      <c r="I289" t="s">
        <v>76</v>
      </c>
      <c r="J289" t="s">
        <v>77</v>
      </c>
      <c r="K289" t="s">
        <v>78</v>
      </c>
      <c r="L289" t="s">
        <v>156</v>
      </c>
      <c r="M289" t="s">
        <v>157</v>
      </c>
      <c r="N289" t="s">
        <v>863</v>
      </c>
      <c r="O289" t="s">
        <v>89</v>
      </c>
      <c r="P289" t="str">
        <f>"4170071481                    "</f>
        <v xml:space="preserve">4170071481                    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22.24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1</v>
      </c>
      <c r="BI289">
        <v>1</v>
      </c>
      <c r="BJ289">
        <v>0.2</v>
      </c>
      <c r="BK289">
        <v>1</v>
      </c>
      <c r="BL289">
        <v>72.78</v>
      </c>
      <c r="BM289">
        <v>10.92</v>
      </c>
      <c r="BN289">
        <v>83.7</v>
      </c>
      <c r="BO289">
        <v>83.7</v>
      </c>
      <c r="BQ289" t="s">
        <v>864</v>
      </c>
      <c r="BR289" t="s">
        <v>82</v>
      </c>
      <c r="BS289" s="3">
        <v>45994</v>
      </c>
      <c r="BT289" s="4">
        <v>0.62152777777777779</v>
      </c>
      <c r="BU289" t="s">
        <v>660</v>
      </c>
      <c r="BV289" t="s">
        <v>87</v>
      </c>
      <c r="BY289">
        <v>1200</v>
      </c>
      <c r="BZ289" t="s">
        <v>271</v>
      </c>
      <c r="CA289" t="s">
        <v>661</v>
      </c>
      <c r="CC289" t="s">
        <v>157</v>
      </c>
      <c r="CD289">
        <v>7550</v>
      </c>
      <c r="CE289" t="s">
        <v>127</v>
      </c>
      <c r="CF289" s="3">
        <v>45996</v>
      </c>
      <c r="CI289">
        <v>1</v>
      </c>
      <c r="CJ289">
        <v>1</v>
      </c>
      <c r="CK289">
        <v>21</v>
      </c>
      <c r="CL289" t="s">
        <v>87</v>
      </c>
    </row>
    <row r="290" spans="1:90" x14ac:dyDescent="0.3">
      <c r="A290" t="s">
        <v>72</v>
      </c>
      <c r="B290" t="s">
        <v>73</v>
      </c>
      <c r="C290" t="s">
        <v>74</v>
      </c>
      <c r="E290" t="str">
        <f>"080069626101"</f>
        <v>080069626101</v>
      </c>
      <c r="F290" s="3">
        <v>45993</v>
      </c>
      <c r="G290">
        <v>202609</v>
      </c>
      <c r="H290" t="s">
        <v>75</v>
      </c>
      <c r="I290" t="s">
        <v>76</v>
      </c>
      <c r="J290" t="s">
        <v>77</v>
      </c>
      <c r="K290" t="s">
        <v>78</v>
      </c>
      <c r="L290" t="s">
        <v>109</v>
      </c>
      <c r="M290" t="s">
        <v>110</v>
      </c>
      <c r="N290" t="s">
        <v>111</v>
      </c>
      <c r="O290" t="s">
        <v>89</v>
      </c>
      <c r="P290" t="str">
        <f>"4170071530                    "</f>
        <v xml:space="preserve">4170071530                    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31.28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1</v>
      </c>
      <c r="BI290">
        <v>1</v>
      </c>
      <c r="BJ290">
        <v>0.2</v>
      </c>
      <c r="BK290">
        <v>1</v>
      </c>
      <c r="BL290">
        <v>102.36</v>
      </c>
      <c r="BM290">
        <v>15.35</v>
      </c>
      <c r="BN290">
        <v>117.71</v>
      </c>
      <c r="BO290">
        <v>117.71</v>
      </c>
      <c r="BQ290" t="s">
        <v>112</v>
      </c>
      <c r="BR290" t="s">
        <v>82</v>
      </c>
      <c r="BS290" s="3">
        <v>45994</v>
      </c>
      <c r="BT290" s="4">
        <v>0.43194444444444446</v>
      </c>
      <c r="BU290" t="s">
        <v>865</v>
      </c>
      <c r="BV290" t="s">
        <v>84</v>
      </c>
      <c r="BY290">
        <v>1200</v>
      </c>
      <c r="CA290" t="s">
        <v>634</v>
      </c>
      <c r="CC290" t="s">
        <v>110</v>
      </c>
      <c r="CD290">
        <v>1748</v>
      </c>
      <c r="CE290" t="s">
        <v>134</v>
      </c>
      <c r="CF290" s="3">
        <v>45995</v>
      </c>
      <c r="CI290">
        <v>1</v>
      </c>
      <c r="CJ290">
        <v>1</v>
      </c>
      <c r="CK290">
        <v>24</v>
      </c>
      <c r="CL290" t="s">
        <v>87</v>
      </c>
    </row>
    <row r="291" spans="1:90" x14ac:dyDescent="0.3">
      <c r="A291" t="s">
        <v>72</v>
      </c>
      <c r="B291" t="s">
        <v>73</v>
      </c>
      <c r="C291" t="s">
        <v>74</v>
      </c>
      <c r="E291" t="str">
        <f>"080069626126"</f>
        <v>080069626126</v>
      </c>
      <c r="F291" s="3">
        <v>45993</v>
      </c>
      <c r="G291">
        <v>202609</v>
      </c>
      <c r="H291" t="s">
        <v>75</v>
      </c>
      <c r="I291" t="s">
        <v>76</v>
      </c>
      <c r="J291" t="s">
        <v>77</v>
      </c>
      <c r="K291" t="s">
        <v>78</v>
      </c>
      <c r="L291" t="s">
        <v>176</v>
      </c>
      <c r="M291" t="s">
        <v>177</v>
      </c>
      <c r="N291" t="s">
        <v>866</v>
      </c>
      <c r="O291" t="s">
        <v>89</v>
      </c>
      <c r="P291" t="str">
        <f>"4170071534                    "</f>
        <v xml:space="preserve">4170071534                    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17.37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1</v>
      </c>
      <c r="BI291">
        <v>1</v>
      </c>
      <c r="BJ291">
        <v>0.2</v>
      </c>
      <c r="BK291">
        <v>1</v>
      </c>
      <c r="BL291">
        <v>56.85</v>
      </c>
      <c r="BM291">
        <v>8.5299999999999994</v>
      </c>
      <c r="BN291">
        <v>65.38</v>
      </c>
      <c r="BO291">
        <v>65.38</v>
      </c>
      <c r="BQ291" t="s">
        <v>867</v>
      </c>
      <c r="BR291" t="s">
        <v>82</v>
      </c>
      <c r="BS291" s="3">
        <v>45994</v>
      </c>
      <c r="BT291" s="4">
        <v>0.40069444444444446</v>
      </c>
      <c r="BU291" t="s">
        <v>868</v>
      </c>
      <c r="BV291" t="s">
        <v>84</v>
      </c>
      <c r="BY291">
        <v>1200</v>
      </c>
      <c r="CA291" t="s">
        <v>869</v>
      </c>
      <c r="CC291" t="s">
        <v>177</v>
      </c>
      <c r="CD291">
        <v>2042</v>
      </c>
      <c r="CE291" t="s">
        <v>134</v>
      </c>
      <c r="CF291" s="3">
        <v>45994</v>
      </c>
      <c r="CI291">
        <v>1</v>
      </c>
      <c r="CJ291">
        <v>1</v>
      </c>
      <c r="CK291">
        <v>22</v>
      </c>
      <c r="CL291" t="s">
        <v>87</v>
      </c>
    </row>
    <row r="292" spans="1:90" x14ac:dyDescent="0.3">
      <c r="A292" t="s">
        <v>72</v>
      </c>
      <c r="B292" t="s">
        <v>73</v>
      </c>
      <c r="C292" t="s">
        <v>74</v>
      </c>
      <c r="E292" t="str">
        <f>"080069626130"</f>
        <v>080069626130</v>
      </c>
      <c r="F292" s="3">
        <v>45993</v>
      </c>
      <c r="G292">
        <v>202609</v>
      </c>
      <c r="H292" t="s">
        <v>75</v>
      </c>
      <c r="I292" t="s">
        <v>76</v>
      </c>
      <c r="J292" t="s">
        <v>77</v>
      </c>
      <c r="K292" t="s">
        <v>78</v>
      </c>
      <c r="L292" t="s">
        <v>109</v>
      </c>
      <c r="M292" t="s">
        <v>110</v>
      </c>
      <c r="N292" t="s">
        <v>870</v>
      </c>
      <c r="O292" t="s">
        <v>89</v>
      </c>
      <c r="P292" t="str">
        <f>"4170071560                    "</f>
        <v xml:space="preserve">4170071560                    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31.28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1</v>
      </c>
      <c r="BI292">
        <v>2</v>
      </c>
      <c r="BJ292">
        <v>1.8</v>
      </c>
      <c r="BK292">
        <v>2</v>
      </c>
      <c r="BL292">
        <v>102.36</v>
      </c>
      <c r="BM292">
        <v>15.35</v>
      </c>
      <c r="BN292">
        <v>117.71</v>
      </c>
      <c r="BO292">
        <v>117.71</v>
      </c>
      <c r="BQ292" t="s">
        <v>871</v>
      </c>
      <c r="BR292" t="s">
        <v>82</v>
      </c>
      <c r="BS292" s="3">
        <v>45994</v>
      </c>
      <c r="BT292" s="4">
        <v>0.47291666666666665</v>
      </c>
      <c r="BU292" t="s">
        <v>872</v>
      </c>
      <c r="BV292" t="s">
        <v>84</v>
      </c>
      <c r="BY292">
        <v>8816</v>
      </c>
      <c r="CC292" t="s">
        <v>110</v>
      </c>
      <c r="CD292">
        <v>1754</v>
      </c>
      <c r="CE292" t="s">
        <v>86</v>
      </c>
      <c r="CF292" s="3">
        <v>45995</v>
      </c>
      <c r="CI292">
        <v>1</v>
      </c>
      <c r="CJ292">
        <v>1</v>
      </c>
      <c r="CK292">
        <v>24</v>
      </c>
      <c r="CL292" t="s">
        <v>87</v>
      </c>
    </row>
    <row r="293" spans="1:90" x14ac:dyDescent="0.3">
      <c r="A293" t="s">
        <v>72</v>
      </c>
      <c r="B293" t="s">
        <v>73</v>
      </c>
      <c r="C293" t="s">
        <v>74</v>
      </c>
      <c r="E293" t="str">
        <f>"080069626344"</f>
        <v>080069626344</v>
      </c>
      <c r="F293" s="3">
        <v>45993</v>
      </c>
      <c r="G293">
        <v>202609</v>
      </c>
      <c r="H293" t="s">
        <v>75</v>
      </c>
      <c r="I293" t="s">
        <v>76</v>
      </c>
      <c r="J293" t="s">
        <v>77</v>
      </c>
      <c r="K293" t="s">
        <v>78</v>
      </c>
      <c r="L293" t="s">
        <v>120</v>
      </c>
      <c r="M293" t="s">
        <v>121</v>
      </c>
      <c r="N293" t="s">
        <v>873</v>
      </c>
      <c r="O293" t="s">
        <v>89</v>
      </c>
      <c r="P293" t="str">
        <f>"4170071620                    "</f>
        <v xml:space="preserve">4170071620                    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55.58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1</v>
      </c>
      <c r="BI293">
        <v>2</v>
      </c>
      <c r="BJ293">
        <v>5</v>
      </c>
      <c r="BK293">
        <v>5</v>
      </c>
      <c r="BL293">
        <v>181.9</v>
      </c>
      <c r="BM293">
        <v>27.29</v>
      </c>
      <c r="BN293">
        <v>209.19</v>
      </c>
      <c r="BO293">
        <v>209.19</v>
      </c>
      <c r="BQ293" t="s">
        <v>874</v>
      </c>
      <c r="BR293" t="s">
        <v>82</v>
      </c>
      <c r="BS293" s="3">
        <v>45994</v>
      </c>
      <c r="BT293" s="4">
        <v>0.44444444444444442</v>
      </c>
      <c r="BU293" t="s">
        <v>875</v>
      </c>
      <c r="BV293" t="s">
        <v>87</v>
      </c>
      <c r="BY293">
        <v>24882</v>
      </c>
      <c r="CA293" t="s">
        <v>126</v>
      </c>
      <c r="CC293" t="s">
        <v>121</v>
      </c>
      <c r="CD293">
        <v>6230</v>
      </c>
      <c r="CE293" t="s">
        <v>86</v>
      </c>
      <c r="CF293" s="3">
        <v>45995</v>
      </c>
      <c r="CI293">
        <v>1</v>
      </c>
      <c r="CJ293">
        <v>1</v>
      </c>
      <c r="CK293">
        <v>21</v>
      </c>
      <c r="CL293" t="s">
        <v>87</v>
      </c>
    </row>
    <row r="294" spans="1:90" x14ac:dyDescent="0.3">
      <c r="A294" t="s">
        <v>72</v>
      </c>
      <c r="B294" t="s">
        <v>73</v>
      </c>
      <c r="C294" t="s">
        <v>74</v>
      </c>
      <c r="E294" t="str">
        <f>"080069626368"</f>
        <v>080069626368</v>
      </c>
      <c r="F294" s="3">
        <v>45993</v>
      </c>
      <c r="G294">
        <v>202609</v>
      </c>
      <c r="H294" t="s">
        <v>75</v>
      </c>
      <c r="I294" t="s">
        <v>76</v>
      </c>
      <c r="J294" t="s">
        <v>77</v>
      </c>
      <c r="K294" t="s">
        <v>78</v>
      </c>
      <c r="L294" t="s">
        <v>202</v>
      </c>
      <c r="M294" t="s">
        <v>203</v>
      </c>
      <c r="N294" t="s">
        <v>204</v>
      </c>
      <c r="O294" t="s">
        <v>89</v>
      </c>
      <c r="P294" t="str">
        <f>"4170071493                    "</f>
        <v xml:space="preserve">4170071493                    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237.66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2</v>
      </c>
      <c r="BI294">
        <v>12</v>
      </c>
      <c r="BJ294">
        <v>7.3</v>
      </c>
      <c r="BK294">
        <v>12</v>
      </c>
      <c r="BL294">
        <v>777.79</v>
      </c>
      <c r="BM294">
        <v>116.67</v>
      </c>
      <c r="BN294">
        <v>894.46</v>
      </c>
      <c r="BO294">
        <v>894.46</v>
      </c>
      <c r="BQ294" t="s">
        <v>205</v>
      </c>
      <c r="BR294" t="s">
        <v>82</v>
      </c>
      <c r="BS294" s="3">
        <v>45994</v>
      </c>
      <c r="BT294" s="4">
        <v>0.50763888888888886</v>
      </c>
      <c r="BU294" t="s">
        <v>876</v>
      </c>
      <c r="BV294" t="s">
        <v>84</v>
      </c>
      <c r="BY294">
        <v>18144</v>
      </c>
      <c r="CA294" t="s">
        <v>676</v>
      </c>
      <c r="CC294" t="s">
        <v>203</v>
      </c>
      <c r="CD294">
        <v>2531</v>
      </c>
      <c r="CE294" t="s">
        <v>877</v>
      </c>
      <c r="CF294" s="3">
        <v>45995</v>
      </c>
      <c r="CI294">
        <v>1</v>
      </c>
      <c r="CJ294">
        <v>1</v>
      </c>
      <c r="CK294">
        <v>23</v>
      </c>
      <c r="CL294" t="s">
        <v>87</v>
      </c>
    </row>
    <row r="295" spans="1:90" x14ac:dyDescent="0.3">
      <c r="A295" t="s">
        <v>72</v>
      </c>
      <c r="B295" t="s">
        <v>73</v>
      </c>
      <c r="C295" t="s">
        <v>74</v>
      </c>
      <c r="E295" t="str">
        <f>"080069626383"</f>
        <v>080069626383</v>
      </c>
      <c r="F295" s="3">
        <v>45993</v>
      </c>
      <c r="G295">
        <v>202609</v>
      </c>
      <c r="H295" t="s">
        <v>75</v>
      </c>
      <c r="I295" t="s">
        <v>76</v>
      </c>
      <c r="J295" t="s">
        <v>77</v>
      </c>
      <c r="K295" t="s">
        <v>78</v>
      </c>
      <c r="L295" t="s">
        <v>399</v>
      </c>
      <c r="M295" t="s">
        <v>400</v>
      </c>
      <c r="N295" t="s">
        <v>878</v>
      </c>
      <c r="O295" t="s">
        <v>89</v>
      </c>
      <c r="P295" t="str">
        <f>"4170071526                    "</f>
        <v xml:space="preserve">4170071526                    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17.37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1</v>
      </c>
      <c r="BI295">
        <v>1</v>
      </c>
      <c r="BJ295">
        <v>0.2</v>
      </c>
      <c r="BK295">
        <v>1</v>
      </c>
      <c r="BL295">
        <v>56.85</v>
      </c>
      <c r="BM295">
        <v>8.5299999999999994</v>
      </c>
      <c r="BN295">
        <v>65.38</v>
      </c>
      <c r="BO295">
        <v>65.38</v>
      </c>
      <c r="BQ295" t="s">
        <v>879</v>
      </c>
      <c r="BR295" t="s">
        <v>82</v>
      </c>
      <c r="BS295" s="3">
        <v>45994</v>
      </c>
      <c r="BT295" s="4">
        <v>0.41805555555555557</v>
      </c>
      <c r="BU295" t="s">
        <v>880</v>
      </c>
      <c r="BV295" t="s">
        <v>84</v>
      </c>
      <c r="BY295">
        <v>1200</v>
      </c>
      <c r="CA295" t="s">
        <v>881</v>
      </c>
      <c r="CC295" t="s">
        <v>400</v>
      </c>
      <c r="CD295">
        <v>1724</v>
      </c>
      <c r="CE295" t="s">
        <v>134</v>
      </c>
      <c r="CF295" s="3">
        <v>45994</v>
      </c>
      <c r="CI295">
        <v>1</v>
      </c>
      <c r="CJ295">
        <v>1</v>
      </c>
      <c r="CK295">
        <v>22</v>
      </c>
      <c r="CL295" t="s">
        <v>87</v>
      </c>
    </row>
    <row r="296" spans="1:90" x14ac:dyDescent="0.3">
      <c r="A296" t="s">
        <v>72</v>
      </c>
      <c r="B296" t="s">
        <v>73</v>
      </c>
      <c r="C296" t="s">
        <v>74</v>
      </c>
      <c r="E296" t="str">
        <f>"080069626681"</f>
        <v>080069626681</v>
      </c>
      <c r="F296" s="3">
        <v>45993</v>
      </c>
      <c r="G296">
        <v>202609</v>
      </c>
      <c r="H296" t="s">
        <v>75</v>
      </c>
      <c r="I296" t="s">
        <v>76</v>
      </c>
      <c r="J296" t="s">
        <v>77</v>
      </c>
      <c r="K296" t="s">
        <v>78</v>
      </c>
      <c r="L296" t="s">
        <v>882</v>
      </c>
      <c r="M296" t="s">
        <v>883</v>
      </c>
      <c r="N296" t="s">
        <v>884</v>
      </c>
      <c r="O296" t="s">
        <v>89</v>
      </c>
      <c r="P296" t="str">
        <f>"4170071533                    "</f>
        <v xml:space="preserve">4170071533                    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31.28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1</v>
      </c>
      <c r="BI296">
        <v>1</v>
      </c>
      <c r="BJ296">
        <v>0.2</v>
      </c>
      <c r="BK296">
        <v>1</v>
      </c>
      <c r="BL296">
        <v>102.36</v>
      </c>
      <c r="BM296">
        <v>15.35</v>
      </c>
      <c r="BN296">
        <v>117.71</v>
      </c>
      <c r="BO296">
        <v>117.71</v>
      </c>
      <c r="BQ296" t="s">
        <v>885</v>
      </c>
      <c r="BR296" t="s">
        <v>82</v>
      </c>
      <c r="BS296" s="3">
        <v>45994</v>
      </c>
      <c r="BT296" s="4">
        <v>0.40416666666666667</v>
      </c>
      <c r="BU296" t="s">
        <v>886</v>
      </c>
      <c r="BV296" t="s">
        <v>84</v>
      </c>
      <c r="BY296">
        <v>1200</v>
      </c>
      <c r="CA296" t="s">
        <v>887</v>
      </c>
      <c r="CC296" t="s">
        <v>883</v>
      </c>
      <c r="CD296">
        <v>2410</v>
      </c>
      <c r="CE296" t="s">
        <v>134</v>
      </c>
      <c r="CF296" s="3">
        <v>45995</v>
      </c>
      <c r="CI296">
        <v>1</v>
      </c>
      <c r="CJ296">
        <v>1</v>
      </c>
      <c r="CK296">
        <v>24</v>
      </c>
      <c r="CL296" t="s">
        <v>87</v>
      </c>
    </row>
    <row r="297" spans="1:90" x14ac:dyDescent="0.3">
      <c r="A297" t="s">
        <v>72</v>
      </c>
      <c r="B297" t="s">
        <v>73</v>
      </c>
      <c r="C297" t="s">
        <v>74</v>
      </c>
      <c r="E297" t="str">
        <f>"080069626712"</f>
        <v>080069626712</v>
      </c>
      <c r="F297" s="3">
        <v>45993</v>
      </c>
      <c r="G297">
        <v>202609</v>
      </c>
      <c r="H297" t="s">
        <v>75</v>
      </c>
      <c r="I297" t="s">
        <v>76</v>
      </c>
      <c r="J297" t="s">
        <v>77</v>
      </c>
      <c r="K297" t="s">
        <v>78</v>
      </c>
      <c r="L297" t="s">
        <v>389</v>
      </c>
      <c r="M297" t="s">
        <v>390</v>
      </c>
      <c r="N297" t="s">
        <v>579</v>
      </c>
      <c r="O297" t="s">
        <v>89</v>
      </c>
      <c r="P297" t="str">
        <f>"4170071487                    "</f>
        <v xml:space="preserve">4170071487                    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43.09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1</v>
      </c>
      <c r="BI297">
        <v>0.2</v>
      </c>
      <c r="BJ297">
        <v>1.5</v>
      </c>
      <c r="BK297">
        <v>1.5</v>
      </c>
      <c r="BL297">
        <v>141.02000000000001</v>
      </c>
      <c r="BM297">
        <v>21.15</v>
      </c>
      <c r="BN297">
        <v>162.16999999999999</v>
      </c>
      <c r="BO297">
        <v>162.16999999999999</v>
      </c>
      <c r="BQ297" t="s">
        <v>580</v>
      </c>
      <c r="BR297" t="s">
        <v>82</v>
      </c>
      <c r="BS297" s="3">
        <v>45994</v>
      </c>
      <c r="BT297" s="4">
        <v>0.4236111111111111</v>
      </c>
      <c r="BU297" t="s">
        <v>888</v>
      </c>
      <c r="BV297" t="s">
        <v>84</v>
      </c>
      <c r="BY297">
        <v>7622.93</v>
      </c>
      <c r="CC297" t="s">
        <v>390</v>
      </c>
      <c r="CD297" s="5" t="s">
        <v>395</v>
      </c>
      <c r="CE297" t="s">
        <v>134</v>
      </c>
      <c r="CF297" s="3">
        <v>45995</v>
      </c>
      <c r="CI297">
        <v>1</v>
      </c>
      <c r="CJ297">
        <v>1</v>
      </c>
      <c r="CK297">
        <v>23</v>
      </c>
      <c r="CL297" t="s">
        <v>87</v>
      </c>
    </row>
    <row r="298" spans="1:90" x14ac:dyDescent="0.3">
      <c r="A298" t="s">
        <v>72</v>
      </c>
      <c r="B298" t="s">
        <v>73</v>
      </c>
      <c r="C298" t="s">
        <v>74</v>
      </c>
      <c r="E298" t="str">
        <f>"080069626743"</f>
        <v>080069626743</v>
      </c>
      <c r="F298" s="3">
        <v>45993</v>
      </c>
      <c r="G298">
        <v>202609</v>
      </c>
      <c r="H298" t="s">
        <v>75</v>
      </c>
      <c r="I298" t="s">
        <v>76</v>
      </c>
      <c r="J298" t="s">
        <v>77</v>
      </c>
      <c r="K298" t="s">
        <v>78</v>
      </c>
      <c r="L298" t="s">
        <v>176</v>
      </c>
      <c r="M298" t="s">
        <v>177</v>
      </c>
      <c r="N298" t="s">
        <v>889</v>
      </c>
      <c r="O298" t="s">
        <v>89</v>
      </c>
      <c r="P298" t="str">
        <f>"4170071490                    "</f>
        <v xml:space="preserve">4170071490                    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17.37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1</v>
      </c>
      <c r="BI298">
        <v>1</v>
      </c>
      <c r="BJ298">
        <v>0.2</v>
      </c>
      <c r="BK298">
        <v>1</v>
      </c>
      <c r="BL298">
        <v>56.85</v>
      </c>
      <c r="BM298">
        <v>8.5299999999999994</v>
      </c>
      <c r="BN298">
        <v>65.38</v>
      </c>
      <c r="BO298">
        <v>65.38</v>
      </c>
      <c r="BQ298" t="s">
        <v>890</v>
      </c>
      <c r="BR298" t="s">
        <v>82</v>
      </c>
      <c r="BS298" s="3">
        <v>45995</v>
      </c>
      <c r="BT298" s="4">
        <v>0.52916666666666667</v>
      </c>
      <c r="BU298" t="s">
        <v>891</v>
      </c>
      <c r="BV298" t="s">
        <v>87</v>
      </c>
      <c r="BY298">
        <v>1200</v>
      </c>
      <c r="CA298" t="s">
        <v>892</v>
      </c>
      <c r="CC298" t="s">
        <v>177</v>
      </c>
      <c r="CD298">
        <v>2092</v>
      </c>
      <c r="CE298" t="s">
        <v>134</v>
      </c>
      <c r="CF298" s="3">
        <v>45996</v>
      </c>
      <c r="CI298">
        <v>1</v>
      </c>
      <c r="CJ298">
        <v>2</v>
      </c>
      <c r="CK298">
        <v>22</v>
      </c>
      <c r="CL298" t="s">
        <v>87</v>
      </c>
    </row>
    <row r="299" spans="1:90" x14ac:dyDescent="0.3">
      <c r="A299" t="s">
        <v>72</v>
      </c>
      <c r="B299" t="s">
        <v>73</v>
      </c>
      <c r="C299" t="s">
        <v>74</v>
      </c>
      <c r="E299" t="str">
        <f>"009944721535"</f>
        <v>009944721535</v>
      </c>
      <c r="F299" s="3">
        <v>45993</v>
      </c>
      <c r="G299">
        <v>202609</v>
      </c>
      <c r="H299" t="s">
        <v>141</v>
      </c>
      <c r="I299" t="s">
        <v>142</v>
      </c>
      <c r="J299" t="s">
        <v>893</v>
      </c>
      <c r="K299" t="s">
        <v>78</v>
      </c>
      <c r="L299" t="s">
        <v>75</v>
      </c>
      <c r="M299" t="s">
        <v>76</v>
      </c>
      <c r="N299" t="s">
        <v>894</v>
      </c>
      <c r="O299" t="s">
        <v>80</v>
      </c>
      <c r="P299" t="str">
        <f>"PLZ2404184118                 "</f>
        <v xml:space="preserve">PLZ2404184118                 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243.87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1</v>
      </c>
      <c r="BI299">
        <v>128</v>
      </c>
      <c r="BJ299">
        <v>60.8</v>
      </c>
      <c r="BK299">
        <v>128</v>
      </c>
      <c r="BL299">
        <v>804.23</v>
      </c>
      <c r="BM299">
        <v>120.63</v>
      </c>
      <c r="BN299">
        <v>924.86</v>
      </c>
      <c r="BO299">
        <v>924.86</v>
      </c>
      <c r="BS299" s="3">
        <v>45996</v>
      </c>
      <c r="BT299" s="4">
        <v>0.64513888888888893</v>
      </c>
      <c r="BU299" t="s">
        <v>895</v>
      </c>
      <c r="BV299" t="s">
        <v>84</v>
      </c>
      <c r="BY299">
        <v>303875</v>
      </c>
      <c r="BZ299" t="s">
        <v>404</v>
      </c>
      <c r="CA299" t="s">
        <v>848</v>
      </c>
      <c r="CC299" t="s">
        <v>76</v>
      </c>
      <c r="CD299">
        <v>1600</v>
      </c>
      <c r="CE299" t="s">
        <v>603</v>
      </c>
      <c r="CF299" s="3">
        <v>45996</v>
      </c>
      <c r="CI299">
        <v>3</v>
      </c>
      <c r="CJ299">
        <v>3</v>
      </c>
      <c r="CK299">
        <v>41</v>
      </c>
      <c r="CL299" t="s">
        <v>87</v>
      </c>
    </row>
    <row r="300" spans="1:90" x14ac:dyDescent="0.3">
      <c r="A300" t="s">
        <v>72</v>
      </c>
      <c r="B300" t="s">
        <v>73</v>
      </c>
      <c r="C300" t="s">
        <v>74</v>
      </c>
      <c r="E300" t="str">
        <f>"080069626946"</f>
        <v>080069626946</v>
      </c>
      <c r="F300" s="3">
        <v>45993</v>
      </c>
      <c r="G300">
        <v>202609</v>
      </c>
      <c r="H300" t="s">
        <v>75</v>
      </c>
      <c r="I300" t="s">
        <v>76</v>
      </c>
      <c r="J300" t="s">
        <v>77</v>
      </c>
      <c r="K300" t="s">
        <v>78</v>
      </c>
      <c r="L300" t="s">
        <v>128</v>
      </c>
      <c r="M300" t="s">
        <v>129</v>
      </c>
      <c r="N300" t="s">
        <v>183</v>
      </c>
      <c r="O300" t="s">
        <v>89</v>
      </c>
      <c r="P300" t="str">
        <f>"4170071557                    "</f>
        <v xml:space="preserve">4170071557                    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22.24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1</v>
      </c>
      <c r="BI300">
        <v>1</v>
      </c>
      <c r="BJ300">
        <v>0.2</v>
      </c>
      <c r="BK300">
        <v>1</v>
      </c>
      <c r="BL300">
        <v>72.78</v>
      </c>
      <c r="BM300">
        <v>10.92</v>
      </c>
      <c r="BN300">
        <v>83.7</v>
      </c>
      <c r="BO300">
        <v>83.7</v>
      </c>
      <c r="BQ300" t="s">
        <v>184</v>
      </c>
      <c r="BR300" t="s">
        <v>82</v>
      </c>
      <c r="BS300" s="3">
        <v>45994</v>
      </c>
      <c r="BT300" s="4">
        <v>0.64444444444444449</v>
      </c>
      <c r="BU300" t="s">
        <v>896</v>
      </c>
      <c r="BV300" t="s">
        <v>87</v>
      </c>
      <c r="BY300">
        <v>1200</v>
      </c>
      <c r="CA300" t="s">
        <v>188</v>
      </c>
      <c r="CC300" t="s">
        <v>129</v>
      </c>
      <c r="CD300">
        <v>5200</v>
      </c>
      <c r="CE300" t="s">
        <v>134</v>
      </c>
      <c r="CF300" s="3">
        <v>45995</v>
      </c>
      <c r="CI300">
        <v>1</v>
      </c>
      <c r="CJ300">
        <v>1</v>
      </c>
      <c r="CK300">
        <v>21</v>
      </c>
      <c r="CL300" t="s">
        <v>87</v>
      </c>
    </row>
    <row r="301" spans="1:90" x14ac:dyDescent="0.3">
      <c r="A301" t="s">
        <v>72</v>
      </c>
      <c r="B301" t="s">
        <v>73</v>
      </c>
      <c r="C301" t="s">
        <v>74</v>
      </c>
      <c r="E301" t="str">
        <f>"080069626948"</f>
        <v>080069626948</v>
      </c>
      <c r="F301" s="3">
        <v>45993</v>
      </c>
      <c r="G301">
        <v>202609</v>
      </c>
      <c r="H301" t="s">
        <v>75</v>
      </c>
      <c r="I301" t="s">
        <v>76</v>
      </c>
      <c r="J301" t="s">
        <v>77</v>
      </c>
      <c r="K301" t="s">
        <v>78</v>
      </c>
      <c r="L301" t="s">
        <v>897</v>
      </c>
      <c r="M301" t="s">
        <v>898</v>
      </c>
      <c r="N301" t="s">
        <v>899</v>
      </c>
      <c r="O301" t="s">
        <v>89</v>
      </c>
      <c r="P301" t="str">
        <f>"4170071454                    "</f>
        <v xml:space="preserve">4170071454                    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159.83000000000001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1</v>
      </c>
      <c r="BI301">
        <v>8</v>
      </c>
      <c r="BJ301">
        <v>3.5</v>
      </c>
      <c r="BK301">
        <v>8</v>
      </c>
      <c r="BL301">
        <v>523.08000000000004</v>
      </c>
      <c r="BM301">
        <v>78.459999999999994</v>
      </c>
      <c r="BN301">
        <v>601.54</v>
      </c>
      <c r="BO301">
        <v>601.54</v>
      </c>
      <c r="BQ301" t="s">
        <v>900</v>
      </c>
      <c r="BR301" t="s">
        <v>82</v>
      </c>
      <c r="BS301" s="3">
        <v>45994</v>
      </c>
      <c r="BT301" s="4">
        <v>0.66666666666666663</v>
      </c>
      <c r="BU301" t="s">
        <v>901</v>
      </c>
      <c r="BV301" t="s">
        <v>84</v>
      </c>
      <c r="BY301">
        <v>17600</v>
      </c>
      <c r="CA301" t="s">
        <v>902</v>
      </c>
      <c r="CC301" t="s">
        <v>898</v>
      </c>
      <c r="CD301">
        <v>3370</v>
      </c>
      <c r="CE301" t="s">
        <v>93</v>
      </c>
      <c r="CF301" s="3">
        <v>45995</v>
      </c>
      <c r="CI301">
        <v>2</v>
      </c>
      <c r="CJ301">
        <v>1</v>
      </c>
      <c r="CK301">
        <v>23</v>
      </c>
      <c r="CL301" t="s">
        <v>87</v>
      </c>
    </row>
    <row r="302" spans="1:90" x14ac:dyDescent="0.3">
      <c r="A302" t="s">
        <v>72</v>
      </c>
      <c r="B302" t="s">
        <v>73</v>
      </c>
      <c r="C302" t="s">
        <v>74</v>
      </c>
      <c r="E302" t="str">
        <f>"080069626969"</f>
        <v>080069626969</v>
      </c>
      <c r="F302" s="3">
        <v>45993</v>
      </c>
      <c r="G302">
        <v>202609</v>
      </c>
      <c r="H302" t="s">
        <v>75</v>
      </c>
      <c r="I302" t="s">
        <v>76</v>
      </c>
      <c r="J302" t="s">
        <v>77</v>
      </c>
      <c r="K302" t="s">
        <v>78</v>
      </c>
      <c r="L302" t="s">
        <v>302</v>
      </c>
      <c r="M302" t="s">
        <v>303</v>
      </c>
      <c r="N302" t="s">
        <v>347</v>
      </c>
      <c r="O302" t="s">
        <v>89</v>
      </c>
      <c r="P302" t="str">
        <f>"4170071509                    "</f>
        <v xml:space="preserve">4170071509                    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22.24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1</v>
      </c>
      <c r="BI302">
        <v>1</v>
      </c>
      <c r="BJ302">
        <v>0.2</v>
      </c>
      <c r="BK302">
        <v>1</v>
      </c>
      <c r="BL302">
        <v>72.78</v>
      </c>
      <c r="BM302">
        <v>10.92</v>
      </c>
      <c r="BN302">
        <v>83.7</v>
      </c>
      <c r="BO302">
        <v>83.7</v>
      </c>
      <c r="BQ302" t="s">
        <v>348</v>
      </c>
      <c r="BR302" t="s">
        <v>82</v>
      </c>
      <c r="BS302" s="3">
        <v>45994</v>
      </c>
      <c r="BT302" s="4">
        <v>0.42638888888888887</v>
      </c>
      <c r="BU302" t="s">
        <v>903</v>
      </c>
      <c r="BV302" t="s">
        <v>84</v>
      </c>
      <c r="BY302">
        <v>1200</v>
      </c>
      <c r="CA302">
        <v>8507115621084</v>
      </c>
      <c r="CC302" t="s">
        <v>303</v>
      </c>
      <c r="CD302" s="5" t="s">
        <v>350</v>
      </c>
      <c r="CE302" t="s">
        <v>134</v>
      </c>
      <c r="CF302" s="3">
        <v>45994</v>
      </c>
      <c r="CI302">
        <v>1</v>
      </c>
      <c r="CJ302">
        <v>1</v>
      </c>
      <c r="CK302">
        <v>21</v>
      </c>
      <c r="CL302" t="s">
        <v>87</v>
      </c>
    </row>
    <row r="303" spans="1:90" x14ac:dyDescent="0.3">
      <c r="A303" t="s">
        <v>72</v>
      </c>
      <c r="B303" t="s">
        <v>73</v>
      </c>
      <c r="C303" t="s">
        <v>74</v>
      </c>
      <c r="E303" t="str">
        <f>"080069626984"</f>
        <v>080069626984</v>
      </c>
      <c r="F303" s="3">
        <v>45993</v>
      </c>
      <c r="G303">
        <v>202609</v>
      </c>
      <c r="H303" t="s">
        <v>75</v>
      </c>
      <c r="I303" t="s">
        <v>76</v>
      </c>
      <c r="J303" t="s">
        <v>77</v>
      </c>
      <c r="K303" t="s">
        <v>78</v>
      </c>
      <c r="L303" t="s">
        <v>302</v>
      </c>
      <c r="M303" t="s">
        <v>303</v>
      </c>
      <c r="N303" t="s">
        <v>786</v>
      </c>
      <c r="O303" t="s">
        <v>80</v>
      </c>
      <c r="P303" t="str">
        <f>"4170071539                    "</f>
        <v xml:space="preserve">4170071539                    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43.01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2</v>
      </c>
      <c r="BI303">
        <v>14.8</v>
      </c>
      <c r="BJ303">
        <v>6.2</v>
      </c>
      <c r="BK303">
        <v>15</v>
      </c>
      <c r="BL303">
        <v>146.85</v>
      </c>
      <c r="BM303">
        <v>22.03</v>
      </c>
      <c r="BN303">
        <v>168.88</v>
      </c>
      <c r="BO303">
        <v>168.88</v>
      </c>
      <c r="BQ303" t="s">
        <v>787</v>
      </c>
      <c r="BR303" t="s">
        <v>82</v>
      </c>
      <c r="BS303" s="3">
        <v>45994</v>
      </c>
      <c r="BT303" s="4">
        <v>0.31736111111111109</v>
      </c>
      <c r="BU303" t="s">
        <v>788</v>
      </c>
      <c r="BV303" t="s">
        <v>84</v>
      </c>
      <c r="BY303">
        <v>30971.52</v>
      </c>
      <c r="CA303">
        <v>9107126013089</v>
      </c>
      <c r="CC303" t="s">
        <v>303</v>
      </c>
      <c r="CD303" s="5" t="s">
        <v>657</v>
      </c>
      <c r="CE303" t="s">
        <v>877</v>
      </c>
      <c r="CF303" s="3">
        <v>45995</v>
      </c>
      <c r="CI303">
        <v>1</v>
      </c>
      <c r="CJ303">
        <v>1</v>
      </c>
      <c r="CK303">
        <v>41</v>
      </c>
      <c r="CL303" t="s">
        <v>87</v>
      </c>
    </row>
    <row r="304" spans="1:90" x14ac:dyDescent="0.3">
      <c r="A304" t="s">
        <v>72</v>
      </c>
      <c r="B304" t="s">
        <v>73</v>
      </c>
      <c r="C304" t="s">
        <v>74</v>
      </c>
      <c r="E304" t="str">
        <f>"080069626993"</f>
        <v>080069626993</v>
      </c>
      <c r="F304" s="3">
        <v>45993</v>
      </c>
      <c r="G304">
        <v>202609</v>
      </c>
      <c r="H304" t="s">
        <v>75</v>
      </c>
      <c r="I304" t="s">
        <v>76</v>
      </c>
      <c r="J304" t="s">
        <v>77</v>
      </c>
      <c r="K304" t="s">
        <v>78</v>
      </c>
      <c r="L304" t="s">
        <v>141</v>
      </c>
      <c r="M304" t="s">
        <v>142</v>
      </c>
      <c r="N304" t="s">
        <v>731</v>
      </c>
      <c r="O304" t="s">
        <v>89</v>
      </c>
      <c r="P304" t="str">
        <f>"4170071555                    "</f>
        <v xml:space="preserve">4170071555                    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22.24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1</v>
      </c>
      <c r="BI304">
        <v>1</v>
      </c>
      <c r="BJ304">
        <v>0.2</v>
      </c>
      <c r="BK304">
        <v>1</v>
      </c>
      <c r="BL304">
        <v>72.78</v>
      </c>
      <c r="BM304">
        <v>10.92</v>
      </c>
      <c r="BN304">
        <v>83.7</v>
      </c>
      <c r="BO304">
        <v>83.7</v>
      </c>
      <c r="BQ304" t="s">
        <v>732</v>
      </c>
      <c r="BR304" t="s">
        <v>82</v>
      </c>
      <c r="BS304" s="3">
        <v>45994</v>
      </c>
      <c r="BT304" s="4">
        <v>0.42986111111111114</v>
      </c>
      <c r="BU304" t="s">
        <v>733</v>
      </c>
      <c r="BV304" t="s">
        <v>84</v>
      </c>
      <c r="BY304">
        <v>1200</v>
      </c>
      <c r="CA304" t="s">
        <v>277</v>
      </c>
      <c r="CC304" t="s">
        <v>142</v>
      </c>
      <c r="CD304">
        <v>6001</v>
      </c>
      <c r="CE304" t="s">
        <v>134</v>
      </c>
      <c r="CF304" s="3">
        <v>45994</v>
      </c>
      <c r="CI304">
        <v>1</v>
      </c>
      <c r="CJ304">
        <v>1</v>
      </c>
      <c r="CK304">
        <v>21</v>
      </c>
      <c r="CL304" t="s">
        <v>87</v>
      </c>
    </row>
    <row r="305" spans="1:90" x14ac:dyDescent="0.3">
      <c r="A305" t="s">
        <v>72</v>
      </c>
      <c r="B305" t="s">
        <v>73</v>
      </c>
      <c r="C305" t="s">
        <v>74</v>
      </c>
      <c r="E305" t="str">
        <f>"080069627012"</f>
        <v>080069627012</v>
      </c>
      <c r="F305" s="3">
        <v>45993</v>
      </c>
      <c r="G305">
        <v>202609</v>
      </c>
      <c r="H305" t="s">
        <v>75</v>
      </c>
      <c r="I305" t="s">
        <v>76</v>
      </c>
      <c r="J305" t="s">
        <v>77</v>
      </c>
      <c r="K305" t="s">
        <v>78</v>
      </c>
      <c r="L305" t="s">
        <v>141</v>
      </c>
      <c r="M305" t="s">
        <v>142</v>
      </c>
      <c r="N305" t="s">
        <v>731</v>
      </c>
      <c r="O305" t="s">
        <v>89</v>
      </c>
      <c r="P305" t="str">
        <f>"4170071550                    "</f>
        <v xml:space="preserve">4170071550                    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22.24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1</v>
      </c>
      <c r="BI305">
        <v>1</v>
      </c>
      <c r="BJ305">
        <v>0.2</v>
      </c>
      <c r="BK305">
        <v>1</v>
      </c>
      <c r="BL305">
        <v>72.78</v>
      </c>
      <c r="BM305">
        <v>10.92</v>
      </c>
      <c r="BN305">
        <v>83.7</v>
      </c>
      <c r="BO305">
        <v>83.7</v>
      </c>
      <c r="BQ305" t="s">
        <v>732</v>
      </c>
      <c r="BR305" t="s">
        <v>82</v>
      </c>
      <c r="BS305" s="3">
        <v>45994</v>
      </c>
      <c r="BT305" s="4">
        <v>0.42986111111111114</v>
      </c>
      <c r="BU305" t="s">
        <v>733</v>
      </c>
      <c r="BV305" t="s">
        <v>84</v>
      </c>
      <c r="BY305">
        <v>1200</v>
      </c>
      <c r="CA305" t="s">
        <v>277</v>
      </c>
      <c r="CC305" t="s">
        <v>142</v>
      </c>
      <c r="CD305">
        <v>6001</v>
      </c>
      <c r="CE305" t="s">
        <v>134</v>
      </c>
      <c r="CF305" s="3">
        <v>45994</v>
      </c>
      <c r="CI305">
        <v>1</v>
      </c>
      <c r="CJ305">
        <v>1</v>
      </c>
      <c r="CK305">
        <v>21</v>
      </c>
      <c r="CL305" t="s">
        <v>87</v>
      </c>
    </row>
    <row r="306" spans="1:90" x14ac:dyDescent="0.3">
      <c r="A306" t="s">
        <v>72</v>
      </c>
      <c r="B306" t="s">
        <v>73</v>
      </c>
      <c r="C306" t="s">
        <v>74</v>
      </c>
      <c r="E306" t="str">
        <f>"080069627016"</f>
        <v>080069627016</v>
      </c>
      <c r="F306" s="3">
        <v>45993</v>
      </c>
      <c r="G306">
        <v>202609</v>
      </c>
      <c r="H306" t="s">
        <v>75</v>
      </c>
      <c r="I306" t="s">
        <v>76</v>
      </c>
      <c r="J306" t="s">
        <v>77</v>
      </c>
      <c r="K306" t="s">
        <v>78</v>
      </c>
      <c r="L306" t="s">
        <v>156</v>
      </c>
      <c r="M306" t="s">
        <v>157</v>
      </c>
      <c r="N306" t="s">
        <v>261</v>
      </c>
      <c r="O306" t="s">
        <v>89</v>
      </c>
      <c r="P306" t="str">
        <f>"4170071542                    "</f>
        <v xml:space="preserve">4170071542                    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44.47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1</v>
      </c>
      <c r="BI306">
        <v>4</v>
      </c>
      <c r="BJ306">
        <v>1.7</v>
      </c>
      <c r="BK306">
        <v>4</v>
      </c>
      <c r="BL306">
        <v>145.53</v>
      </c>
      <c r="BM306">
        <v>21.83</v>
      </c>
      <c r="BN306">
        <v>167.36</v>
      </c>
      <c r="BO306">
        <v>167.36</v>
      </c>
      <c r="BQ306" t="s">
        <v>262</v>
      </c>
      <c r="BR306" t="s">
        <v>82</v>
      </c>
      <c r="BS306" s="3">
        <v>45994</v>
      </c>
      <c r="BT306" s="4">
        <v>0.41249999999999998</v>
      </c>
      <c r="BU306" t="s">
        <v>263</v>
      </c>
      <c r="BV306" t="s">
        <v>84</v>
      </c>
      <c r="BY306">
        <v>8550</v>
      </c>
      <c r="CA306" t="s">
        <v>264</v>
      </c>
      <c r="CC306" t="s">
        <v>157</v>
      </c>
      <c r="CD306">
        <v>7441</v>
      </c>
      <c r="CE306" t="s">
        <v>86</v>
      </c>
      <c r="CF306" s="3">
        <v>45995</v>
      </c>
      <c r="CI306">
        <v>1</v>
      </c>
      <c r="CJ306">
        <v>1</v>
      </c>
      <c r="CK306">
        <v>21</v>
      </c>
      <c r="CL306" t="s">
        <v>87</v>
      </c>
    </row>
    <row r="307" spans="1:90" x14ac:dyDescent="0.3">
      <c r="A307" t="s">
        <v>72</v>
      </c>
      <c r="B307" t="s">
        <v>73</v>
      </c>
      <c r="C307" t="s">
        <v>74</v>
      </c>
      <c r="E307" t="str">
        <f>"080069627026"</f>
        <v>080069627026</v>
      </c>
      <c r="F307" s="3">
        <v>45993</v>
      </c>
      <c r="G307">
        <v>202609</v>
      </c>
      <c r="H307" t="s">
        <v>75</v>
      </c>
      <c r="I307" t="s">
        <v>76</v>
      </c>
      <c r="J307" t="s">
        <v>77</v>
      </c>
      <c r="K307" t="s">
        <v>78</v>
      </c>
      <c r="L307" t="s">
        <v>141</v>
      </c>
      <c r="M307" t="s">
        <v>142</v>
      </c>
      <c r="N307" t="s">
        <v>731</v>
      </c>
      <c r="O307" t="s">
        <v>89</v>
      </c>
      <c r="P307" t="str">
        <f>"4170071551                    "</f>
        <v xml:space="preserve">4170071551                    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22.24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1</v>
      </c>
      <c r="BI307">
        <v>1</v>
      </c>
      <c r="BJ307">
        <v>0.2</v>
      </c>
      <c r="BK307">
        <v>1</v>
      </c>
      <c r="BL307">
        <v>72.78</v>
      </c>
      <c r="BM307">
        <v>10.92</v>
      </c>
      <c r="BN307">
        <v>83.7</v>
      </c>
      <c r="BO307">
        <v>83.7</v>
      </c>
      <c r="BQ307" t="s">
        <v>732</v>
      </c>
      <c r="BR307" t="s">
        <v>82</v>
      </c>
      <c r="BS307" s="3">
        <v>45994</v>
      </c>
      <c r="BT307" s="4">
        <v>0.42986111111111114</v>
      </c>
      <c r="BU307" t="s">
        <v>733</v>
      </c>
      <c r="BV307" t="s">
        <v>84</v>
      </c>
      <c r="BY307">
        <v>1200</v>
      </c>
      <c r="CA307" t="s">
        <v>277</v>
      </c>
      <c r="CC307" t="s">
        <v>142</v>
      </c>
      <c r="CD307">
        <v>6001</v>
      </c>
      <c r="CE307" t="s">
        <v>134</v>
      </c>
      <c r="CF307" s="3">
        <v>45994</v>
      </c>
      <c r="CI307">
        <v>1</v>
      </c>
      <c r="CJ307">
        <v>1</v>
      </c>
      <c r="CK307">
        <v>21</v>
      </c>
      <c r="CL307" t="s">
        <v>87</v>
      </c>
    </row>
    <row r="308" spans="1:90" x14ac:dyDescent="0.3">
      <c r="A308" t="s">
        <v>72</v>
      </c>
      <c r="B308" t="s">
        <v>73</v>
      </c>
      <c r="C308" t="s">
        <v>74</v>
      </c>
      <c r="E308" t="str">
        <f>"080069627038"</f>
        <v>080069627038</v>
      </c>
      <c r="F308" s="3">
        <v>45993</v>
      </c>
      <c r="G308">
        <v>202609</v>
      </c>
      <c r="H308" t="s">
        <v>75</v>
      </c>
      <c r="I308" t="s">
        <v>76</v>
      </c>
      <c r="J308" t="s">
        <v>77</v>
      </c>
      <c r="K308" t="s">
        <v>78</v>
      </c>
      <c r="L308" t="s">
        <v>148</v>
      </c>
      <c r="M308" t="s">
        <v>149</v>
      </c>
      <c r="N308" t="s">
        <v>150</v>
      </c>
      <c r="O308" t="s">
        <v>89</v>
      </c>
      <c r="P308" t="str">
        <f>"4170071579                    "</f>
        <v xml:space="preserve">4170071579                    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62.55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1</v>
      </c>
      <c r="BI308">
        <v>3</v>
      </c>
      <c r="BJ308">
        <v>0.9</v>
      </c>
      <c r="BK308">
        <v>3</v>
      </c>
      <c r="BL308">
        <v>204.7</v>
      </c>
      <c r="BM308">
        <v>30.71</v>
      </c>
      <c r="BN308">
        <v>235.41</v>
      </c>
      <c r="BO308">
        <v>235.41</v>
      </c>
      <c r="BQ308" t="s">
        <v>151</v>
      </c>
      <c r="BR308" t="s">
        <v>82</v>
      </c>
      <c r="BS308" s="3">
        <v>45994</v>
      </c>
      <c r="BT308" s="4">
        <v>0.49444444444444446</v>
      </c>
      <c r="BU308" t="s">
        <v>152</v>
      </c>
      <c r="BV308" t="s">
        <v>84</v>
      </c>
      <c r="BY308">
        <v>4275</v>
      </c>
      <c r="CA308" t="s">
        <v>155</v>
      </c>
      <c r="CC308" t="s">
        <v>149</v>
      </c>
      <c r="CD308">
        <v>7300</v>
      </c>
      <c r="CE308" t="s">
        <v>86</v>
      </c>
      <c r="CF308" s="3">
        <v>45995</v>
      </c>
      <c r="CI308">
        <v>1</v>
      </c>
      <c r="CJ308">
        <v>1</v>
      </c>
      <c r="CK308">
        <v>23</v>
      </c>
      <c r="CL308" t="s">
        <v>87</v>
      </c>
    </row>
    <row r="309" spans="1:90" x14ac:dyDescent="0.3">
      <c r="A309" t="s">
        <v>72</v>
      </c>
      <c r="B309" t="s">
        <v>73</v>
      </c>
      <c r="C309" t="s">
        <v>74</v>
      </c>
      <c r="E309" t="str">
        <f>"080069627037"</f>
        <v>080069627037</v>
      </c>
      <c r="F309" s="3">
        <v>45993</v>
      </c>
      <c r="G309">
        <v>202609</v>
      </c>
      <c r="H309" t="s">
        <v>75</v>
      </c>
      <c r="I309" t="s">
        <v>76</v>
      </c>
      <c r="J309" t="s">
        <v>77</v>
      </c>
      <c r="K309" t="s">
        <v>78</v>
      </c>
      <c r="L309" t="s">
        <v>141</v>
      </c>
      <c r="M309" t="s">
        <v>142</v>
      </c>
      <c r="N309" t="s">
        <v>731</v>
      </c>
      <c r="O309" t="s">
        <v>89</v>
      </c>
      <c r="P309" t="str">
        <f>"4170071566                    "</f>
        <v xml:space="preserve">4170071566                    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22.24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1</v>
      </c>
      <c r="BI309">
        <v>1</v>
      </c>
      <c r="BJ309">
        <v>0.2</v>
      </c>
      <c r="BK309">
        <v>1</v>
      </c>
      <c r="BL309">
        <v>72.78</v>
      </c>
      <c r="BM309">
        <v>10.92</v>
      </c>
      <c r="BN309">
        <v>83.7</v>
      </c>
      <c r="BO309">
        <v>83.7</v>
      </c>
      <c r="BQ309" t="s">
        <v>732</v>
      </c>
      <c r="BR309" t="s">
        <v>82</v>
      </c>
      <c r="BS309" s="3">
        <v>45994</v>
      </c>
      <c r="BT309" s="4">
        <v>0.42986111111111114</v>
      </c>
      <c r="BU309" t="s">
        <v>733</v>
      </c>
      <c r="BV309" t="s">
        <v>84</v>
      </c>
      <c r="BY309">
        <v>1200</v>
      </c>
      <c r="CA309" t="s">
        <v>277</v>
      </c>
      <c r="CC309" t="s">
        <v>142</v>
      </c>
      <c r="CD309">
        <v>6001</v>
      </c>
      <c r="CE309" t="s">
        <v>134</v>
      </c>
      <c r="CF309" s="3">
        <v>45994</v>
      </c>
      <c r="CI309">
        <v>1</v>
      </c>
      <c r="CJ309">
        <v>1</v>
      </c>
      <c r="CK309">
        <v>21</v>
      </c>
      <c r="CL309" t="s">
        <v>87</v>
      </c>
    </row>
    <row r="310" spans="1:90" x14ac:dyDescent="0.3">
      <c r="A310" t="s">
        <v>72</v>
      </c>
      <c r="B310" t="s">
        <v>73</v>
      </c>
      <c r="C310" t="s">
        <v>74</v>
      </c>
      <c r="E310" t="str">
        <f>"080069627062"</f>
        <v>080069627062</v>
      </c>
      <c r="F310" s="3">
        <v>45993</v>
      </c>
      <c r="G310">
        <v>202609</v>
      </c>
      <c r="H310" t="s">
        <v>75</v>
      </c>
      <c r="I310" t="s">
        <v>76</v>
      </c>
      <c r="J310" t="s">
        <v>77</v>
      </c>
      <c r="K310" t="s">
        <v>78</v>
      </c>
      <c r="L310" t="s">
        <v>156</v>
      </c>
      <c r="M310" t="s">
        <v>157</v>
      </c>
      <c r="N310" t="s">
        <v>904</v>
      </c>
      <c r="O310" t="s">
        <v>89</v>
      </c>
      <c r="P310" t="str">
        <f>"4170071512                    "</f>
        <v xml:space="preserve">4170071512                    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22.24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1</v>
      </c>
      <c r="BI310">
        <v>1</v>
      </c>
      <c r="BJ310">
        <v>0.2</v>
      </c>
      <c r="BK310">
        <v>1</v>
      </c>
      <c r="BL310">
        <v>72.78</v>
      </c>
      <c r="BM310">
        <v>10.92</v>
      </c>
      <c r="BN310">
        <v>83.7</v>
      </c>
      <c r="BO310">
        <v>83.7</v>
      </c>
      <c r="BQ310" t="s">
        <v>905</v>
      </c>
      <c r="BR310" t="s">
        <v>82</v>
      </c>
      <c r="BS310" s="3">
        <v>45994</v>
      </c>
      <c r="BT310" s="4">
        <v>0.39097222222222222</v>
      </c>
      <c r="BU310" t="s">
        <v>906</v>
      </c>
      <c r="BV310" t="s">
        <v>84</v>
      </c>
      <c r="BY310">
        <v>1200</v>
      </c>
      <c r="CA310" t="s">
        <v>264</v>
      </c>
      <c r="CC310" t="s">
        <v>157</v>
      </c>
      <c r="CD310">
        <v>7441</v>
      </c>
      <c r="CE310" t="s">
        <v>134</v>
      </c>
      <c r="CF310" s="3">
        <v>45995</v>
      </c>
      <c r="CI310">
        <v>1</v>
      </c>
      <c r="CJ310">
        <v>1</v>
      </c>
      <c r="CK310">
        <v>21</v>
      </c>
      <c r="CL310" t="s">
        <v>87</v>
      </c>
    </row>
    <row r="311" spans="1:90" x14ac:dyDescent="0.3">
      <c r="A311" t="s">
        <v>72</v>
      </c>
      <c r="B311" t="s">
        <v>73</v>
      </c>
      <c r="C311" t="s">
        <v>74</v>
      </c>
      <c r="E311" t="str">
        <f>"080069627075"</f>
        <v>080069627075</v>
      </c>
      <c r="F311" s="3">
        <v>45993</v>
      </c>
      <c r="G311">
        <v>202609</v>
      </c>
      <c r="H311" t="s">
        <v>75</v>
      </c>
      <c r="I311" t="s">
        <v>76</v>
      </c>
      <c r="J311" t="s">
        <v>77</v>
      </c>
      <c r="K311" t="s">
        <v>78</v>
      </c>
      <c r="L311" t="s">
        <v>533</v>
      </c>
      <c r="M311" t="s">
        <v>533</v>
      </c>
      <c r="N311" t="s">
        <v>907</v>
      </c>
      <c r="O311" t="s">
        <v>89</v>
      </c>
      <c r="P311" t="str">
        <f>"4170071556                    "</f>
        <v xml:space="preserve">4170071556                    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82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1</v>
      </c>
      <c r="BI311">
        <v>4</v>
      </c>
      <c r="BJ311">
        <v>3.4</v>
      </c>
      <c r="BK311">
        <v>4</v>
      </c>
      <c r="BL311">
        <v>268.37</v>
      </c>
      <c r="BM311">
        <v>40.26</v>
      </c>
      <c r="BN311">
        <v>308.63</v>
      </c>
      <c r="BO311">
        <v>308.63</v>
      </c>
      <c r="BQ311" t="s">
        <v>908</v>
      </c>
      <c r="BR311" t="s">
        <v>82</v>
      </c>
      <c r="BS311" s="3">
        <v>45994</v>
      </c>
      <c r="BT311" s="4">
        <v>0.85972222222222228</v>
      </c>
      <c r="BU311" t="s">
        <v>909</v>
      </c>
      <c r="BV311" t="s">
        <v>87</v>
      </c>
      <c r="BY311">
        <v>16965</v>
      </c>
      <c r="CA311" t="s">
        <v>537</v>
      </c>
      <c r="CC311" t="s">
        <v>533</v>
      </c>
      <c r="CD311">
        <v>7654</v>
      </c>
      <c r="CE311" t="s">
        <v>86</v>
      </c>
      <c r="CF311" s="3">
        <v>45995</v>
      </c>
      <c r="CI311">
        <v>1</v>
      </c>
      <c r="CJ311">
        <v>1</v>
      </c>
      <c r="CK311">
        <v>23</v>
      </c>
      <c r="CL311" t="s">
        <v>87</v>
      </c>
    </row>
    <row r="312" spans="1:90" x14ac:dyDescent="0.3">
      <c r="A312" t="s">
        <v>72</v>
      </c>
      <c r="B312" t="s">
        <v>73</v>
      </c>
      <c r="C312" t="s">
        <v>74</v>
      </c>
      <c r="E312" t="str">
        <f>"080069627085"</f>
        <v>080069627085</v>
      </c>
      <c r="F312" s="3">
        <v>45993</v>
      </c>
      <c r="G312">
        <v>202609</v>
      </c>
      <c r="H312" t="s">
        <v>75</v>
      </c>
      <c r="I312" t="s">
        <v>76</v>
      </c>
      <c r="J312" t="s">
        <v>77</v>
      </c>
      <c r="K312" t="s">
        <v>78</v>
      </c>
      <c r="L312" t="s">
        <v>114</v>
      </c>
      <c r="M312" t="s">
        <v>115</v>
      </c>
      <c r="N312" t="s">
        <v>116</v>
      </c>
      <c r="O312" t="s">
        <v>89</v>
      </c>
      <c r="P312" t="str">
        <f>"4170071500                    "</f>
        <v xml:space="preserve">4170071500                    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43.09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1</v>
      </c>
      <c r="BI312">
        <v>1</v>
      </c>
      <c r="BJ312">
        <v>0.2</v>
      </c>
      <c r="BK312">
        <v>1</v>
      </c>
      <c r="BL312">
        <v>141.02000000000001</v>
      </c>
      <c r="BM312">
        <v>21.15</v>
      </c>
      <c r="BN312">
        <v>162.16999999999999</v>
      </c>
      <c r="BO312">
        <v>162.16999999999999</v>
      </c>
      <c r="BQ312" t="s">
        <v>117</v>
      </c>
      <c r="BR312" t="s">
        <v>82</v>
      </c>
      <c r="BS312" s="3">
        <v>45996</v>
      </c>
      <c r="BT312" s="4">
        <v>0.51388888888888884</v>
      </c>
      <c r="BU312" t="s">
        <v>118</v>
      </c>
      <c r="BV312" t="s">
        <v>87</v>
      </c>
      <c r="BY312">
        <v>1200</v>
      </c>
      <c r="CA312" t="s">
        <v>119</v>
      </c>
      <c r="CC312" t="s">
        <v>115</v>
      </c>
      <c r="CD312">
        <v>6715</v>
      </c>
      <c r="CE312" t="s">
        <v>134</v>
      </c>
      <c r="CI312">
        <v>2</v>
      </c>
      <c r="CJ312">
        <v>3</v>
      </c>
      <c r="CK312">
        <v>23</v>
      </c>
      <c r="CL312" t="s">
        <v>87</v>
      </c>
    </row>
    <row r="313" spans="1:90" x14ac:dyDescent="0.3">
      <c r="A313" t="s">
        <v>72</v>
      </c>
      <c r="B313" t="s">
        <v>73</v>
      </c>
      <c r="C313" t="s">
        <v>74</v>
      </c>
      <c r="E313" t="str">
        <f>"080069627097"</f>
        <v>080069627097</v>
      </c>
      <c r="F313" s="3">
        <v>45993</v>
      </c>
      <c r="G313">
        <v>202609</v>
      </c>
      <c r="H313" t="s">
        <v>75</v>
      </c>
      <c r="I313" t="s">
        <v>76</v>
      </c>
      <c r="J313" t="s">
        <v>77</v>
      </c>
      <c r="K313" t="s">
        <v>78</v>
      </c>
      <c r="L313" t="s">
        <v>100</v>
      </c>
      <c r="M313" t="s">
        <v>101</v>
      </c>
      <c r="N313" t="s">
        <v>102</v>
      </c>
      <c r="O313" t="s">
        <v>89</v>
      </c>
      <c r="P313" t="str">
        <f>"4170071491                    "</f>
        <v xml:space="preserve">4170071491                    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22.24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1</v>
      </c>
      <c r="BI313">
        <v>1</v>
      </c>
      <c r="BJ313">
        <v>0.2</v>
      </c>
      <c r="BK313">
        <v>1</v>
      </c>
      <c r="BL313">
        <v>72.78</v>
      </c>
      <c r="BM313">
        <v>10.92</v>
      </c>
      <c r="BN313">
        <v>83.7</v>
      </c>
      <c r="BO313">
        <v>83.7</v>
      </c>
      <c r="BQ313" t="s">
        <v>103</v>
      </c>
      <c r="BR313" t="s">
        <v>82</v>
      </c>
      <c r="BS313" s="3">
        <v>45994</v>
      </c>
      <c r="BT313" s="4">
        <v>0.33819444444444446</v>
      </c>
      <c r="BU313" t="s">
        <v>104</v>
      </c>
      <c r="BV313" t="s">
        <v>84</v>
      </c>
      <c r="BY313">
        <v>1200</v>
      </c>
      <c r="CA313" t="s">
        <v>107</v>
      </c>
      <c r="CC313" t="s">
        <v>101</v>
      </c>
      <c r="CD313">
        <v>4051</v>
      </c>
      <c r="CE313" t="s">
        <v>134</v>
      </c>
      <c r="CF313" s="3">
        <v>45994</v>
      </c>
      <c r="CI313">
        <v>1</v>
      </c>
      <c r="CJ313">
        <v>1</v>
      </c>
      <c r="CK313">
        <v>21</v>
      </c>
      <c r="CL313" t="s">
        <v>87</v>
      </c>
    </row>
    <row r="314" spans="1:90" x14ac:dyDescent="0.3">
      <c r="A314" t="s">
        <v>72</v>
      </c>
      <c r="B314" t="s">
        <v>73</v>
      </c>
      <c r="C314" t="s">
        <v>74</v>
      </c>
      <c r="E314" t="str">
        <f>"080069627102"</f>
        <v>080069627102</v>
      </c>
      <c r="F314" s="3">
        <v>45993</v>
      </c>
      <c r="G314">
        <v>202609</v>
      </c>
      <c r="H314" t="s">
        <v>75</v>
      </c>
      <c r="I314" t="s">
        <v>76</v>
      </c>
      <c r="J314" t="s">
        <v>77</v>
      </c>
      <c r="K314" t="s">
        <v>78</v>
      </c>
      <c r="L314" t="s">
        <v>169</v>
      </c>
      <c r="M314" t="s">
        <v>170</v>
      </c>
      <c r="N314" t="s">
        <v>523</v>
      </c>
      <c r="O314" t="s">
        <v>89</v>
      </c>
      <c r="P314" t="str">
        <f>"4170071503                    "</f>
        <v xml:space="preserve">4170071503                    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43.09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1</v>
      </c>
      <c r="BI314">
        <v>1</v>
      </c>
      <c r="BJ314">
        <v>0.2</v>
      </c>
      <c r="BK314">
        <v>1</v>
      </c>
      <c r="BL314">
        <v>141.02000000000001</v>
      </c>
      <c r="BM314">
        <v>21.15</v>
      </c>
      <c r="BN314">
        <v>162.16999999999999</v>
      </c>
      <c r="BO314">
        <v>162.16999999999999</v>
      </c>
      <c r="BQ314" t="s">
        <v>524</v>
      </c>
      <c r="BR314" t="s">
        <v>82</v>
      </c>
      <c r="BS314" s="3">
        <v>45994</v>
      </c>
      <c r="BT314" s="4">
        <v>0.42916666666666664</v>
      </c>
      <c r="BU314" t="s">
        <v>525</v>
      </c>
      <c r="BV314" t="s">
        <v>84</v>
      </c>
      <c r="BY314">
        <v>1200</v>
      </c>
      <c r="CA314">
        <v>8608105569083</v>
      </c>
      <c r="CC314" t="s">
        <v>170</v>
      </c>
      <c r="CD314">
        <v>1020</v>
      </c>
      <c r="CE314" t="s">
        <v>134</v>
      </c>
      <c r="CF314" s="3">
        <v>45994</v>
      </c>
      <c r="CI314">
        <v>1</v>
      </c>
      <c r="CJ314">
        <v>1</v>
      </c>
      <c r="CK314">
        <v>23</v>
      </c>
      <c r="CL314" t="s">
        <v>87</v>
      </c>
    </row>
    <row r="315" spans="1:90" x14ac:dyDescent="0.3">
      <c r="A315" t="s">
        <v>72</v>
      </c>
      <c r="B315" t="s">
        <v>73</v>
      </c>
      <c r="C315" t="s">
        <v>74</v>
      </c>
      <c r="E315" t="str">
        <f>"080069627117"</f>
        <v>080069627117</v>
      </c>
      <c r="F315" s="3">
        <v>45993</v>
      </c>
      <c r="G315">
        <v>202609</v>
      </c>
      <c r="H315" t="s">
        <v>75</v>
      </c>
      <c r="I315" t="s">
        <v>76</v>
      </c>
      <c r="J315" t="s">
        <v>77</v>
      </c>
      <c r="K315" t="s">
        <v>78</v>
      </c>
      <c r="L315" t="s">
        <v>120</v>
      </c>
      <c r="M315" t="s">
        <v>121</v>
      </c>
      <c r="N315" t="s">
        <v>163</v>
      </c>
      <c r="O315" t="s">
        <v>89</v>
      </c>
      <c r="P315" t="str">
        <f>"4170071569                    "</f>
        <v xml:space="preserve">4170071569                    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22.24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1</v>
      </c>
      <c r="BI315">
        <v>1</v>
      </c>
      <c r="BJ315">
        <v>0.2</v>
      </c>
      <c r="BK315">
        <v>1</v>
      </c>
      <c r="BL315">
        <v>72.78</v>
      </c>
      <c r="BM315">
        <v>10.92</v>
      </c>
      <c r="BN315">
        <v>83.7</v>
      </c>
      <c r="BO315">
        <v>83.7</v>
      </c>
      <c r="BQ315" t="s">
        <v>164</v>
      </c>
      <c r="BR315" t="s">
        <v>82</v>
      </c>
      <c r="BS315" s="3">
        <v>45994</v>
      </c>
      <c r="BT315" s="4">
        <v>0.40416666666666667</v>
      </c>
      <c r="BU315" t="s">
        <v>165</v>
      </c>
      <c r="BV315" t="s">
        <v>84</v>
      </c>
      <c r="BY315">
        <v>1200</v>
      </c>
      <c r="CA315" t="s">
        <v>126</v>
      </c>
      <c r="CC315" t="s">
        <v>121</v>
      </c>
      <c r="CD315">
        <v>6230</v>
      </c>
      <c r="CE315" t="s">
        <v>450</v>
      </c>
      <c r="CF315" s="3">
        <v>45995</v>
      </c>
      <c r="CI315">
        <v>1</v>
      </c>
      <c r="CJ315">
        <v>1</v>
      </c>
      <c r="CK315">
        <v>21</v>
      </c>
      <c r="CL315" t="s">
        <v>87</v>
      </c>
    </row>
    <row r="316" spans="1:90" x14ac:dyDescent="0.3">
      <c r="A316" t="s">
        <v>72</v>
      </c>
      <c r="B316" t="s">
        <v>73</v>
      </c>
      <c r="C316" t="s">
        <v>74</v>
      </c>
      <c r="E316" t="str">
        <f>"080069627125"</f>
        <v>080069627125</v>
      </c>
      <c r="F316" s="3">
        <v>45993</v>
      </c>
      <c r="G316">
        <v>202609</v>
      </c>
      <c r="H316" t="s">
        <v>75</v>
      </c>
      <c r="I316" t="s">
        <v>76</v>
      </c>
      <c r="J316" t="s">
        <v>77</v>
      </c>
      <c r="K316" t="s">
        <v>78</v>
      </c>
      <c r="L316" t="s">
        <v>302</v>
      </c>
      <c r="M316" t="s">
        <v>303</v>
      </c>
      <c r="N316" t="s">
        <v>870</v>
      </c>
      <c r="O316" t="s">
        <v>89</v>
      </c>
      <c r="P316" t="str">
        <f>"4170071600                    "</f>
        <v xml:space="preserve">4170071600                    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22.24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1</v>
      </c>
      <c r="BI316">
        <v>1</v>
      </c>
      <c r="BJ316">
        <v>0.2</v>
      </c>
      <c r="BK316">
        <v>1</v>
      </c>
      <c r="BL316">
        <v>72.78</v>
      </c>
      <c r="BM316">
        <v>10.92</v>
      </c>
      <c r="BN316">
        <v>83.7</v>
      </c>
      <c r="BO316">
        <v>83.7</v>
      </c>
      <c r="BQ316" t="s">
        <v>871</v>
      </c>
      <c r="BR316" t="s">
        <v>82</v>
      </c>
      <c r="BS316" s="3">
        <v>45994</v>
      </c>
      <c r="BT316" s="4">
        <v>0.4236111111111111</v>
      </c>
      <c r="BU316" t="s">
        <v>910</v>
      </c>
      <c r="BV316" t="s">
        <v>84</v>
      </c>
      <c r="BY316">
        <v>1200</v>
      </c>
      <c r="CA316">
        <v>8303236124087</v>
      </c>
      <c r="CC316" t="s">
        <v>303</v>
      </c>
      <c r="CD316" s="5" t="s">
        <v>307</v>
      </c>
      <c r="CE316" t="s">
        <v>134</v>
      </c>
      <c r="CF316" s="3">
        <v>45994</v>
      </c>
      <c r="CI316">
        <v>1</v>
      </c>
      <c r="CJ316">
        <v>1</v>
      </c>
      <c r="CK316">
        <v>21</v>
      </c>
      <c r="CL316" t="s">
        <v>87</v>
      </c>
    </row>
    <row r="317" spans="1:90" x14ac:dyDescent="0.3">
      <c r="A317" t="s">
        <v>72</v>
      </c>
      <c r="B317" t="s">
        <v>73</v>
      </c>
      <c r="C317" t="s">
        <v>74</v>
      </c>
      <c r="E317" t="str">
        <f>"080069627132"</f>
        <v>080069627132</v>
      </c>
      <c r="F317" s="3">
        <v>45993</v>
      </c>
      <c r="G317">
        <v>202609</v>
      </c>
      <c r="H317" t="s">
        <v>75</v>
      </c>
      <c r="I317" t="s">
        <v>76</v>
      </c>
      <c r="J317" t="s">
        <v>77</v>
      </c>
      <c r="K317" t="s">
        <v>78</v>
      </c>
      <c r="L317" t="s">
        <v>100</v>
      </c>
      <c r="M317" t="s">
        <v>101</v>
      </c>
      <c r="N317" t="s">
        <v>166</v>
      </c>
      <c r="O317" t="s">
        <v>89</v>
      </c>
      <c r="P317" t="str">
        <f>"4170071571                    "</f>
        <v xml:space="preserve">4170071571                    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38.909999999999997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1</v>
      </c>
      <c r="BI317">
        <v>3</v>
      </c>
      <c r="BJ317">
        <v>3.1</v>
      </c>
      <c r="BK317">
        <v>3.5</v>
      </c>
      <c r="BL317">
        <v>127.34</v>
      </c>
      <c r="BM317">
        <v>19.100000000000001</v>
      </c>
      <c r="BN317">
        <v>146.44</v>
      </c>
      <c r="BO317">
        <v>146.44</v>
      </c>
      <c r="BQ317" t="s">
        <v>167</v>
      </c>
      <c r="BR317" t="s">
        <v>82</v>
      </c>
      <c r="BS317" s="3">
        <v>45994</v>
      </c>
      <c r="BT317" s="4">
        <v>0.38819444444444445</v>
      </c>
      <c r="BU317" t="s">
        <v>911</v>
      </c>
      <c r="BV317" t="s">
        <v>84</v>
      </c>
      <c r="BY317">
        <v>15360</v>
      </c>
      <c r="CA317" t="s">
        <v>912</v>
      </c>
      <c r="CC317" t="s">
        <v>101</v>
      </c>
      <c r="CD317">
        <v>4000</v>
      </c>
      <c r="CE317" t="s">
        <v>86</v>
      </c>
      <c r="CF317" s="3">
        <v>45994</v>
      </c>
      <c r="CI317">
        <v>1</v>
      </c>
      <c r="CJ317">
        <v>1</v>
      </c>
      <c r="CK317">
        <v>21</v>
      </c>
      <c r="CL317" t="s">
        <v>87</v>
      </c>
    </row>
    <row r="318" spans="1:90" x14ac:dyDescent="0.3">
      <c r="A318" t="s">
        <v>72</v>
      </c>
      <c r="B318" t="s">
        <v>73</v>
      </c>
      <c r="C318" t="s">
        <v>74</v>
      </c>
      <c r="E318" t="str">
        <f>"080069627138"</f>
        <v>080069627138</v>
      </c>
      <c r="F318" s="3">
        <v>45993</v>
      </c>
      <c r="G318">
        <v>202609</v>
      </c>
      <c r="H318" t="s">
        <v>75</v>
      </c>
      <c r="I318" t="s">
        <v>76</v>
      </c>
      <c r="J318" t="s">
        <v>77</v>
      </c>
      <c r="K318" t="s">
        <v>78</v>
      </c>
      <c r="L318" t="s">
        <v>141</v>
      </c>
      <c r="M318" t="s">
        <v>142</v>
      </c>
      <c r="N318" t="s">
        <v>851</v>
      </c>
      <c r="O318" t="s">
        <v>89</v>
      </c>
      <c r="P318" t="str">
        <f>"4170071495                    "</f>
        <v xml:space="preserve">4170071495                    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22.24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1</v>
      </c>
      <c r="BI318">
        <v>1</v>
      </c>
      <c r="BJ318">
        <v>0.2</v>
      </c>
      <c r="BK318">
        <v>1</v>
      </c>
      <c r="BL318">
        <v>72.78</v>
      </c>
      <c r="BM318">
        <v>10.92</v>
      </c>
      <c r="BN318">
        <v>83.7</v>
      </c>
      <c r="BO318">
        <v>83.7</v>
      </c>
      <c r="BQ318" t="s">
        <v>852</v>
      </c>
      <c r="BR318" t="s">
        <v>82</v>
      </c>
      <c r="BS318" s="3">
        <v>45994</v>
      </c>
      <c r="BT318" s="4">
        <v>0.39097222222222222</v>
      </c>
      <c r="BU318" t="s">
        <v>853</v>
      </c>
      <c r="BV318" t="s">
        <v>84</v>
      </c>
      <c r="BY318">
        <v>1200</v>
      </c>
      <c r="CA318" t="s">
        <v>569</v>
      </c>
      <c r="CC318" t="s">
        <v>142</v>
      </c>
      <c r="CD318">
        <v>6001</v>
      </c>
      <c r="CE318" t="s">
        <v>134</v>
      </c>
      <c r="CF318" s="3">
        <v>45994</v>
      </c>
      <c r="CI318">
        <v>1</v>
      </c>
      <c r="CJ318">
        <v>1</v>
      </c>
      <c r="CK318">
        <v>21</v>
      </c>
      <c r="CL318" t="s">
        <v>87</v>
      </c>
    </row>
    <row r="319" spans="1:90" x14ac:dyDescent="0.3">
      <c r="A319" t="s">
        <v>72</v>
      </c>
      <c r="B319" t="s">
        <v>73</v>
      </c>
      <c r="C319" t="s">
        <v>74</v>
      </c>
      <c r="E319" t="str">
        <f>"080069627147"</f>
        <v>080069627147</v>
      </c>
      <c r="F319" s="3">
        <v>45993</v>
      </c>
      <c r="G319">
        <v>202609</v>
      </c>
      <c r="H319" t="s">
        <v>75</v>
      </c>
      <c r="I319" t="s">
        <v>76</v>
      </c>
      <c r="J319" t="s">
        <v>77</v>
      </c>
      <c r="K319" t="s">
        <v>78</v>
      </c>
      <c r="L319" t="s">
        <v>141</v>
      </c>
      <c r="M319" t="s">
        <v>142</v>
      </c>
      <c r="N319" t="s">
        <v>789</v>
      </c>
      <c r="O319" t="s">
        <v>80</v>
      </c>
      <c r="P319" t="str">
        <f>"4170071572                    "</f>
        <v xml:space="preserve">4170071572                    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66.11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1</v>
      </c>
      <c r="BI319">
        <v>27.8</v>
      </c>
      <c r="BJ319">
        <v>10.1</v>
      </c>
      <c r="BK319">
        <v>28</v>
      </c>
      <c r="BL319">
        <v>222.47</v>
      </c>
      <c r="BM319">
        <v>33.369999999999997</v>
      </c>
      <c r="BN319">
        <v>255.84</v>
      </c>
      <c r="BO319">
        <v>255.84</v>
      </c>
      <c r="BQ319" t="s">
        <v>790</v>
      </c>
      <c r="BR319" t="s">
        <v>82</v>
      </c>
      <c r="BS319" s="3">
        <v>45995</v>
      </c>
      <c r="BT319" s="4">
        <v>0.39652777777777776</v>
      </c>
      <c r="BU319" t="s">
        <v>836</v>
      </c>
      <c r="BV319" t="s">
        <v>84</v>
      </c>
      <c r="BY319">
        <v>50354.720000000001</v>
      </c>
      <c r="CA319" t="s">
        <v>277</v>
      </c>
      <c r="CC319" t="s">
        <v>142</v>
      </c>
      <c r="CD319">
        <v>6001</v>
      </c>
      <c r="CE319" t="s">
        <v>86</v>
      </c>
      <c r="CF319" s="3">
        <v>45995</v>
      </c>
      <c r="CI319">
        <v>3</v>
      </c>
      <c r="CJ319">
        <v>2</v>
      </c>
      <c r="CK319">
        <v>41</v>
      </c>
      <c r="CL319" t="s">
        <v>87</v>
      </c>
    </row>
    <row r="320" spans="1:90" x14ac:dyDescent="0.3">
      <c r="A320" t="s">
        <v>72</v>
      </c>
      <c r="B320" t="s">
        <v>73</v>
      </c>
      <c r="C320" t="s">
        <v>74</v>
      </c>
      <c r="E320" t="str">
        <f>"080069627148"</f>
        <v>080069627148</v>
      </c>
      <c r="F320" s="3">
        <v>45993</v>
      </c>
      <c r="G320">
        <v>202609</v>
      </c>
      <c r="H320" t="s">
        <v>75</v>
      </c>
      <c r="I320" t="s">
        <v>76</v>
      </c>
      <c r="J320" t="s">
        <v>77</v>
      </c>
      <c r="K320" t="s">
        <v>78</v>
      </c>
      <c r="L320" t="s">
        <v>265</v>
      </c>
      <c r="M320" t="s">
        <v>266</v>
      </c>
      <c r="N320" t="s">
        <v>857</v>
      </c>
      <c r="O320" t="s">
        <v>89</v>
      </c>
      <c r="P320" t="str">
        <f>"4170071578                    "</f>
        <v xml:space="preserve">4170071578                    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17.37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1</v>
      </c>
      <c r="BI320">
        <v>1</v>
      </c>
      <c r="BJ320">
        <v>0.2</v>
      </c>
      <c r="BK320">
        <v>1</v>
      </c>
      <c r="BL320">
        <v>56.85</v>
      </c>
      <c r="BM320">
        <v>8.5299999999999994</v>
      </c>
      <c r="BN320">
        <v>65.38</v>
      </c>
      <c r="BO320">
        <v>65.38</v>
      </c>
      <c r="BQ320" t="s">
        <v>858</v>
      </c>
      <c r="BR320" t="s">
        <v>82</v>
      </c>
      <c r="BS320" s="3">
        <v>45994</v>
      </c>
      <c r="BT320" s="4">
        <v>0.33819444444444446</v>
      </c>
      <c r="BU320" t="s">
        <v>913</v>
      </c>
      <c r="BV320" t="s">
        <v>84</v>
      </c>
      <c r="BY320">
        <v>1200</v>
      </c>
      <c r="CA320" t="s">
        <v>417</v>
      </c>
      <c r="CC320" t="s">
        <v>266</v>
      </c>
      <c r="CD320">
        <v>1459</v>
      </c>
      <c r="CE320" t="s">
        <v>134</v>
      </c>
      <c r="CF320" s="3">
        <v>45994</v>
      </c>
      <c r="CI320">
        <v>1</v>
      </c>
      <c r="CJ320">
        <v>1</v>
      </c>
      <c r="CK320">
        <v>22</v>
      </c>
      <c r="CL320" t="s">
        <v>87</v>
      </c>
    </row>
    <row r="321" spans="1:90" x14ac:dyDescent="0.3">
      <c r="A321" t="s">
        <v>72</v>
      </c>
      <c r="B321" t="s">
        <v>73</v>
      </c>
      <c r="C321" t="s">
        <v>74</v>
      </c>
      <c r="E321" t="str">
        <f>"R080069578021"</f>
        <v>R080069578021</v>
      </c>
      <c r="F321" s="3">
        <v>45994</v>
      </c>
      <c r="G321">
        <v>202609</v>
      </c>
      <c r="H321" t="s">
        <v>100</v>
      </c>
      <c r="I321" t="s">
        <v>101</v>
      </c>
      <c r="J321" t="s">
        <v>234</v>
      </c>
      <c r="K321" t="s">
        <v>78</v>
      </c>
      <c r="L321" t="s">
        <v>302</v>
      </c>
      <c r="M321" t="s">
        <v>303</v>
      </c>
      <c r="N321" t="s">
        <v>234</v>
      </c>
      <c r="O321" t="s">
        <v>80</v>
      </c>
      <c r="P321" t="str">
        <f>"4170071291                    "</f>
        <v xml:space="preserve">4170071291                    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49.36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1</v>
      </c>
      <c r="BI321">
        <v>1</v>
      </c>
      <c r="BJ321">
        <v>2.6</v>
      </c>
      <c r="BK321">
        <v>3</v>
      </c>
      <c r="BL321">
        <v>153.19999999999999</v>
      </c>
      <c r="BM321">
        <v>22.98</v>
      </c>
      <c r="BN321">
        <v>176.18</v>
      </c>
      <c r="BO321">
        <v>176.18</v>
      </c>
      <c r="BQ321" t="s">
        <v>914</v>
      </c>
      <c r="BR321" t="s">
        <v>235</v>
      </c>
      <c r="BS321" s="3">
        <v>45996</v>
      </c>
      <c r="BT321" s="4">
        <v>0.4375</v>
      </c>
      <c r="BU321" t="s">
        <v>915</v>
      </c>
      <c r="BV321" t="s">
        <v>87</v>
      </c>
      <c r="BY321">
        <v>12816</v>
      </c>
      <c r="CC321" t="s">
        <v>303</v>
      </c>
      <c r="CD321" s="5" t="s">
        <v>916</v>
      </c>
      <c r="CE321" t="s">
        <v>233</v>
      </c>
      <c r="CI321">
        <v>1</v>
      </c>
      <c r="CJ321">
        <v>2</v>
      </c>
      <c r="CK321">
        <v>41</v>
      </c>
      <c r="CL321" t="s">
        <v>87</v>
      </c>
    </row>
    <row r="322" spans="1:90" x14ac:dyDescent="0.3">
      <c r="A322" t="s">
        <v>72</v>
      </c>
      <c r="B322" t="s">
        <v>73</v>
      </c>
      <c r="C322" t="s">
        <v>74</v>
      </c>
      <c r="E322" t="str">
        <f>"080011697422"</f>
        <v>080011697422</v>
      </c>
      <c r="F322" s="3">
        <v>45994</v>
      </c>
      <c r="G322">
        <v>202609</v>
      </c>
      <c r="H322" t="s">
        <v>141</v>
      </c>
      <c r="I322" t="s">
        <v>142</v>
      </c>
      <c r="J322" t="s">
        <v>917</v>
      </c>
      <c r="K322" t="s">
        <v>78</v>
      </c>
      <c r="L322" t="s">
        <v>75</v>
      </c>
      <c r="M322" t="s">
        <v>76</v>
      </c>
      <c r="N322" t="s">
        <v>598</v>
      </c>
      <c r="O322" t="s">
        <v>89</v>
      </c>
      <c r="P322" t="str">
        <f>"ZA1001431916                  "</f>
        <v xml:space="preserve">ZA1001431916                  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38.28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1</v>
      </c>
      <c r="BI322">
        <v>3</v>
      </c>
      <c r="BJ322">
        <v>2.4</v>
      </c>
      <c r="BK322">
        <v>3</v>
      </c>
      <c r="BL322">
        <v>114.08</v>
      </c>
      <c r="BM322">
        <v>17.11</v>
      </c>
      <c r="BN322">
        <v>131.19</v>
      </c>
      <c r="BO322">
        <v>131.19</v>
      </c>
      <c r="BQ322" t="s">
        <v>599</v>
      </c>
      <c r="BR322" t="s">
        <v>918</v>
      </c>
      <c r="BS322" s="3">
        <v>45995</v>
      </c>
      <c r="BT322" s="4">
        <v>0.43055555555555558</v>
      </c>
      <c r="BU322" t="s">
        <v>601</v>
      </c>
      <c r="BV322" t="s">
        <v>84</v>
      </c>
      <c r="BY322">
        <v>12000</v>
      </c>
      <c r="BZ322" t="s">
        <v>271</v>
      </c>
      <c r="CA322" t="s">
        <v>602</v>
      </c>
      <c r="CC322" t="s">
        <v>76</v>
      </c>
      <c r="CD322">
        <v>1619</v>
      </c>
      <c r="CE322" t="s">
        <v>603</v>
      </c>
      <c r="CF322" s="3">
        <v>45995</v>
      </c>
      <c r="CI322">
        <v>1</v>
      </c>
      <c r="CJ322">
        <v>1</v>
      </c>
      <c r="CK322">
        <v>21</v>
      </c>
      <c r="CL322" t="s">
        <v>87</v>
      </c>
    </row>
    <row r="323" spans="1:90" x14ac:dyDescent="0.3">
      <c r="A323" t="s">
        <v>72</v>
      </c>
      <c r="B323" t="s">
        <v>73</v>
      </c>
      <c r="C323" t="s">
        <v>74</v>
      </c>
      <c r="E323" t="str">
        <f>"080069645878"</f>
        <v>080069645878</v>
      </c>
      <c r="F323" s="3">
        <v>45994</v>
      </c>
      <c r="G323">
        <v>202609</v>
      </c>
      <c r="H323" t="s">
        <v>75</v>
      </c>
      <c r="I323" t="s">
        <v>76</v>
      </c>
      <c r="J323" t="s">
        <v>77</v>
      </c>
      <c r="K323" t="s">
        <v>78</v>
      </c>
      <c r="L323" t="s">
        <v>94</v>
      </c>
      <c r="M323" t="s">
        <v>95</v>
      </c>
      <c r="N323" t="s">
        <v>919</v>
      </c>
      <c r="O323" t="s">
        <v>89</v>
      </c>
      <c r="P323" t="str">
        <f>"4170071619                    "</f>
        <v xml:space="preserve">4170071619                    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25.52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1</v>
      </c>
      <c r="BI323">
        <v>1</v>
      </c>
      <c r="BJ323">
        <v>0.2</v>
      </c>
      <c r="BK323">
        <v>1</v>
      </c>
      <c r="BL323">
        <v>76.06</v>
      </c>
      <c r="BM323">
        <v>11.41</v>
      </c>
      <c r="BN323">
        <v>87.47</v>
      </c>
      <c r="BO323">
        <v>87.47</v>
      </c>
      <c r="BQ323" t="s">
        <v>920</v>
      </c>
      <c r="BR323" t="s">
        <v>82</v>
      </c>
      <c r="BS323" s="3">
        <v>45995</v>
      </c>
      <c r="BT323" s="4">
        <v>0.4375</v>
      </c>
      <c r="BU323" t="s">
        <v>921</v>
      </c>
      <c r="BV323" t="s">
        <v>84</v>
      </c>
      <c r="BY323">
        <v>1200</v>
      </c>
      <c r="CA323" t="s">
        <v>922</v>
      </c>
      <c r="CC323" t="s">
        <v>95</v>
      </c>
      <c r="CD323">
        <v>3610</v>
      </c>
      <c r="CE323" t="s">
        <v>134</v>
      </c>
      <c r="CF323" s="3">
        <v>45995</v>
      </c>
      <c r="CI323">
        <v>1</v>
      </c>
      <c r="CJ323">
        <v>1</v>
      </c>
      <c r="CK323">
        <v>21</v>
      </c>
      <c r="CL323" t="s">
        <v>87</v>
      </c>
    </row>
    <row r="324" spans="1:90" x14ac:dyDescent="0.3">
      <c r="A324" t="s">
        <v>72</v>
      </c>
      <c r="B324" t="s">
        <v>73</v>
      </c>
      <c r="C324" t="s">
        <v>74</v>
      </c>
      <c r="E324" t="str">
        <f>"080069645911"</f>
        <v>080069645911</v>
      </c>
      <c r="F324" s="3">
        <v>45994</v>
      </c>
      <c r="G324">
        <v>202609</v>
      </c>
      <c r="H324" t="s">
        <v>75</v>
      </c>
      <c r="I324" t="s">
        <v>76</v>
      </c>
      <c r="J324" t="s">
        <v>77</v>
      </c>
      <c r="K324" t="s">
        <v>78</v>
      </c>
      <c r="L324" t="s">
        <v>272</v>
      </c>
      <c r="M324" t="s">
        <v>273</v>
      </c>
      <c r="N324" t="s">
        <v>923</v>
      </c>
      <c r="O324" t="s">
        <v>89</v>
      </c>
      <c r="P324" t="str">
        <f>"4170071603                    "</f>
        <v xml:space="preserve">4170071603                    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25.52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1</v>
      </c>
      <c r="BI324">
        <v>1</v>
      </c>
      <c r="BJ324">
        <v>0.2</v>
      </c>
      <c r="BK324">
        <v>1</v>
      </c>
      <c r="BL324">
        <v>76.06</v>
      </c>
      <c r="BM324">
        <v>11.41</v>
      </c>
      <c r="BN324">
        <v>87.47</v>
      </c>
      <c r="BO324">
        <v>87.47</v>
      </c>
      <c r="BQ324" t="s">
        <v>924</v>
      </c>
      <c r="BR324" t="s">
        <v>82</v>
      </c>
      <c r="BS324" s="3">
        <v>45995</v>
      </c>
      <c r="BT324" s="4">
        <v>0.42708333333333331</v>
      </c>
      <c r="BU324" t="s">
        <v>925</v>
      </c>
      <c r="BV324" t="s">
        <v>84</v>
      </c>
      <c r="BY324">
        <v>1200</v>
      </c>
      <c r="CA324" t="s">
        <v>277</v>
      </c>
      <c r="CC324" t="s">
        <v>273</v>
      </c>
      <c r="CD324">
        <v>6220</v>
      </c>
      <c r="CE324" t="s">
        <v>134</v>
      </c>
      <c r="CF324" s="3">
        <v>45995</v>
      </c>
      <c r="CI324">
        <v>1</v>
      </c>
      <c r="CJ324">
        <v>1</v>
      </c>
      <c r="CK324">
        <v>21</v>
      </c>
      <c r="CL324" t="s">
        <v>87</v>
      </c>
    </row>
    <row r="325" spans="1:90" x14ac:dyDescent="0.3">
      <c r="A325" t="s">
        <v>72</v>
      </c>
      <c r="B325" t="s">
        <v>73</v>
      </c>
      <c r="C325" t="s">
        <v>74</v>
      </c>
      <c r="E325" t="str">
        <f>"080069645989"</f>
        <v>080069645989</v>
      </c>
      <c r="F325" s="3">
        <v>45994</v>
      </c>
      <c r="G325">
        <v>202609</v>
      </c>
      <c r="H325" t="s">
        <v>75</v>
      </c>
      <c r="I325" t="s">
        <v>76</v>
      </c>
      <c r="J325" t="s">
        <v>77</v>
      </c>
      <c r="K325" t="s">
        <v>78</v>
      </c>
      <c r="L325" t="s">
        <v>926</v>
      </c>
      <c r="M325" t="s">
        <v>927</v>
      </c>
      <c r="N325" t="s">
        <v>928</v>
      </c>
      <c r="O325" t="s">
        <v>80</v>
      </c>
      <c r="P325" t="str">
        <f>"4170071409                    "</f>
        <v xml:space="preserve">4170071409                    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48.09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1</v>
      </c>
      <c r="BI325">
        <v>24</v>
      </c>
      <c r="BJ325">
        <v>9.4</v>
      </c>
      <c r="BK325">
        <v>24</v>
      </c>
      <c r="BL325">
        <v>149.41</v>
      </c>
      <c r="BM325">
        <v>22.41</v>
      </c>
      <c r="BN325">
        <v>171.82</v>
      </c>
      <c r="BO325">
        <v>171.82</v>
      </c>
      <c r="BQ325" t="s">
        <v>929</v>
      </c>
      <c r="BR325" t="s">
        <v>82</v>
      </c>
      <c r="BS325" s="3">
        <v>45995</v>
      </c>
      <c r="BT325" s="4">
        <v>0.4236111111111111</v>
      </c>
      <c r="BU325" t="s">
        <v>930</v>
      </c>
      <c r="BV325" t="s">
        <v>84</v>
      </c>
      <c r="BY325">
        <v>46816</v>
      </c>
      <c r="CC325" t="s">
        <v>927</v>
      </c>
      <c r="CD325">
        <v>1682</v>
      </c>
      <c r="CE325" t="s">
        <v>86</v>
      </c>
      <c r="CF325" s="3">
        <v>45996</v>
      </c>
      <c r="CI325">
        <v>1</v>
      </c>
      <c r="CJ325">
        <v>1</v>
      </c>
      <c r="CK325">
        <v>42</v>
      </c>
      <c r="CL325" t="s">
        <v>87</v>
      </c>
    </row>
    <row r="326" spans="1:90" x14ac:dyDescent="0.3">
      <c r="A326" t="s">
        <v>72</v>
      </c>
      <c r="B326" t="s">
        <v>73</v>
      </c>
      <c r="C326" t="s">
        <v>74</v>
      </c>
      <c r="E326" t="str">
        <f>"080069646032"</f>
        <v>080069646032</v>
      </c>
      <c r="F326" s="3">
        <v>45994</v>
      </c>
      <c r="G326">
        <v>202609</v>
      </c>
      <c r="H326" t="s">
        <v>75</v>
      </c>
      <c r="I326" t="s">
        <v>76</v>
      </c>
      <c r="J326" t="s">
        <v>77</v>
      </c>
      <c r="K326" t="s">
        <v>78</v>
      </c>
      <c r="L326" t="s">
        <v>926</v>
      </c>
      <c r="M326" t="s">
        <v>927</v>
      </c>
      <c r="N326" t="s">
        <v>928</v>
      </c>
      <c r="O326" t="s">
        <v>80</v>
      </c>
      <c r="P326" t="str">
        <f>"4170071413                    "</f>
        <v xml:space="preserve">4170071413                    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49.2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1</v>
      </c>
      <c r="BI326">
        <v>25</v>
      </c>
      <c r="BJ326">
        <v>12.3</v>
      </c>
      <c r="BK326">
        <v>25</v>
      </c>
      <c r="BL326">
        <v>152.72</v>
      </c>
      <c r="BM326">
        <v>22.91</v>
      </c>
      <c r="BN326">
        <v>175.63</v>
      </c>
      <c r="BO326">
        <v>175.63</v>
      </c>
      <c r="BQ326" t="s">
        <v>929</v>
      </c>
      <c r="BR326" t="s">
        <v>82</v>
      </c>
      <c r="BS326" s="3">
        <v>45995</v>
      </c>
      <c r="BT326" s="4">
        <v>0.4236111111111111</v>
      </c>
      <c r="BU326" t="s">
        <v>930</v>
      </c>
      <c r="BV326" t="s">
        <v>84</v>
      </c>
      <c r="BY326">
        <v>61712</v>
      </c>
      <c r="CC326" t="s">
        <v>927</v>
      </c>
      <c r="CD326">
        <v>1682</v>
      </c>
      <c r="CE326" t="s">
        <v>86</v>
      </c>
      <c r="CF326" s="3">
        <v>45996</v>
      </c>
      <c r="CI326">
        <v>1</v>
      </c>
      <c r="CJ326">
        <v>1</v>
      </c>
      <c r="CK326">
        <v>42</v>
      </c>
      <c r="CL326" t="s">
        <v>87</v>
      </c>
    </row>
    <row r="327" spans="1:90" x14ac:dyDescent="0.3">
      <c r="A327" t="s">
        <v>72</v>
      </c>
      <c r="B327" t="s">
        <v>73</v>
      </c>
      <c r="C327" t="s">
        <v>74</v>
      </c>
      <c r="E327" t="str">
        <f>"080069646098"</f>
        <v>080069646098</v>
      </c>
      <c r="F327" s="3">
        <v>45994</v>
      </c>
      <c r="G327">
        <v>202609</v>
      </c>
      <c r="H327" t="s">
        <v>75</v>
      </c>
      <c r="I327" t="s">
        <v>76</v>
      </c>
      <c r="J327" t="s">
        <v>77</v>
      </c>
      <c r="K327" t="s">
        <v>78</v>
      </c>
      <c r="L327" t="s">
        <v>926</v>
      </c>
      <c r="M327" t="s">
        <v>927</v>
      </c>
      <c r="N327" t="s">
        <v>928</v>
      </c>
      <c r="O327" t="s">
        <v>340</v>
      </c>
      <c r="P327" t="str">
        <f>"4170071390                    "</f>
        <v xml:space="preserve">4170071390                    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19.940000000000001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1</v>
      </c>
      <c r="BI327">
        <v>2</v>
      </c>
      <c r="BJ327">
        <v>3.4</v>
      </c>
      <c r="BK327">
        <v>4</v>
      </c>
      <c r="BL327">
        <v>59.43</v>
      </c>
      <c r="BM327">
        <v>8.91</v>
      </c>
      <c r="BN327">
        <v>68.34</v>
      </c>
      <c r="BO327">
        <v>68.34</v>
      </c>
      <c r="BQ327" t="s">
        <v>929</v>
      </c>
      <c r="BR327" t="s">
        <v>82</v>
      </c>
      <c r="BS327" s="3">
        <v>45995</v>
      </c>
      <c r="BT327" s="4">
        <v>0.4236111111111111</v>
      </c>
      <c r="BU327" t="s">
        <v>930</v>
      </c>
      <c r="BV327" t="s">
        <v>84</v>
      </c>
      <c r="BY327">
        <v>16965</v>
      </c>
      <c r="CC327" t="s">
        <v>927</v>
      </c>
      <c r="CD327">
        <v>1682</v>
      </c>
      <c r="CE327" t="s">
        <v>86</v>
      </c>
      <c r="CF327" s="3">
        <v>45996</v>
      </c>
      <c r="CI327">
        <v>1</v>
      </c>
      <c r="CJ327">
        <v>1</v>
      </c>
      <c r="CK327">
        <v>32</v>
      </c>
      <c r="CL327" t="s">
        <v>87</v>
      </c>
    </row>
    <row r="328" spans="1:90" x14ac:dyDescent="0.3">
      <c r="A328" t="s">
        <v>72</v>
      </c>
      <c r="B328" t="s">
        <v>73</v>
      </c>
      <c r="C328" t="s">
        <v>74</v>
      </c>
      <c r="E328" t="str">
        <f>"080069646154"</f>
        <v>080069646154</v>
      </c>
      <c r="F328" s="3">
        <v>45994</v>
      </c>
      <c r="G328">
        <v>202609</v>
      </c>
      <c r="H328" t="s">
        <v>75</v>
      </c>
      <c r="I328" t="s">
        <v>76</v>
      </c>
      <c r="J328" t="s">
        <v>77</v>
      </c>
      <c r="K328" t="s">
        <v>78</v>
      </c>
      <c r="L328" t="s">
        <v>513</v>
      </c>
      <c r="M328" t="s">
        <v>514</v>
      </c>
      <c r="N328" t="s">
        <v>515</v>
      </c>
      <c r="O328" t="s">
        <v>89</v>
      </c>
      <c r="P328" t="str">
        <f>"4170071587                    "</f>
        <v xml:space="preserve">4170071587                    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82.95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1</v>
      </c>
      <c r="BI328">
        <v>2</v>
      </c>
      <c r="BJ328">
        <v>3.1</v>
      </c>
      <c r="BK328">
        <v>3.5</v>
      </c>
      <c r="BL328">
        <v>247.21</v>
      </c>
      <c r="BM328">
        <v>37.08</v>
      </c>
      <c r="BN328">
        <v>284.29000000000002</v>
      </c>
      <c r="BO328">
        <v>284.29000000000002</v>
      </c>
      <c r="BQ328" t="s">
        <v>516</v>
      </c>
      <c r="BR328" t="s">
        <v>82</v>
      </c>
      <c r="BS328" s="3">
        <v>45996</v>
      </c>
      <c r="BT328" s="4">
        <v>0.75</v>
      </c>
      <c r="BU328" t="s">
        <v>931</v>
      </c>
      <c r="BV328" t="s">
        <v>84</v>
      </c>
      <c r="BY328">
        <v>15360</v>
      </c>
      <c r="CA328" t="s">
        <v>932</v>
      </c>
      <c r="CC328" t="s">
        <v>514</v>
      </c>
      <c r="CD328">
        <v>6300</v>
      </c>
      <c r="CE328" t="s">
        <v>933</v>
      </c>
      <c r="CI328">
        <v>2</v>
      </c>
      <c r="CJ328">
        <v>2</v>
      </c>
      <c r="CK328">
        <v>23</v>
      </c>
      <c r="CL328" t="s">
        <v>87</v>
      </c>
    </row>
    <row r="329" spans="1:90" x14ac:dyDescent="0.3">
      <c r="A329" t="s">
        <v>72</v>
      </c>
      <c r="B329" t="s">
        <v>73</v>
      </c>
      <c r="C329" t="s">
        <v>74</v>
      </c>
      <c r="E329" t="str">
        <f>"080069646181"</f>
        <v>080069646181</v>
      </c>
      <c r="F329" s="3">
        <v>45994</v>
      </c>
      <c r="G329">
        <v>202609</v>
      </c>
      <c r="H329" t="s">
        <v>75</v>
      </c>
      <c r="I329" t="s">
        <v>76</v>
      </c>
      <c r="J329" t="s">
        <v>77</v>
      </c>
      <c r="K329" t="s">
        <v>78</v>
      </c>
      <c r="L329" t="s">
        <v>141</v>
      </c>
      <c r="M329" t="s">
        <v>142</v>
      </c>
      <c r="N329" t="s">
        <v>630</v>
      </c>
      <c r="O329" t="s">
        <v>89</v>
      </c>
      <c r="P329" t="str">
        <f>"4170071592                    "</f>
        <v xml:space="preserve">4170071592                    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25.52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1</v>
      </c>
      <c r="BI329">
        <v>1</v>
      </c>
      <c r="BJ329">
        <v>0.9</v>
      </c>
      <c r="BK329">
        <v>1</v>
      </c>
      <c r="BL329">
        <v>76.06</v>
      </c>
      <c r="BM329">
        <v>11.41</v>
      </c>
      <c r="BN329">
        <v>87.47</v>
      </c>
      <c r="BO329">
        <v>87.47</v>
      </c>
      <c r="BQ329" t="s">
        <v>631</v>
      </c>
      <c r="BR329" t="s">
        <v>82</v>
      </c>
      <c r="BS329" s="3">
        <v>45995</v>
      </c>
      <c r="BT329" s="4">
        <v>0.38055555555555554</v>
      </c>
      <c r="BU329" t="s">
        <v>223</v>
      </c>
      <c r="BV329" t="s">
        <v>84</v>
      </c>
      <c r="BY329">
        <v>4275</v>
      </c>
      <c r="BZ329" t="s">
        <v>271</v>
      </c>
      <c r="CA329" t="s">
        <v>224</v>
      </c>
      <c r="CC329" t="s">
        <v>142</v>
      </c>
      <c r="CD329">
        <v>6001</v>
      </c>
      <c r="CE329" t="s">
        <v>147</v>
      </c>
      <c r="CF329" s="3">
        <v>45995</v>
      </c>
      <c r="CI329">
        <v>1</v>
      </c>
      <c r="CJ329">
        <v>1</v>
      </c>
      <c r="CK329">
        <v>21</v>
      </c>
      <c r="CL329" t="s">
        <v>87</v>
      </c>
    </row>
    <row r="330" spans="1:90" x14ac:dyDescent="0.3">
      <c r="A330" t="s">
        <v>72</v>
      </c>
      <c r="B330" t="s">
        <v>73</v>
      </c>
      <c r="C330" t="s">
        <v>74</v>
      </c>
      <c r="E330" t="str">
        <f>"080069646297"</f>
        <v>080069646297</v>
      </c>
      <c r="F330" s="3">
        <v>45994</v>
      </c>
      <c r="G330">
        <v>202609</v>
      </c>
      <c r="H330" t="s">
        <v>75</v>
      </c>
      <c r="I330" t="s">
        <v>76</v>
      </c>
      <c r="J330" t="s">
        <v>77</v>
      </c>
      <c r="K330" t="s">
        <v>78</v>
      </c>
      <c r="L330" t="s">
        <v>141</v>
      </c>
      <c r="M330" t="s">
        <v>142</v>
      </c>
      <c r="N330" t="s">
        <v>934</v>
      </c>
      <c r="O330" t="s">
        <v>89</v>
      </c>
      <c r="P330" t="str">
        <f>"4170071604                    "</f>
        <v xml:space="preserve">4170071604                    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38.28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1</v>
      </c>
      <c r="BI330">
        <v>3</v>
      </c>
      <c r="BJ330">
        <v>0.7</v>
      </c>
      <c r="BK330">
        <v>3</v>
      </c>
      <c r="BL330">
        <v>114.08</v>
      </c>
      <c r="BM330">
        <v>17.11</v>
      </c>
      <c r="BN330">
        <v>131.19</v>
      </c>
      <c r="BO330">
        <v>131.19</v>
      </c>
      <c r="BQ330" t="s">
        <v>935</v>
      </c>
      <c r="BR330" t="s">
        <v>82</v>
      </c>
      <c r="BS330" s="3">
        <v>45995</v>
      </c>
      <c r="BT330" s="4">
        <v>0.37916666666666665</v>
      </c>
      <c r="BU330" t="s">
        <v>936</v>
      </c>
      <c r="BV330" t="s">
        <v>84</v>
      </c>
      <c r="BY330">
        <v>3306</v>
      </c>
      <c r="CA330" t="s">
        <v>327</v>
      </c>
      <c r="CC330" t="s">
        <v>142</v>
      </c>
      <c r="CD330">
        <v>6000</v>
      </c>
      <c r="CE330" t="s">
        <v>86</v>
      </c>
      <c r="CF330" s="3">
        <v>45995</v>
      </c>
      <c r="CI330">
        <v>1</v>
      </c>
      <c r="CJ330">
        <v>1</v>
      </c>
      <c r="CK330">
        <v>21</v>
      </c>
      <c r="CL330" t="s">
        <v>87</v>
      </c>
    </row>
    <row r="331" spans="1:90" x14ac:dyDescent="0.3">
      <c r="A331" t="s">
        <v>72</v>
      </c>
      <c r="B331" t="s">
        <v>73</v>
      </c>
      <c r="C331" t="s">
        <v>74</v>
      </c>
      <c r="E331" t="str">
        <f>"080069646399"</f>
        <v>080069646399</v>
      </c>
      <c r="F331" s="3">
        <v>45994</v>
      </c>
      <c r="G331">
        <v>202609</v>
      </c>
      <c r="H331" t="s">
        <v>75</v>
      </c>
      <c r="I331" t="s">
        <v>76</v>
      </c>
      <c r="J331" t="s">
        <v>77</v>
      </c>
      <c r="K331" t="s">
        <v>78</v>
      </c>
      <c r="L331" t="s">
        <v>156</v>
      </c>
      <c r="M331" t="s">
        <v>157</v>
      </c>
      <c r="N331" t="s">
        <v>158</v>
      </c>
      <c r="O331" t="s">
        <v>89</v>
      </c>
      <c r="P331" t="str">
        <f>"4170071589                    "</f>
        <v xml:space="preserve">4170071589                    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229.62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3</v>
      </c>
      <c r="BI331">
        <v>18</v>
      </c>
      <c r="BJ331">
        <v>10.1</v>
      </c>
      <c r="BK331">
        <v>18</v>
      </c>
      <c r="BL331">
        <v>684.32</v>
      </c>
      <c r="BM331">
        <v>102.65</v>
      </c>
      <c r="BN331">
        <v>786.97</v>
      </c>
      <c r="BO331">
        <v>786.97</v>
      </c>
      <c r="BQ331" t="s">
        <v>159</v>
      </c>
      <c r="BR331" t="s">
        <v>82</v>
      </c>
      <c r="BS331" s="3">
        <v>45995</v>
      </c>
      <c r="BT331" s="4">
        <v>0.48402777777777778</v>
      </c>
      <c r="BU331" t="s">
        <v>160</v>
      </c>
      <c r="BV331" t="s">
        <v>87</v>
      </c>
      <c r="BW331" t="s">
        <v>153</v>
      </c>
      <c r="BX331" t="s">
        <v>161</v>
      </c>
      <c r="BY331">
        <v>50252</v>
      </c>
      <c r="CA331" t="s">
        <v>162</v>
      </c>
      <c r="CC331" t="s">
        <v>157</v>
      </c>
      <c r="CD331">
        <v>7530</v>
      </c>
      <c r="CE331" t="s">
        <v>134</v>
      </c>
      <c r="CF331" s="3">
        <v>45997</v>
      </c>
      <c r="CI331">
        <v>1</v>
      </c>
      <c r="CJ331">
        <v>1</v>
      </c>
      <c r="CK331">
        <v>21</v>
      </c>
      <c r="CL331" t="s">
        <v>87</v>
      </c>
    </row>
    <row r="332" spans="1:90" x14ac:dyDescent="0.3">
      <c r="A332" t="s">
        <v>72</v>
      </c>
      <c r="B332" t="s">
        <v>73</v>
      </c>
      <c r="C332" t="s">
        <v>74</v>
      </c>
      <c r="E332" t="str">
        <f>"080069646694"</f>
        <v>080069646694</v>
      </c>
      <c r="F332" s="3">
        <v>45994</v>
      </c>
      <c r="G332">
        <v>202609</v>
      </c>
      <c r="H332" t="s">
        <v>75</v>
      </c>
      <c r="I332" t="s">
        <v>76</v>
      </c>
      <c r="J332" t="s">
        <v>77</v>
      </c>
      <c r="K332" t="s">
        <v>78</v>
      </c>
      <c r="L332" t="s">
        <v>926</v>
      </c>
      <c r="M332" t="s">
        <v>927</v>
      </c>
      <c r="N332" t="s">
        <v>928</v>
      </c>
      <c r="O332" t="s">
        <v>80</v>
      </c>
      <c r="P332" t="str">
        <f>"4170070655                    "</f>
        <v xml:space="preserve">4170070655                    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81.42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2</v>
      </c>
      <c r="BI332">
        <v>54</v>
      </c>
      <c r="BJ332">
        <v>29.6</v>
      </c>
      <c r="BK332">
        <v>54</v>
      </c>
      <c r="BL332">
        <v>248.74</v>
      </c>
      <c r="BM332">
        <v>37.31</v>
      </c>
      <c r="BN332">
        <v>286.05</v>
      </c>
      <c r="BO332">
        <v>286.05</v>
      </c>
      <c r="BQ332" t="s">
        <v>929</v>
      </c>
      <c r="BR332" t="s">
        <v>82</v>
      </c>
      <c r="BS332" s="3">
        <v>45996</v>
      </c>
      <c r="BT332" s="4">
        <v>0.44791666666666669</v>
      </c>
      <c r="BU332" t="s">
        <v>937</v>
      </c>
      <c r="BV332" t="s">
        <v>87</v>
      </c>
      <c r="BW332" t="s">
        <v>174</v>
      </c>
      <c r="BX332" t="s">
        <v>938</v>
      </c>
      <c r="BY332">
        <v>73997</v>
      </c>
      <c r="CC332" t="s">
        <v>927</v>
      </c>
      <c r="CD332">
        <v>1682</v>
      </c>
      <c r="CE332" t="s">
        <v>939</v>
      </c>
      <c r="CF332" s="3">
        <v>45997</v>
      </c>
      <c r="CI332">
        <v>1</v>
      </c>
      <c r="CJ332">
        <v>2</v>
      </c>
      <c r="CK332">
        <v>42</v>
      </c>
      <c r="CL332" t="s">
        <v>87</v>
      </c>
    </row>
    <row r="333" spans="1:90" x14ac:dyDescent="0.3">
      <c r="A333" t="s">
        <v>72</v>
      </c>
      <c r="B333" t="s">
        <v>73</v>
      </c>
      <c r="C333" t="s">
        <v>74</v>
      </c>
      <c r="E333" t="str">
        <f>"080069646804"</f>
        <v>080069646804</v>
      </c>
      <c r="F333" s="3">
        <v>45994</v>
      </c>
      <c r="G333">
        <v>202609</v>
      </c>
      <c r="H333" t="s">
        <v>75</v>
      </c>
      <c r="I333" t="s">
        <v>76</v>
      </c>
      <c r="J333" t="s">
        <v>77</v>
      </c>
      <c r="K333" t="s">
        <v>78</v>
      </c>
      <c r="L333" t="s">
        <v>533</v>
      </c>
      <c r="M333" t="s">
        <v>533</v>
      </c>
      <c r="N333" t="s">
        <v>907</v>
      </c>
      <c r="O333" t="s">
        <v>89</v>
      </c>
      <c r="P333" t="str">
        <f>"4170071536                    "</f>
        <v xml:space="preserve">4170071536                    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82.95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1</v>
      </c>
      <c r="BI333">
        <v>2</v>
      </c>
      <c r="BJ333">
        <v>3.4</v>
      </c>
      <c r="BK333">
        <v>3.5</v>
      </c>
      <c r="BL333">
        <v>247.21</v>
      </c>
      <c r="BM333">
        <v>37.08</v>
      </c>
      <c r="BN333">
        <v>284.29000000000002</v>
      </c>
      <c r="BO333">
        <v>284.29000000000002</v>
      </c>
      <c r="BQ333" t="s">
        <v>908</v>
      </c>
      <c r="BR333" t="s">
        <v>82</v>
      </c>
      <c r="BS333" s="3">
        <v>45995</v>
      </c>
      <c r="BT333" s="4">
        <v>0.79236111111111107</v>
      </c>
      <c r="BU333" t="s">
        <v>909</v>
      </c>
      <c r="BV333" t="s">
        <v>87</v>
      </c>
      <c r="BW333" t="s">
        <v>153</v>
      </c>
      <c r="BX333" t="s">
        <v>345</v>
      </c>
      <c r="BY333">
        <v>16965</v>
      </c>
      <c r="CA333" t="s">
        <v>537</v>
      </c>
      <c r="CC333" t="s">
        <v>533</v>
      </c>
      <c r="CD333">
        <v>7654</v>
      </c>
      <c r="CE333" t="s">
        <v>86</v>
      </c>
      <c r="CF333" s="3">
        <v>45996</v>
      </c>
      <c r="CI333">
        <v>1</v>
      </c>
      <c r="CJ333">
        <v>1</v>
      </c>
      <c r="CK333">
        <v>23</v>
      </c>
      <c r="CL333" t="s">
        <v>87</v>
      </c>
    </row>
    <row r="334" spans="1:90" x14ac:dyDescent="0.3">
      <c r="A334" t="s">
        <v>72</v>
      </c>
      <c r="B334" t="s">
        <v>73</v>
      </c>
      <c r="C334" t="s">
        <v>74</v>
      </c>
      <c r="E334" t="str">
        <f>"080069646837"</f>
        <v>080069646837</v>
      </c>
      <c r="F334" s="3">
        <v>45994</v>
      </c>
      <c r="G334">
        <v>202609</v>
      </c>
      <c r="H334" t="s">
        <v>75</v>
      </c>
      <c r="I334" t="s">
        <v>76</v>
      </c>
      <c r="J334" t="s">
        <v>77</v>
      </c>
      <c r="K334" t="s">
        <v>78</v>
      </c>
      <c r="L334" t="s">
        <v>926</v>
      </c>
      <c r="M334" t="s">
        <v>927</v>
      </c>
      <c r="N334" t="s">
        <v>928</v>
      </c>
      <c r="O334" t="s">
        <v>340</v>
      </c>
      <c r="P334" t="str">
        <f>"4170071389                    "</f>
        <v xml:space="preserve">4170071389                    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19.940000000000001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1</v>
      </c>
      <c r="BI334">
        <v>3</v>
      </c>
      <c r="BJ334">
        <v>3.4</v>
      </c>
      <c r="BK334">
        <v>4</v>
      </c>
      <c r="BL334">
        <v>59.43</v>
      </c>
      <c r="BM334">
        <v>8.91</v>
      </c>
      <c r="BN334">
        <v>68.34</v>
      </c>
      <c r="BO334">
        <v>68.34</v>
      </c>
      <c r="BQ334" t="s">
        <v>929</v>
      </c>
      <c r="BR334" t="s">
        <v>82</v>
      </c>
      <c r="BS334" s="3">
        <v>45995</v>
      </c>
      <c r="BT334" s="4">
        <v>0.4236111111111111</v>
      </c>
      <c r="BU334" t="s">
        <v>930</v>
      </c>
      <c r="BV334" t="s">
        <v>84</v>
      </c>
      <c r="BY334">
        <v>16965</v>
      </c>
      <c r="CC334" t="s">
        <v>927</v>
      </c>
      <c r="CD334">
        <v>1682</v>
      </c>
      <c r="CE334" t="s">
        <v>86</v>
      </c>
      <c r="CF334" s="3">
        <v>45996</v>
      </c>
      <c r="CI334">
        <v>1</v>
      </c>
      <c r="CJ334">
        <v>1</v>
      </c>
      <c r="CK334">
        <v>32</v>
      </c>
      <c r="CL334" t="s">
        <v>87</v>
      </c>
    </row>
    <row r="335" spans="1:90" x14ac:dyDescent="0.3">
      <c r="A335" t="s">
        <v>72</v>
      </c>
      <c r="B335" t="s">
        <v>73</v>
      </c>
      <c r="C335" t="s">
        <v>74</v>
      </c>
      <c r="E335" t="str">
        <f>"080069647066"</f>
        <v>080069647066</v>
      </c>
      <c r="F335" s="3">
        <v>45994</v>
      </c>
      <c r="G335">
        <v>202609</v>
      </c>
      <c r="H335" t="s">
        <v>75</v>
      </c>
      <c r="I335" t="s">
        <v>76</v>
      </c>
      <c r="J335" t="s">
        <v>77</v>
      </c>
      <c r="K335" t="s">
        <v>78</v>
      </c>
      <c r="L335" t="s">
        <v>926</v>
      </c>
      <c r="M335" t="s">
        <v>927</v>
      </c>
      <c r="N335" t="s">
        <v>928</v>
      </c>
      <c r="O335" t="s">
        <v>89</v>
      </c>
      <c r="P335" t="str">
        <f>"4170071623                    "</f>
        <v xml:space="preserve">4170071623                    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19.940000000000001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1</v>
      </c>
      <c r="BI335">
        <v>0.8</v>
      </c>
      <c r="BJ335">
        <v>1.3</v>
      </c>
      <c r="BK335">
        <v>2</v>
      </c>
      <c r="BL335">
        <v>59.42</v>
      </c>
      <c r="BM335">
        <v>8.91</v>
      </c>
      <c r="BN335">
        <v>68.33</v>
      </c>
      <c r="BO335">
        <v>68.33</v>
      </c>
      <c r="BQ335" t="s">
        <v>929</v>
      </c>
      <c r="BR335" t="s">
        <v>82</v>
      </c>
      <c r="BS335" s="3">
        <v>45995</v>
      </c>
      <c r="BT335" s="4">
        <v>0.4236111111111111</v>
      </c>
      <c r="BU335" t="s">
        <v>930</v>
      </c>
      <c r="BV335" t="s">
        <v>84</v>
      </c>
      <c r="BY335">
        <v>6549.4</v>
      </c>
      <c r="CC335" t="s">
        <v>927</v>
      </c>
      <c r="CD335">
        <v>1682</v>
      </c>
      <c r="CE335" t="s">
        <v>134</v>
      </c>
      <c r="CF335" s="3">
        <v>45996</v>
      </c>
      <c r="CI335">
        <v>1</v>
      </c>
      <c r="CJ335">
        <v>1</v>
      </c>
      <c r="CK335">
        <v>22</v>
      </c>
      <c r="CL335" t="s">
        <v>87</v>
      </c>
    </row>
    <row r="336" spans="1:90" x14ac:dyDescent="0.3">
      <c r="A336" t="s">
        <v>72</v>
      </c>
      <c r="B336" t="s">
        <v>73</v>
      </c>
      <c r="C336" t="s">
        <v>74</v>
      </c>
      <c r="E336" t="str">
        <f>"080069647108"</f>
        <v>080069647108</v>
      </c>
      <c r="F336" s="3">
        <v>45994</v>
      </c>
      <c r="G336">
        <v>202609</v>
      </c>
      <c r="H336" t="s">
        <v>75</v>
      </c>
      <c r="I336" t="s">
        <v>76</v>
      </c>
      <c r="J336" t="s">
        <v>77</v>
      </c>
      <c r="K336" t="s">
        <v>78</v>
      </c>
      <c r="L336" t="s">
        <v>302</v>
      </c>
      <c r="M336" t="s">
        <v>303</v>
      </c>
      <c r="N336" t="s">
        <v>940</v>
      </c>
      <c r="O336" t="s">
        <v>89</v>
      </c>
      <c r="P336" t="str">
        <f>"4170071629                    "</f>
        <v xml:space="preserve">4170071629                    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25.52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1</v>
      </c>
      <c r="BI336">
        <v>0.2</v>
      </c>
      <c r="BJ336">
        <v>1.8</v>
      </c>
      <c r="BK336">
        <v>2</v>
      </c>
      <c r="BL336">
        <v>76.06</v>
      </c>
      <c r="BM336">
        <v>11.41</v>
      </c>
      <c r="BN336">
        <v>87.47</v>
      </c>
      <c r="BO336">
        <v>87.47</v>
      </c>
      <c r="BQ336" t="s">
        <v>941</v>
      </c>
      <c r="BR336" t="s">
        <v>82</v>
      </c>
      <c r="BS336" s="3">
        <v>45995</v>
      </c>
      <c r="BT336" s="4">
        <v>0.43611111111111112</v>
      </c>
      <c r="BU336" t="s">
        <v>942</v>
      </c>
      <c r="BV336" t="s">
        <v>84</v>
      </c>
      <c r="BY336">
        <v>9076.06</v>
      </c>
      <c r="CA336">
        <v>8303236124087</v>
      </c>
      <c r="CC336" t="s">
        <v>303</v>
      </c>
      <c r="CD336" s="5" t="s">
        <v>307</v>
      </c>
      <c r="CE336" t="s">
        <v>134</v>
      </c>
      <c r="CF336" s="3">
        <v>45995</v>
      </c>
      <c r="CI336">
        <v>1</v>
      </c>
      <c r="CJ336">
        <v>1</v>
      </c>
      <c r="CK336">
        <v>21</v>
      </c>
      <c r="CL336" t="s">
        <v>87</v>
      </c>
    </row>
    <row r="337" spans="1:90" x14ac:dyDescent="0.3">
      <c r="A337" t="s">
        <v>72</v>
      </c>
      <c r="B337" t="s">
        <v>73</v>
      </c>
      <c r="C337" t="s">
        <v>74</v>
      </c>
      <c r="E337" t="str">
        <f>"080069647106"</f>
        <v>080069647106</v>
      </c>
      <c r="F337" s="3">
        <v>45994</v>
      </c>
      <c r="G337">
        <v>202609</v>
      </c>
      <c r="H337" t="s">
        <v>75</v>
      </c>
      <c r="I337" t="s">
        <v>76</v>
      </c>
      <c r="J337" t="s">
        <v>77</v>
      </c>
      <c r="K337" t="s">
        <v>78</v>
      </c>
      <c r="L337" t="s">
        <v>156</v>
      </c>
      <c r="M337" t="s">
        <v>157</v>
      </c>
      <c r="N337" t="s">
        <v>943</v>
      </c>
      <c r="O337" t="s">
        <v>89</v>
      </c>
      <c r="P337" t="str">
        <f>"4170071541                    "</f>
        <v xml:space="preserve">4170071541                    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242.38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2</v>
      </c>
      <c r="BI337">
        <v>19</v>
      </c>
      <c r="BJ337">
        <v>6.8</v>
      </c>
      <c r="BK337">
        <v>19</v>
      </c>
      <c r="BL337">
        <v>722.34</v>
      </c>
      <c r="BM337">
        <v>108.35</v>
      </c>
      <c r="BN337">
        <v>830.69</v>
      </c>
      <c r="BO337">
        <v>830.69</v>
      </c>
      <c r="BQ337" t="s">
        <v>944</v>
      </c>
      <c r="BR337" t="s">
        <v>82</v>
      </c>
      <c r="BS337" s="3">
        <v>45995</v>
      </c>
      <c r="BT337" s="4">
        <v>0.38680555555555557</v>
      </c>
      <c r="BU337" t="s">
        <v>945</v>
      </c>
      <c r="BV337" t="s">
        <v>84</v>
      </c>
      <c r="BY337">
        <v>33930</v>
      </c>
      <c r="CA337" t="s">
        <v>346</v>
      </c>
      <c r="CC337" t="s">
        <v>157</v>
      </c>
      <c r="CD337">
        <v>7530</v>
      </c>
      <c r="CE337" t="s">
        <v>86</v>
      </c>
      <c r="CF337" s="3">
        <v>45996</v>
      </c>
      <c r="CI337">
        <v>1</v>
      </c>
      <c r="CJ337">
        <v>1</v>
      </c>
      <c r="CK337">
        <v>21</v>
      </c>
      <c r="CL337" t="s">
        <v>87</v>
      </c>
    </row>
    <row r="338" spans="1:90" x14ac:dyDescent="0.3">
      <c r="A338" t="s">
        <v>72</v>
      </c>
      <c r="B338" t="s">
        <v>73</v>
      </c>
      <c r="C338" t="s">
        <v>74</v>
      </c>
      <c r="E338" t="str">
        <f>"080069647141"</f>
        <v>080069647141</v>
      </c>
      <c r="F338" s="3">
        <v>45994</v>
      </c>
      <c r="G338">
        <v>202609</v>
      </c>
      <c r="H338" t="s">
        <v>75</v>
      </c>
      <c r="I338" t="s">
        <v>76</v>
      </c>
      <c r="J338" t="s">
        <v>77</v>
      </c>
      <c r="K338" t="s">
        <v>78</v>
      </c>
      <c r="L338" t="s">
        <v>75</v>
      </c>
      <c r="M338" t="s">
        <v>76</v>
      </c>
      <c r="N338" t="s">
        <v>494</v>
      </c>
      <c r="O338" t="s">
        <v>89</v>
      </c>
      <c r="P338" t="str">
        <f>"4170071593                    "</f>
        <v xml:space="preserve">4170071593                    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19.940000000000001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1</v>
      </c>
      <c r="BI338">
        <v>0.7</v>
      </c>
      <c r="BJ338">
        <v>0.9</v>
      </c>
      <c r="BK338">
        <v>1</v>
      </c>
      <c r="BL338">
        <v>59.42</v>
      </c>
      <c r="BM338">
        <v>8.91</v>
      </c>
      <c r="BN338">
        <v>68.33</v>
      </c>
      <c r="BO338">
        <v>68.33</v>
      </c>
      <c r="BQ338" t="s">
        <v>495</v>
      </c>
      <c r="BR338" t="s">
        <v>82</v>
      </c>
      <c r="BS338" s="3">
        <v>45995</v>
      </c>
      <c r="BT338" s="4">
        <v>0.33333333333333331</v>
      </c>
      <c r="BU338" t="s">
        <v>946</v>
      </c>
      <c r="BV338" t="s">
        <v>84</v>
      </c>
      <c r="BY338">
        <v>4651.2</v>
      </c>
      <c r="CA338" t="s">
        <v>497</v>
      </c>
      <c r="CC338" t="s">
        <v>76</v>
      </c>
      <c r="CD338">
        <v>1614</v>
      </c>
      <c r="CE338" t="s">
        <v>134</v>
      </c>
      <c r="CF338" s="3">
        <v>45996</v>
      </c>
      <c r="CI338">
        <v>1</v>
      </c>
      <c r="CJ338">
        <v>1</v>
      </c>
      <c r="CK338">
        <v>22</v>
      </c>
      <c r="CL338" t="s">
        <v>87</v>
      </c>
    </row>
    <row r="339" spans="1:90" x14ac:dyDescent="0.3">
      <c r="A339" t="s">
        <v>72</v>
      </c>
      <c r="B339" t="s">
        <v>73</v>
      </c>
      <c r="C339" t="s">
        <v>74</v>
      </c>
      <c r="E339" t="str">
        <f>"080069647165"</f>
        <v>080069647165</v>
      </c>
      <c r="F339" s="3">
        <v>45994</v>
      </c>
      <c r="G339">
        <v>202609</v>
      </c>
      <c r="H339" t="s">
        <v>75</v>
      </c>
      <c r="I339" t="s">
        <v>76</v>
      </c>
      <c r="J339" t="s">
        <v>77</v>
      </c>
      <c r="K339" t="s">
        <v>78</v>
      </c>
      <c r="L339" t="s">
        <v>156</v>
      </c>
      <c r="M339" t="s">
        <v>157</v>
      </c>
      <c r="N339" t="s">
        <v>947</v>
      </c>
      <c r="O339" t="s">
        <v>89</v>
      </c>
      <c r="P339" t="str">
        <f>"4170071584                    "</f>
        <v xml:space="preserve">4170071584                    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89.3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1</v>
      </c>
      <c r="BI339">
        <v>7</v>
      </c>
      <c r="BJ339">
        <v>2.7</v>
      </c>
      <c r="BK339">
        <v>7</v>
      </c>
      <c r="BL339">
        <v>266.14</v>
      </c>
      <c r="BM339">
        <v>39.92</v>
      </c>
      <c r="BN339">
        <v>306.06</v>
      </c>
      <c r="BO339">
        <v>306.06</v>
      </c>
      <c r="BQ339" t="s">
        <v>948</v>
      </c>
      <c r="BR339" t="s">
        <v>82</v>
      </c>
      <c r="BS339" s="3">
        <v>45995</v>
      </c>
      <c r="BT339" s="4">
        <v>0.57222222222222219</v>
      </c>
      <c r="BU339" t="s">
        <v>949</v>
      </c>
      <c r="BV339" t="s">
        <v>87</v>
      </c>
      <c r="BW339" t="s">
        <v>153</v>
      </c>
      <c r="BX339" t="s">
        <v>154</v>
      </c>
      <c r="BY339">
        <v>13572</v>
      </c>
      <c r="CA339" t="s">
        <v>950</v>
      </c>
      <c r="CC339" t="s">
        <v>157</v>
      </c>
      <c r="CD339">
        <v>7500</v>
      </c>
      <c r="CE339" t="s">
        <v>86</v>
      </c>
      <c r="CF339" s="3">
        <v>45996</v>
      </c>
      <c r="CI339">
        <v>1</v>
      </c>
      <c r="CJ339">
        <v>1</v>
      </c>
      <c r="CK339">
        <v>21</v>
      </c>
      <c r="CL339" t="s">
        <v>87</v>
      </c>
    </row>
    <row r="340" spans="1:90" x14ac:dyDescent="0.3">
      <c r="A340" t="s">
        <v>72</v>
      </c>
      <c r="B340" t="s">
        <v>73</v>
      </c>
      <c r="C340" t="s">
        <v>74</v>
      </c>
      <c r="E340" t="str">
        <f>"080069647166"</f>
        <v>080069647166</v>
      </c>
      <c r="F340" s="3">
        <v>45994</v>
      </c>
      <c r="G340">
        <v>202609</v>
      </c>
      <c r="H340" t="s">
        <v>75</v>
      </c>
      <c r="I340" t="s">
        <v>76</v>
      </c>
      <c r="J340" t="s">
        <v>77</v>
      </c>
      <c r="K340" t="s">
        <v>78</v>
      </c>
      <c r="L340" t="s">
        <v>141</v>
      </c>
      <c r="M340" t="s">
        <v>142</v>
      </c>
      <c r="N340" t="s">
        <v>731</v>
      </c>
      <c r="O340" t="s">
        <v>89</v>
      </c>
      <c r="P340" t="str">
        <f>"4170071538                    "</f>
        <v xml:space="preserve">4170071538                    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25.52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1</v>
      </c>
      <c r="BI340">
        <v>1</v>
      </c>
      <c r="BJ340">
        <v>0.2</v>
      </c>
      <c r="BK340">
        <v>1</v>
      </c>
      <c r="BL340">
        <v>76.06</v>
      </c>
      <c r="BM340">
        <v>11.41</v>
      </c>
      <c r="BN340">
        <v>87.47</v>
      </c>
      <c r="BO340">
        <v>87.47</v>
      </c>
      <c r="BQ340" t="s">
        <v>732</v>
      </c>
      <c r="BR340" t="s">
        <v>82</v>
      </c>
      <c r="BS340" s="3">
        <v>45995</v>
      </c>
      <c r="BT340" s="4">
        <v>0.40763888888888888</v>
      </c>
      <c r="BU340" t="s">
        <v>951</v>
      </c>
      <c r="BV340" t="s">
        <v>84</v>
      </c>
      <c r="BY340">
        <v>1200</v>
      </c>
      <c r="CA340" t="s">
        <v>277</v>
      </c>
      <c r="CC340" t="s">
        <v>142</v>
      </c>
      <c r="CD340">
        <v>6001</v>
      </c>
      <c r="CE340" t="s">
        <v>134</v>
      </c>
      <c r="CF340" s="3">
        <v>45995</v>
      </c>
      <c r="CI340">
        <v>1</v>
      </c>
      <c r="CJ340">
        <v>1</v>
      </c>
      <c r="CK340">
        <v>21</v>
      </c>
      <c r="CL340" t="s">
        <v>87</v>
      </c>
    </row>
    <row r="341" spans="1:90" x14ac:dyDescent="0.3">
      <c r="A341" t="s">
        <v>72</v>
      </c>
      <c r="B341" t="s">
        <v>73</v>
      </c>
      <c r="C341" t="s">
        <v>74</v>
      </c>
      <c r="E341" t="str">
        <f>"080069647188"</f>
        <v>080069647188</v>
      </c>
      <c r="F341" s="3">
        <v>45994</v>
      </c>
      <c r="G341">
        <v>202609</v>
      </c>
      <c r="H341" t="s">
        <v>75</v>
      </c>
      <c r="I341" t="s">
        <v>76</v>
      </c>
      <c r="J341" t="s">
        <v>77</v>
      </c>
      <c r="K341" t="s">
        <v>78</v>
      </c>
      <c r="L341" t="s">
        <v>141</v>
      </c>
      <c r="M341" t="s">
        <v>142</v>
      </c>
      <c r="N341" t="s">
        <v>312</v>
      </c>
      <c r="O341" t="s">
        <v>80</v>
      </c>
      <c r="P341" t="str">
        <f>"4170071496                    "</f>
        <v xml:space="preserve">4170071496                    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57.52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1</v>
      </c>
      <c r="BI341">
        <v>6.3</v>
      </c>
      <c r="BJ341">
        <v>18.600000000000001</v>
      </c>
      <c r="BK341">
        <v>19</v>
      </c>
      <c r="BL341">
        <v>177.52</v>
      </c>
      <c r="BM341">
        <v>26.63</v>
      </c>
      <c r="BN341">
        <v>204.15</v>
      </c>
      <c r="BO341">
        <v>204.15</v>
      </c>
      <c r="BQ341" t="s">
        <v>313</v>
      </c>
      <c r="BR341" t="s">
        <v>82</v>
      </c>
      <c r="BS341" s="3">
        <v>45996</v>
      </c>
      <c r="BT341" s="4">
        <v>0.40972222222222221</v>
      </c>
      <c r="BU341" t="s">
        <v>952</v>
      </c>
      <c r="BV341" t="s">
        <v>84</v>
      </c>
      <c r="BY341">
        <v>93016.77</v>
      </c>
      <c r="CA341" t="s">
        <v>315</v>
      </c>
      <c r="CC341" t="s">
        <v>142</v>
      </c>
      <c r="CD341">
        <v>6001</v>
      </c>
      <c r="CE341" t="s">
        <v>86</v>
      </c>
      <c r="CF341" s="3">
        <v>45996</v>
      </c>
      <c r="CI341">
        <v>3</v>
      </c>
      <c r="CJ341">
        <v>2</v>
      </c>
      <c r="CK341">
        <v>41</v>
      </c>
      <c r="CL341" t="s">
        <v>87</v>
      </c>
    </row>
    <row r="342" spans="1:90" x14ac:dyDescent="0.3">
      <c r="A342" t="s">
        <v>72</v>
      </c>
      <c r="B342" t="s">
        <v>73</v>
      </c>
      <c r="C342" t="s">
        <v>74</v>
      </c>
      <c r="E342" t="str">
        <f>"080069647233"</f>
        <v>080069647233</v>
      </c>
      <c r="F342" s="3">
        <v>45994</v>
      </c>
      <c r="G342">
        <v>202609</v>
      </c>
      <c r="H342" t="s">
        <v>75</v>
      </c>
      <c r="I342" t="s">
        <v>76</v>
      </c>
      <c r="J342" t="s">
        <v>77</v>
      </c>
      <c r="K342" t="s">
        <v>78</v>
      </c>
      <c r="L342" t="s">
        <v>399</v>
      </c>
      <c r="M342" t="s">
        <v>400</v>
      </c>
      <c r="N342" t="s">
        <v>953</v>
      </c>
      <c r="O342" t="s">
        <v>89</v>
      </c>
      <c r="P342" t="str">
        <f>"4170071601                    "</f>
        <v xml:space="preserve">4170071601                    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19.940000000000001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1</v>
      </c>
      <c r="BI342">
        <v>2</v>
      </c>
      <c r="BJ342">
        <v>3.4</v>
      </c>
      <c r="BK342">
        <v>4</v>
      </c>
      <c r="BL342">
        <v>59.42</v>
      </c>
      <c r="BM342">
        <v>8.91</v>
      </c>
      <c r="BN342">
        <v>68.33</v>
      </c>
      <c r="BO342">
        <v>68.33</v>
      </c>
      <c r="BQ342" t="s">
        <v>954</v>
      </c>
      <c r="BR342" t="s">
        <v>82</v>
      </c>
      <c r="BS342" s="3">
        <v>45995</v>
      </c>
      <c r="BT342" s="4">
        <v>0.36944444444444446</v>
      </c>
      <c r="BU342" t="s">
        <v>955</v>
      </c>
      <c r="BV342" t="s">
        <v>84</v>
      </c>
      <c r="BY342">
        <v>17136</v>
      </c>
      <c r="CA342" t="s">
        <v>956</v>
      </c>
      <c r="CC342" t="s">
        <v>400</v>
      </c>
      <c r="CD342">
        <v>1709</v>
      </c>
      <c r="CE342" t="s">
        <v>93</v>
      </c>
      <c r="CF342" s="3">
        <v>45996</v>
      </c>
      <c r="CI342">
        <v>1</v>
      </c>
      <c r="CJ342">
        <v>1</v>
      </c>
      <c r="CK342">
        <v>22</v>
      </c>
      <c r="CL342" t="s">
        <v>87</v>
      </c>
    </row>
    <row r="343" spans="1:90" x14ac:dyDescent="0.3">
      <c r="A343" t="s">
        <v>72</v>
      </c>
      <c r="B343" t="s">
        <v>73</v>
      </c>
      <c r="C343" t="s">
        <v>74</v>
      </c>
      <c r="E343" t="str">
        <f>"080069647266"</f>
        <v>080069647266</v>
      </c>
      <c r="F343" s="3">
        <v>45994</v>
      </c>
      <c r="G343">
        <v>202609</v>
      </c>
      <c r="H343" t="s">
        <v>75</v>
      </c>
      <c r="I343" t="s">
        <v>76</v>
      </c>
      <c r="J343" t="s">
        <v>77</v>
      </c>
      <c r="K343" t="s">
        <v>78</v>
      </c>
      <c r="L343" t="s">
        <v>957</v>
      </c>
      <c r="M343" t="s">
        <v>958</v>
      </c>
      <c r="N343" t="s">
        <v>959</v>
      </c>
      <c r="O343" t="s">
        <v>89</v>
      </c>
      <c r="P343" t="str">
        <f>"4170071540                    "</f>
        <v xml:space="preserve">4170071540                    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49.45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1</v>
      </c>
      <c r="BI343">
        <v>1</v>
      </c>
      <c r="BJ343">
        <v>1.1000000000000001</v>
      </c>
      <c r="BK343">
        <v>1.5</v>
      </c>
      <c r="BL343">
        <v>147.38</v>
      </c>
      <c r="BM343">
        <v>22.11</v>
      </c>
      <c r="BN343">
        <v>169.49</v>
      </c>
      <c r="BO343">
        <v>169.49</v>
      </c>
      <c r="BQ343" t="s">
        <v>960</v>
      </c>
      <c r="BR343" t="s">
        <v>82</v>
      </c>
      <c r="BS343" s="3">
        <v>45995</v>
      </c>
      <c r="BT343" s="4">
        <v>0.67152777777777772</v>
      </c>
      <c r="BU343" t="s">
        <v>961</v>
      </c>
      <c r="BV343" t="s">
        <v>84</v>
      </c>
      <c r="BY343">
        <v>5510</v>
      </c>
      <c r="CA343" t="s">
        <v>962</v>
      </c>
      <c r="CC343" t="s">
        <v>958</v>
      </c>
      <c r="CD343">
        <v>7185</v>
      </c>
      <c r="CE343" t="s">
        <v>86</v>
      </c>
      <c r="CF343" s="3">
        <v>45997</v>
      </c>
      <c r="CI343">
        <v>2</v>
      </c>
      <c r="CJ343">
        <v>1</v>
      </c>
      <c r="CK343">
        <v>23</v>
      </c>
      <c r="CL343" t="s">
        <v>87</v>
      </c>
    </row>
    <row r="344" spans="1:90" x14ac:dyDescent="0.3">
      <c r="A344" t="s">
        <v>72</v>
      </c>
      <c r="B344" t="s">
        <v>73</v>
      </c>
      <c r="C344" t="s">
        <v>74</v>
      </c>
      <c r="E344" t="str">
        <f>"080069647328"</f>
        <v>080069647328</v>
      </c>
      <c r="F344" s="3">
        <v>45994</v>
      </c>
      <c r="G344">
        <v>202609</v>
      </c>
      <c r="H344" t="s">
        <v>75</v>
      </c>
      <c r="I344" t="s">
        <v>76</v>
      </c>
      <c r="J344" t="s">
        <v>77</v>
      </c>
      <c r="K344" t="s">
        <v>78</v>
      </c>
      <c r="L344" t="s">
        <v>926</v>
      </c>
      <c r="M344" t="s">
        <v>927</v>
      </c>
      <c r="N344" t="s">
        <v>928</v>
      </c>
      <c r="O344" t="s">
        <v>80</v>
      </c>
      <c r="P344" t="str">
        <f>"4170071412                    "</f>
        <v xml:space="preserve">4170071412                    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49.2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1</v>
      </c>
      <c r="BI344">
        <v>25</v>
      </c>
      <c r="BJ344">
        <v>9.4</v>
      </c>
      <c r="BK344">
        <v>25</v>
      </c>
      <c r="BL344">
        <v>152.72</v>
      </c>
      <c r="BM344">
        <v>22.91</v>
      </c>
      <c r="BN344">
        <v>175.63</v>
      </c>
      <c r="BO344">
        <v>175.63</v>
      </c>
      <c r="BQ344" t="s">
        <v>929</v>
      </c>
      <c r="BR344" t="s">
        <v>82</v>
      </c>
      <c r="BS344" s="3">
        <v>45995</v>
      </c>
      <c r="BT344" s="4">
        <v>0.4236111111111111</v>
      </c>
      <c r="BU344" t="s">
        <v>930</v>
      </c>
      <c r="BV344" t="s">
        <v>84</v>
      </c>
      <c r="BY344">
        <v>46816</v>
      </c>
      <c r="CC344" t="s">
        <v>927</v>
      </c>
      <c r="CD344">
        <v>1682</v>
      </c>
      <c r="CE344" t="s">
        <v>86</v>
      </c>
      <c r="CF344" s="3">
        <v>45996</v>
      </c>
      <c r="CI344">
        <v>1</v>
      </c>
      <c r="CJ344">
        <v>1</v>
      </c>
      <c r="CK344">
        <v>42</v>
      </c>
      <c r="CL344" t="s">
        <v>87</v>
      </c>
    </row>
    <row r="345" spans="1:90" x14ac:dyDescent="0.3">
      <c r="A345" t="s">
        <v>72</v>
      </c>
      <c r="B345" t="s">
        <v>73</v>
      </c>
      <c r="C345" t="s">
        <v>74</v>
      </c>
      <c r="E345" t="str">
        <f>"080069647364"</f>
        <v>080069647364</v>
      </c>
      <c r="F345" s="3">
        <v>45994</v>
      </c>
      <c r="G345">
        <v>202609</v>
      </c>
      <c r="H345" t="s">
        <v>75</v>
      </c>
      <c r="I345" t="s">
        <v>76</v>
      </c>
      <c r="J345" t="s">
        <v>77</v>
      </c>
      <c r="K345" t="s">
        <v>78</v>
      </c>
      <c r="L345" t="s">
        <v>156</v>
      </c>
      <c r="M345" t="s">
        <v>157</v>
      </c>
      <c r="N345" t="s">
        <v>508</v>
      </c>
      <c r="O345" t="s">
        <v>89</v>
      </c>
      <c r="P345" t="str">
        <f>"4170071607                    "</f>
        <v xml:space="preserve">4170071607                    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25.52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1</v>
      </c>
      <c r="BI345">
        <v>2</v>
      </c>
      <c r="BJ345">
        <v>0.7</v>
      </c>
      <c r="BK345">
        <v>2</v>
      </c>
      <c r="BL345">
        <v>76.06</v>
      </c>
      <c r="BM345">
        <v>11.41</v>
      </c>
      <c r="BN345">
        <v>87.47</v>
      </c>
      <c r="BO345">
        <v>87.47</v>
      </c>
      <c r="BQ345" t="s">
        <v>509</v>
      </c>
      <c r="BR345" t="s">
        <v>82</v>
      </c>
      <c r="BS345" s="3">
        <v>45995</v>
      </c>
      <c r="BT345" s="4">
        <v>0.4236111111111111</v>
      </c>
      <c r="BU345" t="s">
        <v>963</v>
      </c>
      <c r="BV345" t="s">
        <v>84</v>
      </c>
      <c r="BY345">
        <v>3306</v>
      </c>
      <c r="CA345" t="s">
        <v>162</v>
      </c>
      <c r="CC345" t="s">
        <v>157</v>
      </c>
      <c r="CD345">
        <v>7535</v>
      </c>
      <c r="CE345" t="s">
        <v>86</v>
      </c>
      <c r="CF345" s="3">
        <v>45997</v>
      </c>
      <c r="CI345">
        <v>1</v>
      </c>
      <c r="CJ345">
        <v>1</v>
      </c>
      <c r="CK345">
        <v>21</v>
      </c>
      <c r="CL345" t="s">
        <v>87</v>
      </c>
    </row>
    <row r="346" spans="1:90" x14ac:dyDescent="0.3">
      <c r="A346" t="s">
        <v>72</v>
      </c>
      <c r="B346" t="s">
        <v>73</v>
      </c>
      <c r="C346" t="s">
        <v>74</v>
      </c>
      <c r="E346" t="str">
        <f>"080069647617"</f>
        <v>080069647617</v>
      </c>
      <c r="F346" s="3">
        <v>45994</v>
      </c>
      <c r="G346">
        <v>202609</v>
      </c>
      <c r="H346" t="s">
        <v>75</v>
      </c>
      <c r="I346" t="s">
        <v>76</v>
      </c>
      <c r="J346" t="s">
        <v>77</v>
      </c>
      <c r="K346" t="s">
        <v>78</v>
      </c>
      <c r="L346" t="s">
        <v>156</v>
      </c>
      <c r="M346" t="s">
        <v>157</v>
      </c>
      <c r="N346" t="s">
        <v>964</v>
      </c>
      <c r="O346" t="s">
        <v>89</v>
      </c>
      <c r="P346" t="str">
        <f>"4170071617                    "</f>
        <v xml:space="preserve">4170071617                    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25.52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1</v>
      </c>
      <c r="BI346">
        <v>1</v>
      </c>
      <c r="BJ346">
        <v>0.2</v>
      </c>
      <c r="BK346">
        <v>1</v>
      </c>
      <c r="BL346">
        <v>76.06</v>
      </c>
      <c r="BM346">
        <v>11.41</v>
      </c>
      <c r="BN346">
        <v>87.47</v>
      </c>
      <c r="BO346">
        <v>87.47</v>
      </c>
      <c r="BQ346" t="s">
        <v>965</v>
      </c>
      <c r="BR346" t="s">
        <v>82</v>
      </c>
      <c r="BS346" s="3">
        <v>45995</v>
      </c>
      <c r="BT346" s="4">
        <v>0.41666666666666669</v>
      </c>
      <c r="BU346" t="s">
        <v>966</v>
      </c>
      <c r="BV346" t="s">
        <v>84</v>
      </c>
      <c r="BY346">
        <v>1200</v>
      </c>
      <c r="CC346" t="s">
        <v>157</v>
      </c>
      <c r="CD346">
        <v>7441</v>
      </c>
      <c r="CE346" t="s">
        <v>134</v>
      </c>
      <c r="CF346" s="3">
        <v>45996</v>
      </c>
      <c r="CI346">
        <v>1</v>
      </c>
      <c r="CJ346">
        <v>1</v>
      </c>
      <c r="CK346">
        <v>21</v>
      </c>
      <c r="CL346" t="s">
        <v>87</v>
      </c>
    </row>
    <row r="347" spans="1:90" x14ac:dyDescent="0.3">
      <c r="A347" t="s">
        <v>72</v>
      </c>
      <c r="B347" t="s">
        <v>73</v>
      </c>
      <c r="C347" t="s">
        <v>74</v>
      </c>
      <c r="E347" t="str">
        <f>"080069647644"</f>
        <v>080069647644</v>
      </c>
      <c r="F347" s="3">
        <v>45994</v>
      </c>
      <c r="G347">
        <v>202609</v>
      </c>
      <c r="H347" t="s">
        <v>75</v>
      </c>
      <c r="I347" t="s">
        <v>76</v>
      </c>
      <c r="J347" t="s">
        <v>77</v>
      </c>
      <c r="K347" t="s">
        <v>78</v>
      </c>
      <c r="L347" t="s">
        <v>458</v>
      </c>
      <c r="M347" t="s">
        <v>459</v>
      </c>
      <c r="N347" t="s">
        <v>460</v>
      </c>
      <c r="O347" t="s">
        <v>89</v>
      </c>
      <c r="P347" t="str">
        <f>"4170071679                    "</f>
        <v xml:space="preserve">4170071679                    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49.45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1</v>
      </c>
      <c r="BI347">
        <v>1</v>
      </c>
      <c r="BJ347">
        <v>0.2</v>
      </c>
      <c r="BK347">
        <v>1</v>
      </c>
      <c r="BL347">
        <v>147.38</v>
      </c>
      <c r="BM347">
        <v>22.11</v>
      </c>
      <c r="BN347">
        <v>169.49</v>
      </c>
      <c r="BO347">
        <v>169.49</v>
      </c>
      <c r="BQ347" t="s">
        <v>461</v>
      </c>
      <c r="BR347" t="s">
        <v>82</v>
      </c>
      <c r="BS347" s="3">
        <v>45995</v>
      </c>
      <c r="BT347" s="4">
        <v>0.53333333333333333</v>
      </c>
      <c r="BU347" t="s">
        <v>462</v>
      </c>
      <c r="BV347" t="s">
        <v>84</v>
      </c>
      <c r="BY347">
        <v>1200</v>
      </c>
      <c r="CA347" t="s">
        <v>463</v>
      </c>
      <c r="CC347" t="s">
        <v>459</v>
      </c>
      <c r="CD347">
        <v>7130</v>
      </c>
      <c r="CE347" t="s">
        <v>134</v>
      </c>
      <c r="CF347" s="3">
        <v>45996</v>
      </c>
      <c r="CI347">
        <v>1</v>
      </c>
      <c r="CJ347">
        <v>1</v>
      </c>
      <c r="CK347">
        <v>23</v>
      </c>
      <c r="CL347" t="s">
        <v>87</v>
      </c>
    </row>
    <row r="348" spans="1:90" x14ac:dyDescent="0.3">
      <c r="A348" t="s">
        <v>72</v>
      </c>
      <c r="B348" t="s">
        <v>73</v>
      </c>
      <c r="C348" t="s">
        <v>74</v>
      </c>
      <c r="E348" t="str">
        <f>"080069647666"</f>
        <v>080069647666</v>
      </c>
      <c r="F348" s="3">
        <v>45994</v>
      </c>
      <c r="G348">
        <v>202609</v>
      </c>
      <c r="H348" t="s">
        <v>75</v>
      </c>
      <c r="I348" t="s">
        <v>76</v>
      </c>
      <c r="J348" t="s">
        <v>77</v>
      </c>
      <c r="K348" t="s">
        <v>78</v>
      </c>
      <c r="L348" t="s">
        <v>533</v>
      </c>
      <c r="M348" t="s">
        <v>533</v>
      </c>
      <c r="N348" t="s">
        <v>763</v>
      </c>
      <c r="O348" t="s">
        <v>89</v>
      </c>
      <c r="P348" t="str">
        <f>"4170071595                    "</f>
        <v xml:space="preserve">4170071595                    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49.45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1</v>
      </c>
      <c r="BI348">
        <v>1</v>
      </c>
      <c r="BJ348">
        <v>0.2</v>
      </c>
      <c r="BK348">
        <v>1</v>
      </c>
      <c r="BL348">
        <v>147.38</v>
      </c>
      <c r="BM348">
        <v>22.11</v>
      </c>
      <c r="BN348">
        <v>169.49</v>
      </c>
      <c r="BO348">
        <v>169.49</v>
      </c>
      <c r="BQ348" t="s">
        <v>764</v>
      </c>
      <c r="BR348" t="s">
        <v>82</v>
      </c>
      <c r="BS348" s="3">
        <v>45995</v>
      </c>
      <c r="BT348" s="4">
        <v>0.79722222222222228</v>
      </c>
      <c r="BU348" t="s">
        <v>967</v>
      </c>
      <c r="BV348" t="s">
        <v>87</v>
      </c>
      <c r="BW348" t="s">
        <v>153</v>
      </c>
      <c r="BX348" t="s">
        <v>345</v>
      </c>
      <c r="BY348">
        <v>1200</v>
      </c>
      <c r="CA348" t="s">
        <v>537</v>
      </c>
      <c r="CC348" t="s">
        <v>533</v>
      </c>
      <c r="CD348">
        <v>7646</v>
      </c>
      <c r="CE348" t="s">
        <v>134</v>
      </c>
      <c r="CF348" s="3">
        <v>45996</v>
      </c>
      <c r="CI348">
        <v>1</v>
      </c>
      <c r="CJ348">
        <v>1</v>
      </c>
      <c r="CK348">
        <v>23</v>
      </c>
      <c r="CL348" t="s">
        <v>87</v>
      </c>
    </row>
    <row r="349" spans="1:90" x14ac:dyDescent="0.3">
      <c r="A349" t="s">
        <v>72</v>
      </c>
      <c r="B349" t="s">
        <v>73</v>
      </c>
      <c r="C349" t="s">
        <v>74</v>
      </c>
      <c r="E349" t="str">
        <f>"080069647695"</f>
        <v>080069647695</v>
      </c>
      <c r="F349" s="3">
        <v>45994</v>
      </c>
      <c r="G349">
        <v>202609</v>
      </c>
      <c r="H349" t="s">
        <v>75</v>
      </c>
      <c r="I349" t="s">
        <v>76</v>
      </c>
      <c r="J349" t="s">
        <v>77</v>
      </c>
      <c r="K349" t="s">
        <v>78</v>
      </c>
      <c r="L349" t="s">
        <v>968</v>
      </c>
      <c r="M349" t="s">
        <v>969</v>
      </c>
      <c r="N349" t="s">
        <v>970</v>
      </c>
      <c r="O349" t="s">
        <v>89</v>
      </c>
      <c r="P349" t="str">
        <f>"4170071484                    "</f>
        <v xml:space="preserve">4170071484                    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194.61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1</v>
      </c>
      <c r="BI349">
        <v>8.5</v>
      </c>
      <c r="BJ349">
        <v>3.9</v>
      </c>
      <c r="BK349">
        <v>8.5</v>
      </c>
      <c r="BL349">
        <v>579.97</v>
      </c>
      <c r="BM349">
        <v>87</v>
      </c>
      <c r="BN349">
        <v>666.97</v>
      </c>
      <c r="BO349">
        <v>666.97</v>
      </c>
      <c r="BQ349" t="s">
        <v>971</v>
      </c>
      <c r="BR349" t="s">
        <v>82</v>
      </c>
      <c r="BS349" s="3">
        <v>45995</v>
      </c>
      <c r="BT349" s="4">
        <v>0.50069444444444444</v>
      </c>
      <c r="BU349" t="s">
        <v>972</v>
      </c>
      <c r="BV349" t="s">
        <v>84</v>
      </c>
      <c r="BY349">
        <v>19532.37</v>
      </c>
      <c r="CA349" t="s">
        <v>973</v>
      </c>
      <c r="CC349" t="s">
        <v>969</v>
      </c>
      <c r="CD349" s="5" t="s">
        <v>974</v>
      </c>
      <c r="CE349" t="s">
        <v>86</v>
      </c>
      <c r="CF349" s="3">
        <v>45995</v>
      </c>
      <c r="CI349">
        <v>1</v>
      </c>
      <c r="CJ349">
        <v>1</v>
      </c>
      <c r="CK349">
        <v>23</v>
      </c>
      <c r="CL349" t="s">
        <v>87</v>
      </c>
    </row>
    <row r="350" spans="1:90" x14ac:dyDescent="0.3">
      <c r="A350" t="s">
        <v>72</v>
      </c>
      <c r="B350" t="s">
        <v>73</v>
      </c>
      <c r="C350" t="s">
        <v>74</v>
      </c>
      <c r="E350" t="str">
        <f>"080069647727"</f>
        <v>080069647727</v>
      </c>
      <c r="F350" s="3">
        <v>45994</v>
      </c>
      <c r="G350">
        <v>202609</v>
      </c>
      <c r="H350" t="s">
        <v>75</v>
      </c>
      <c r="I350" t="s">
        <v>76</v>
      </c>
      <c r="J350" t="s">
        <v>77</v>
      </c>
      <c r="K350" t="s">
        <v>78</v>
      </c>
      <c r="L350" t="s">
        <v>302</v>
      </c>
      <c r="M350" t="s">
        <v>303</v>
      </c>
      <c r="N350" t="s">
        <v>786</v>
      </c>
      <c r="O350" t="s">
        <v>80</v>
      </c>
      <c r="P350" t="str">
        <f>"4170071567                    "</f>
        <v xml:space="preserve">4170071567                    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63.64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2</v>
      </c>
      <c r="BI350">
        <v>22</v>
      </c>
      <c r="BJ350">
        <v>10.4</v>
      </c>
      <c r="BK350">
        <v>22</v>
      </c>
      <c r="BL350">
        <v>195.76</v>
      </c>
      <c r="BM350">
        <v>29.36</v>
      </c>
      <c r="BN350">
        <v>225.12</v>
      </c>
      <c r="BO350">
        <v>225.12</v>
      </c>
      <c r="BQ350" t="s">
        <v>787</v>
      </c>
      <c r="BR350" t="s">
        <v>82</v>
      </c>
      <c r="BS350" s="3">
        <v>45995</v>
      </c>
      <c r="BT350" s="4">
        <v>0.35</v>
      </c>
      <c r="BU350" t="s">
        <v>975</v>
      </c>
      <c r="BV350" t="s">
        <v>84</v>
      </c>
      <c r="BY350">
        <v>51962.76</v>
      </c>
      <c r="CA350">
        <v>9107126013089</v>
      </c>
      <c r="CC350" t="s">
        <v>303</v>
      </c>
      <c r="CD350" s="5" t="s">
        <v>657</v>
      </c>
      <c r="CE350" t="s">
        <v>939</v>
      </c>
      <c r="CF350" s="3">
        <v>45996</v>
      </c>
      <c r="CI350">
        <v>1</v>
      </c>
      <c r="CJ350">
        <v>1</v>
      </c>
      <c r="CK350">
        <v>41</v>
      </c>
      <c r="CL350" t="s">
        <v>87</v>
      </c>
    </row>
    <row r="351" spans="1:90" x14ac:dyDescent="0.3">
      <c r="A351" t="s">
        <v>72</v>
      </c>
      <c r="B351" t="s">
        <v>73</v>
      </c>
      <c r="C351" t="s">
        <v>74</v>
      </c>
      <c r="E351" t="str">
        <f>"080069647757"</f>
        <v>080069647757</v>
      </c>
      <c r="F351" s="3">
        <v>45994</v>
      </c>
      <c r="G351">
        <v>202609</v>
      </c>
      <c r="H351" t="s">
        <v>75</v>
      </c>
      <c r="I351" t="s">
        <v>76</v>
      </c>
      <c r="J351" t="s">
        <v>77</v>
      </c>
      <c r="K351" t="s">
        <v>78</v>
      </c>
      <c r="L351" t="s">
        <v>458</v>
      </c>
      <c r="M351" t="s">
        <v>459</v>
      </c>
      <c r="N351" t="s">
        <v>460</v>
      </c>
      <c r="O351" t="s">
        <v>89</v>
      </c>
      <c r="P351" t="str">
        <f>"4170071670                    "</f>
        <v xml:space="preserve">4170071670                    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49.45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1</v>
      </c>
      <c r="BI351">
        <v>1</v>
      </c>
      <c r="BJ351">
        <v>1.8</v>
      </c>
      <c r="BK351">
        <v>2</v>
      </c>
      <c r="BL351">
        <v>147.38</v>
      </c>
      <c r="BM351">
        <v>22.11</v>
      </c>
      <c r="BN351">
        <v>169.49</v>
      </c>
      <c r="BO351">
        <v>169.49</v>
      </c>
      <c r="BQ351" t="s">
        <v>461</v>
      </c>
      <c r="BR351" t="s">
        <v>82</v>
      </c>
      <c r="BS351" s="3">
        <v>45995</v>
      </c>
      <c r="BT351" s="4">
        <v>0.53333333333333333</v>
      </c>
      <c r="BU351" t="s">
        <v>462</v>
      </c>
      <c r="BV351" t="s">
        <v>84</v>
      </c>
      <c r="BY351">
        <v>8816</v>
      </c>
      <c r="CA351" t="s">
        <v>463</v>
      </c>
      <c r="CC351" t="s">
        <v>459</v>
      </c>
      <c r="CD351">
        <v>7130</v>
      </c>
      <c r="CE351" t="s">
        <v>86</v>
      </c>
      <c r="CF351" s="3">
        <v>45996</v>
      </c>
      <c r="CI351">
        <v>1</v>
      </c>
      <c r="CJ351">
        <v>1</v>
      </c>
      <c r="CK351">
        <v>23</v>
      </c>
      <c r="CL351" t="s">
        <v>87</v>
      </c>
    </row>
    <row r="352" spans="1:90" x14ac:dyDescent="0.3">
      <c r="A352" t="s">
        <v>72</v>
      </c>
      <c r="B352" t="s">
        <v>73</v>
      </c>
      <c r="C352" t="s">
        <v>74</v>
      </c>
      <c r="E352" t="str">
        <f>"080069647782"</f>
        <v>080069647782</v>
      </c>
      <c r="F352" s="3">
        <v>45994</v>
      </c>
      <c r="G352">
        <v>202609</v>
      </c>
      <c r="H352" t="s">
        <v>75</v>
      </c>
      <c r="I352" t="s">
        <v>76</v>
      </c>
      <c r="J352" t="s">
        <v>77</v>
      </c>
      <c r="K352" t="s">
        <v>78</v>
      </c>
      <c r="L352" t="s">
        <v>265</v>
      </c>
      <c r="M352" t="s">
        <v>266</v>
      </c>
      <c r="N352" t="s">
        <v>474</v>
      </c>
      <c r="O352" t="s">
        <v>340</v>
      </c>
      <c r="P352" t="str">
        <f>"4170071598                    "</f>
        <v xml:space="preserve">4170071598                    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19.940000000000001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1</v>
      </c>
      <c r="BI352">
        <v>2</v>
      </c>
      <c r="BJ352">
        <v>4.5</v>
      </c>
      <c r="BK352">
        <v>5</v>
      </c>
      <c r="BL352">
        <v>59.43</v>
      </c>
      <c r="BM352">
        <v>8.91</v>
      </c>
      <c r="BN352">
        <v>68.34</v>
      </c>
      <c r="BO352">
        <v>68.34</v>
      </c>
      <c r="BQ352" t="s">
        <v>475</v>
      </c>
      <c r="BR352" t="s">
        <v>82</v>
      </c>
      <c r="BS352" s="3">
        <v>45995</v>
      </c>
      <c r="BT352" s="4">
        <v>0.44097222222222221</v>
      </c>
      <c r="BU352" t="s">
        <v>476</v>
      </c>
      <c r="BV352" t="s">
        <v>84</v>
      </c>
      <c r="BY352">
        <v>22620</v>
      </c>
      <c r="CA352" t="s">
        <v>417</v>
      </c>
      <c r="CC352" t="s">
        <v>266</v>
      </c>
      <c r="CD352">
        <v>1459</v>
      </c>
      <c r="CE352" t="s">
        <v>86</v>
      </c>
      <c r="CF352" s="3">
        <v>45996</v>
      </c>
      <c r="CI352">
        <v>1</v>
      </c>
      <c r="CJ352">
        <v>1</v>
      </c>
      <c r="CK352">
        <v>32</v>
      </c>
      <c r="CL352" t="s">
        <v>87</v>
      </c>
    </row>
    <row r="353" spans="1:90" x14ac:dyDescent="0.3">
      <c r="A353" t="s">
        <v>72</v>
      </c>
      <c r="B353" t="s">
        <v>73</v>
      </c>
      <c r="C353" t="s">
        <v>74</v>
      </c>
      <c r="E353" t="str">
        <f>"080069647802"</f>
        <v>080069647802</v>
      </c>
      <c r="F353" s="3">
        <v>45994</v>
      </c>
      <c r="G353">
        <v>202609</v>
      </c>
      <c r="H353" t="s">
        <v>75</v>
      </c>
      <c r="I353" t="s">
        <v>76</v>
      </c>
      <c r="J353" t="s">
        <v>77</v>
      </c>
      <c r="K353" t="s">
        <v>78</v>
      </c>
      <c r="L353" t="s">
        <v>94</v>
      </c>
      <c r="M353" t="s">
        <v>95</v>
      </c>
      <c r="N353" t="s">
        <v>919</v>
      </c>
      <c r="O353" t="s">
        <v>89</v>
      </c>
      <c r="P353" t="str">
        <f>"4170071596                    "</f>
        <v xml:space="preserve">4170071596                    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44.66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1</v>
      </c>
      <c r="BI353">
        <v>1</v>
      </c>
      <c r="BJ353">
        <v>3.1</v>
      </c>
      <c r="BK353">
        <v>3.5</v>
      </c>
      <c r="BL353">
        <v>133.09</v>
      </c>
      <c r="BM353">
        <v>19.96</v>
      </c>
      <c r="BN353">
        <v>153.05000000000001</v>
      </c>
      <c r="BO353">
        <v>153.05000000000001</v>
      </c>
      <c r="BQ353" t="s">
        <v>920</v>
      </c>
      <c r="BR353" t="s">
        <v>82</v>
      </c>
      <c r="BS353" s="3">
        <v>45995</v>
      </c>
      <c r="BT353" s="4">
        <v>0.43680555555555556</v>
      </c>
      <c r="BU353" t="s">
        <v>921</v>
      </c>
      <c r="BV353" t="s">
        <v>84</v>
      </c>
      <c r="BY353">
        <v>15360</v>
      </c>
      <c r="CA353" t="s">
        <v>922</v>
      </c>
      <c r="CC353" t="s">
        <v>95</v>
      </c>
      <c r="CD353">
        <v>3610</v>
      </c>
      <c r="CE353" t="s">
        <v>86</v>
      </c>
      <c r="CF353" s="3">
        <v>45995</v>
      </c>
      <c r="CI353">
        <v>1</v>
      </c>
      <c r="CJ353">
        <v>1</v>
      </c>
      <c r="CK353">
        <v>21</v>
      </c>
      <c r="CL353" t="s">
        <v>87</v>
      </c>
    </row>
    <row r="354" spans="1:90" x14ac:dyDescent="0.3">
      <c r="A354" t="s">
        <v>72</v>
      </c>
      <c r="B354" t="s">
        <v>73</v>
      </c>
      <c r="C354" t="s">
        <v>74</v>
      </c>
      <c r="E354" t="str">
        <f>"080069647846"</f>
        <v>080069647846</v>
      </c>
      <c r="F354" s="3">
        <v>45994</v>
      </c>
      <c r="G354">
        <v>202609</v>
      </c>
      <c r="H354" t="s">
        <v>75</v>
      </c>
      <c r="I354" t="s">
        <v>76</v>
      </c>
      <c r="J354" t="s">
        <v>77</v>
      </c>
      <c r="K354" t="s">
        <v>78</v>
      </c>
      <c r="L354" t="s">
        <v>141</v>
      </c>
      <c r="M354" t="s">
        <v>142</v>
      </c>
      <c r="N354" t="s">
        <v>668</v>
      </c>
      <c r="O354" t="s">
        <v>89</v>
      </c>
      <c r="P354" t="str">
        <f>"4170071558                    "</f>
        <v xml:space="preserve">4170071558                    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44.66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2</v>
      </c>
      <c r="BI354">
        <v>3</v>
      </c>
      <c r="BJ354">
        <v>3.4</v>
      </c>
      <c r="BK354">
        <v>3.5</v>
      </c>
      <c r="BL354">
        <v>133.09</v>
      </c>
      <c r="BM354">
        <v>19.96</v>
      </c>
      <c r="BN354">
        <v>153.05000000000001</v>
      </c>
      <c r="BO354">
        <v>153.05000000000001</v>
      </c>
      <c r="BQ354" t="s">
        <v>669</v>
      </c>
      <c r="BR354" t="s">
        <v>82</v>
      </c>
      <c r="BS354" s="3">
        <v>45995</v>
      </c>
      <c r="BT354" s="4">
        <v>0.42916666666666664</v>
      </c>
      <c r="BU354" t="s">
        <v>976</v>
      </c>
      <c r="BV354" t="s">
        <v>84</v>
      </c>
      <c r="BY354">
        <v>17140</v>
      </c>
      <c r="BZ354" t="s">
        <v>271</v>
      </c>
      <c r="CA354" t="s">
        <v>146</v>
      </c>
      <c r="CC354" t="s">
        <v>142</v>
      </c>
      <c r="CD354">
        <v>6001</v>
      </c>
      <c r="CE354" t="s">
        <v>147</v>
      </c>
      <c r="CF354" s="3">
        <v>45995</v>
      </c>
      <c r="CI354">
        <v>1</v>
      </c>
      <c r="CJ354">
        <v>1</v>
      </c>
      <c r="CK354">
        <v>21</v>
      </c>
      <c r="CL354" t="s">
        <v>87</v>
      </c>
    </row>
    <row r="355" spans="1:90" x14ac:dyDescent="0.3">
      <c r="A355" t="s">
        <v>72</v>
      </c>
      <c r="B355" t="s">
        <v>73</v>
      </c>
      <c r="C355" t="s">
        <v>74</v>
      </c>
      <c r="E355" t="str">
        <f>"080069647871"</f>
        <v>080069647871</v>
      </c>
      <c r="F355" s="3">
        <v>45994</v>
      </c>
      <c r="G355">
        <v>202609</v>
      </c>
      <c r="H355" t="s">
        <v>75</v>
      </c>
      <c r="I355" t="s">
        <v>76</v>
      </c>
      <c r="J355" t="s">
        <v>77</v>
      </c>
      <c r="K355" t="s">
        <v>78</v>
      </c>
      <c r="L355" t="s">
        <v>526</v>
      </c>
      <c r="M355" t="s">
        <v>527</v>
      </c>
      <c r="N355" t="s">
        <v>528</v>
      </c>
      <c r="O355" t="s">
        <v>80</v>
      </c>
      <c r="P355" t="str">
        <f>"4170071591                    "</f>
        <v xml:space="preserve">4170071591                    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69.61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17.41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1</v>
      </c>
      <c r="BI355">
        <v>4</v>
      </c>
      <c r="BJ355">
        <v>0.7</v>
      </c>
      <c r="BK355">
        <v>4</v>
      </c>
      <c r="BL355">
        <v>230.97</v>
      </c>
      <c r="BM355">
        <v>34.65</v>
      </c>
      <c r="BN355">
        <v>265.62</v>
      </c>
      <c r="BO355">
        <v>265.62</v>
      </c>
      <c r="BQ355" t="s">
        <v>529</v>
      </c>
      <c r="BR355" t="s">
        <v>82</v>
      </c>
      <c r="BS355" s="3">
        <v>45995</v>
      </c>
      <c r="BT355" s="4">
        <v>0.54583333333333328</v>
      </c>
      <c r="BU355" t="s">
        <v>977</v>
      </c>
      <c r="BV355" t="s">
        <v>84</v>
      </c>
      <c r="BY355">
        <v>3306</v>
      </c>
      <c r="BZ355" t="s">
        <v>30</v>
      </c>
      <c r="CC355" t="s">
        <v>527</v>
      </c>
      <c r="CD355" s="5" t="s">
        <v>532</v>
      </c>
      <c r="CE355" t="s">
        <v>86</v>
      </c>
      <c r="CF355" s="3">
        <v>45996</v>
      </c>
      <c r="CI355">
        <v>1</v>
      </c>
      <c r="CJ355">
        <v>1</v>
      </c>
      <c r="CK355">
        <v>43</v>
      </c>
      <c r="CL355" t="s">
        <v>87</v>
      </c>
    </row>
    <row r="356" spans="1:90" x14ac:dyDescent="0.3">
      <c r="A356" t="s">
        <v>72</v>
      </c>
      <c r="B356" t="s">
        <v>73</v>
      </c>
      <c r="C356" t="s">
        <v>74</v>
      </c>
      <c r="E356" t="str">
        <f>"080069648072"</f>
        <v>080069648072</v>
      </c>
      <c r="F356" s="3">
        <v>45994</v>
      </c>
      <c r="G356">
        <v>202609</v>
      </c>
      <c r="H356" t="s">
        <v>75</v>
      </c>
      <c r="I356" t="s">
        <v>76</v>
      </c>
      <c r="J356" t="s">
        <v>77</v>
      </c>
      <c r="K356" t="s">
        <v>78</v>
      </c>
      <c r="L356" t="s">
        <v>156</v>
      </c>
      <c r="M356" t="s">
        <v>157</v>
      </c>
      <c r="N356" t="s">
        <v>658</v>
      </c>
      <c r="O356" t="s">
        <v>89</v>
      </c>
      <c r="P356" t="str">
        <f>"4170071612                    "</f>
        <v xml:space="preserve">4170071612                    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25.52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1</v>
      </c>
      <c r="BI356">
        <v>1</v>
      </c>
      <c r="BJ356">
        <v>0.2</v>
      </c>
      <c r="BK356">
        <v>1</v>
      </c>
      <c r="BL356">
        <v>76.06</v>
      </c>
      <c r="BM356">
        <v>11.41</v>
      </c>
      <c r="BN356">
        <v>87.47</v>
      </c>
      <c r="BO356">
        <v>87.47</v>
      </c>
      <c r="BQ356" t="s">
        <v>659</v>
      </c>
      <c r="BR356" t="s">
        <v>82</v>
      </c>
      <c r="BS356" s="3">
        <v>45995</v>
      </c>
      <c r="BT356" s="4">
        <v>0.61805555555555558</v>
      </c>
      <c r="BU356" t="s">
        <v>978</v>
      </c>
      <c r="BV356" t="s">
        <v>87</v>
      </c>
      <c r="BW356" t="s">
        <v>153</v>
      </c>
      <c r="BX356" t="s">
        <v>979</v>
      </c>
      <c r="BY356">
        <v>1200</v>
      </c>
      <c r="CA356" t="s">
        <v>980</v>
      </c>
      <c r="CC356" t="s">
        <v>157</v>
      </c>
      <c r="CD356">
        <v>7550</v>
      </c>
      <c r="CE356" t="s">
        <v>134</v>
      </c>
      <c r="CF356" s="3">
        <v>45996</v>
      </c>
      <c r="CI356">
        <v>1</v>
      </c>
      <c r="CJ356">
        <v>1</v>
      </c>
      <c r="CK356">
        <v>21</v>
      </c>
      <c r="CL356" t="s">
        <v>87</v>
      </c>
    </row>
    <row r="357" spans="1:90" x14ac:dyDescent="0.3">
      <c r="A357" t="s">
        <v>72</v>
      </c>
      <c r="B357" t="s">
        <v>73</v>
      </c>
      <c r="C357" t="s">
        <v>74</v>
      </c>
      <c r="E357" t="str">
        <f>"080069648095"</f>
        <v>080069648095</v>
      </c>
      <c r="F357" s="3">
        <v>45994</v>
      </c>
      <c r="G357">
        <v>202609</v>
      </c>
      <c r="H357" t="s">
        <v>75</v>
      </c>
      <c r="I357" t="s">
        <v>76</v>
      </c>
      <c r="J357" t="s">
        <v>77</v>
      </c>
      <c r="K357" t="s">
        <v>78</v>
      </c>
      <c r="L357" t="s">
        <v>156</v>
      </c>
      <c r="M357" t="s">
        <v>157</v>
      </c>
      <c r="N357" t="s">
        <v>742</v>
      </c>
      <c r="O357" t="s">
        <v>89</v>
      </c>
      <c r="P357" t="str">
        <f>"4170071602                    "</f>
        <v xml:space="preserve">4170071602                    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25.52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1</v>
      </c>
      <c r="BI357">
        <v>1</v>
      </c>
      <c r="BJ357">
        <v>0.2</v>
      </c>
      <c r="BK357">
        <v>1</v>
      </c>
      <c r="BL357">
        <v>76.06</v>
      </c>
      <c r="BM357">
        <v>11.41</v>
      </c>
      <c r="BN357">
        <v>87.47</v>
      </c>
      <c r="BO357">
        <v>87.47</v>
      </c>
      <c r="BQ357" t="s">
        <v>743</v>
      </c>
      <c r="BR357" t="s">
        <v>82</v>
      </c>
      <c r="BS357" s="3">
        <v>45995</v>
      </c>
      <c r="BT357" s="4">
        <v>0.38194444444444442</v>
      </c>
      <c r="BU357" t="s">
        <v>981</v>
      </c>
      <c r="BV357" t="s">
        <v>84</v>
      </c>
      <c r="BY357">
        <v>1200</v>
      </c>
      <c r="BZ357" t="s">
        <v>271</v>
      </c>
      <c r="CA357" t="s">
        <v>264</v>
      </c>
      <c r="CC357" t="s">
        <v>157</v>
      </c>
      <c r="CD357">
        <v>8001</v>
      </c>
      <c r="CE357" t="s">
        <v>127</v>
      </c>
      <c r="CF357" s="3">
        <v>45996</v>
      </c>
      <c r="CI357">
        <v>1</v>
      </c>
      <c r="CJ357">
        <v>1</v>
      </c>
      <c r="CK357">
        <v>21</v>
      </c>
      <c r="CL357" t="s">
        <v>87</v>
      </c>
    </row>
    <row r="358" spans="1:90" x14ac:dyDescent="0.3">
      <c r="A358" t="s">
        <v>72</v>
      </c>
      <c r="B358" t="s">
        <v>73</v>
      </c>
      <c r="C358" t="s">
        <v>74</v>
      </c>
      <c r="E358" t="str">
        <f>"080069648114"</f>
        <v>080069648114</v>
      </c>
      <c r="F358" s="3">
        <v>45994</v>
      </c>
      <c r="G358">
        <v>202609</v>
      </c>
      <c r="H358" t="s">
        <v>75</v>
      </c>
      <c r="I358" t="s">
        <v>76</v>
      </c>
      <c r="J358" t="s">
        <v>77</v>
      </c>
      <c r="K358" t="s">
        <v>78</v>
      </c>
      <c r="L358" t="s">
        <v>156</v>
      </c>
      <c r="M358" t="s">
        <v>157</v>
      </c>
      <c r="N358" t="s">
        <v>434</v>
      </c>
      <c r="O358" t="s">
        <v>89</v>
      </c>
      <c r="P358" t="str">
        <f>"4170071547                    "</f>
        <v xml:space="preserve">4170071547                    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25.52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1</v>
      </c>
      <c r="BI358">
        <v>1</v>
      </c>
      <c r="BJ358">
        <v>0.2</v>
      </c>
      <c r="BK358">
        <v>1</v>
      </c>
      <c r="BL358">
        <v>76.06</v>
      </c>
      <c r="BM358">
        <v>11.41</v>
      </c>
      <c r="BN358">
        <v>87.47</v>
      </c>
      <c r="BO358">
        <v>87.47</v>
      </c>
      <c r="BQ358" t="s">
        <v>435</v>
      </c>
      <c r="BR358" t="s">
        <v>82</v>
      </c>
      <c r="BS358" s="3">
        <v>45995</v>
      </c>
      <c r="BT358" s="4">
        <v>0.37916666666666665</v>
      </c>
      <c r="BU358" t="s">
        <v>982</v>
      </c>
      <c r="BV358" t="s">
        <v>84</v>
      </c>
      <c r="BY358">
        <v>1200</v>
      </c>
      <c r="BZ358" t="s">
        <v>271</v>
      </c>
      <c r="CA358" t="s">
        <v>264</v>
      </c>
      <c r="CC358" t="s">
        <v>157</v>
      </c>
      <c r="CD358">
        <v>7441</v>
      </c>
      <c r="CE358" t="s">
        <v>127</v>
      </c>
      <c r="CF358" s="3">
        <v>45996</v>
      </c>
      <c r="CI358">
        <v>1</v>
      </c>
      <c r="CJ358">
        <v>1</v>
      </c>
      <c r="CK358">
        <v>21</v>
      </c>
      <c r="CL358" t="s">
        <v>87</v>
      </c>
    </row>
    <row r="359" spans="1:90" x14ac:dyDescent="0.3">
      <c r="A359" t="s">
        <v>72</v>
      </c>
      <c r="B359" t="s">
        <v>73</v>
      </c>
      <c r="C359" t="s">
        <v>74</v>
      </c>
      <c r="E359" t="str">
        <f>"080069648131"</f>
        <v>080069648131</v>
      </c>
      <c r="F359" s="3">
        <v>45994</v>
      </c>
      <c r="G359">
        <v>202609</v>
      </c>
      <c r="H359" t="s">
        <v>75</v>
      </c>
      <c r="I359" t="s">
        <v>76</v>
      </c>
      <c r="J359" t="s">
        <v>77</v>
      </c>
      <c r="K359" t="s">
        <v>78</v>
      </c>
      <c r="L359" t="s">
        <v>141</v>
      </c>
      <c r="M359" t="s">
        <v>142</v>
      </c>
      <c r="N359" t="s">
        <v>486</v>
      </c>
      <c r="O359" t="s">
        <v>89</v>
      </c>
      <c r="P359" t="str">
        <f>"4170071622                    "</f>
        <v xml:space="preserve">4170071622                    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25.52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1</v>
      </c>
      <c r="BI359">
        <v>1</v>
      </c>
      <c r="BJ359">
        <v>0.2</v>
      </c>
      <c r="BK359">
        <v>1</v>
      </c>
      <c r="BL359">
        <v>76.06</v>
      </c>
      <c r="BM359">
        <v>11.41</v>
      </c>
      <c r="BN359">
        <v>87.47</v>
      </c>
      <c r="BO359">
        <v>87.47</v>
      </c>
      <c r="BQ359" t="s">
        <v>487</v>
      </c>
      <c r="BR359" t="s">
        <v>82</v>
      </c>
      <c r="BS359" s="3">
        <v>45995</v>
      </c>
      <c r="BT359" s="4">
        <v>0.41180555555555554</v>
      </c>
      <c r="BU359" t="s">
        <v>983</v>
      </c>
      <c r="BV359" t="s">
        <v>84</v>
      </c>
      <c r="BY359">
        <v>1200</v>
      </c>
      <c r="BZ359" t="s">
        <v>271</v>
      </c>
      <c r="CA359" t="s">
        <v>489</v>
      </c>
      <c r="CC359" t="s">
        <v>142</v>
      </c>
      <c r="CD359">
        <v>6012</v>
      </c>
      <c r="CE359" t="s">
        <v>127</v>
      </c>
      <c r="CF359" s="3">
        <v>45995</v>
      </c>
      <c r="CI359">
        <v>1</v>
      </c>
      <c r="CJ359">
        <v>1</v>
      </c>
      <c r="CK359">
        <v>21</v>
      </c>
      <c r="CL359" t="s">
        <v>87</v>
      </c>
    </row>
    <row r="360" spans="1:90" x14ac:dyDescent="0.3">
      <c r="A360" t="s">
        <v>72</v>
      </c>
      <c r="B360" t="s">
        <v>73</v>
      </c>
      <c r="C360" t="s">
        <v>74</v>
      </c>
      <c r="E360" t="str">
        <f>"080069648148"</f>
        <v>080069648148</v>
      </c>
      <c r="F360" s="3">
        <v>45994</v>
      </c>
      <c r="G360">
        <v>202609</v>
      </c>
      <c r="H360" t="s">
        <v>75</v>
      </c>
      <c r="I360" t="s">
        <v>76</v>
      </c>
      <c r="J360" t="s">
        <v>77</v>
      </c>
      <c r="K360" t="s">
        <v>78</v>
      </c>
      <c r="L360" t="s">
        <v>94</v>
      </c>
      <c r="M360" t="s">
        <v>95</v>
      </c>
      <c r="N360" t="s">
        <v>230</v>
      </c>
      <c r="O360" t="s">
        <v>89</v>
      </c>
      <c r="P360" t="str">
        <f>"4170071594                    "</f>
        <v xml:space="preserve">4170071594                    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57.41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1</v>
      </c>
      <c r="BI360">
        <v>4</v>
      </c>
      <c r="BJ360">
        <v>4.0999999999999996</v>
      </c>
      <c r="BK360">
        <v>4.5</v>
      </c>
      <c r="BL360">
        <v>171.1</v>
      </c>
      <c r="BM360">
        <v>25.67</v>
      </c>
      <c r="BN360">
        <v>196.77</v>
      </c>
      <c r="BO360">
        <v>196.77</v>
      </c>
      <c r="BQ360" t="s">
        <v>231</v>
      </c>
      <c r="BR360" t="s">
        <v>82</v>
      </c>
      <c r="BS360" s="3">
        <v>45995</v>
      </c>
      <c r="BT360" s="4">
        <v>0.40763888888888888</v>
      </c>
      <c r="BU360" t="s">
        <v>984</v>
      </c>
      <c r="BV360" t="s">
        <v>84</v>
      </c>
      <c r="BY360">
        <v>20358</v>
      </c>
      <c r="CA360" t="s">
        <v>99</v>
      </c>
      <c r="CC360" t="s">
        <v>95</v>
      </c>
      <c r="CD360">
        <v>3608</v>
      </c>
      <c r="CE360" t="s">
        <v>86</v>
      </c>
      <c r="CF360" s="3">
        <v>45995</v>
      </c>
      <c r="CI360">
        <v>1</v>
      </c>
      <c r="CJ360">
        <v>1</v>
      </c>
      <c r="CK360">
        <v>21</v>
      </c>
      <c r="CL360" t="s">
        <v>87</v>
      </c>
    </row>
    <row r="361" spans="1:90" x14ac:dyDescent="0.3">
      <c r="A361" t="s">
        <v>72</v>
      </c>
      <c r="B361" t="s">
        <v>73</v>
      </c>
      <c r="C361" t="s">
        <v>74</v>
      </c>
      <c r="E361" t="str">
        <f>"080069648166"</f>
        <v>080069648166</v>
      </c>
      <c r="F361" s="3">
        <v>45994</v>
      </c>
      <c r="G361">
        <v>202609</v>
      </c>
      <c r="H361" t="s">
        <v>75</v>
      </c>
      <c r="I361" t="s">
        <v>76</v>
      </c>
      <c r="J361" t="s">
        <v>77</v>
      </c>
      <c r="K361" t="s">
        <v>78</v>
      </c>
      <c r="L361" t="s">
        <v>985</v>
      </c>
      <c r="M361" t="s">
        <v>986</v>
      </c>
      <c r="N361" t="s">
        <v>987</v>
      </c>
      <c r="O361" t="s">
        <v>89</v>
      </c>
      <c r="P361" t="str">
        <f>"4170071628                    "</f>
        <v xml:space="preserve">4170071628                    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49.45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1</v>
      </c>
      <c r="BI361">
        <v>1</v>
      </c>
      <c r="BJ361">
        <v>0.9</v>
      </c>
      <c r="BK361">
        <v>1</v>
      </c>
      <c r="BL361">
        <v>147.38</v>
      </c>
      <c r="BM361">
        <v>22.11</v>
      </c>
      <c r="BN361">
        <v>169.49</v>
      </c>
      <c r="BO361">
        <v>169.49</v>
      </c>
      <c r="BQ361" t="s">
        <v>988</v>
      </c>
      <c r="BR361" t="s">
        <v>82</v>
      </c>
      <c r="BS361" s="3">
        <v>45995</v>
      </c>
      <c r="BT361" s="4">
        <v>0.5756944444444444</v>
      </c>
      <c r="BU361" t="s">
        <v>989</v>
      </c>
      <c r="BV361" t="s">
        <v>84</v>
      </c>
      <c r="BY361">
        <v>4275</v>
      </c>
      <c r="CA361" t="s">
        <v>990</v>
      </c>
      <c r="CC361" t="s">
        <v>986</v>
      </c>
      <c r="CD361">
        <v>4449</v>
      </c>
      <c r="CE361" t="s">
        <v>86</v>
      </c>
      <c r="CF361" s="3">
        <v>45996</v>
      </c>
      <c r="CI361">
        <v>1</v>
      </c>
      <c r="CJ361">
        <v>1</v>
      </c>
      <c r="CK361">
        <v>23</v>
      </c>
      <c r="CL361" t="s">
        <v>87</v>
      </c>
    </row>
    <row r="362" spans="1:90" x14ac:dyDescent="0.3">
      <c r="A362" t="s">
        <v>72</v>
      </c>
      <c r="B362" t="s">
        <v>73</v>
      </c>
      <c r="C362" t="s">
        <v>74</v>
      </c>
      <c r="E362" t="str">
        <f>"080069648206"</f>
        <v>080069648206</v>
      </c>
      <c r="F362" s="3">
        <v>45994</v>
      </c>
      <c r="G362">
        <v>202609</v>
      </c>
      <c r="H362" t="s">
        <v>75</v>
      </c>
      <c r="I362" t="s">
        <v>76</v>
      </c>
      <c r="J362" t="s">
        <v>77</v>
      </c>
      <c r="K362" t="s">
        <v>78</v>
      </c>
      <c r="L362" t="s">
        <v>156</v>
      </c>
      <c r="M362" t="s">
        <v>157</v>
      </c>
      <c r="N362" t="s">
        <v>470</v>
      </c>
      <c r="O362" t="s">
        <v>89</v>
      </c>
      <c r="P362" t="str">
        <f>"4170071588                    "</f>
        <v xml:space="preserve">4170071588                    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25.52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1</v>
      </c>
      <c r="BI362">
        <v>2</v>
      </c>
      <c r="BJ362">
        <v>1.9</v>
      </c>
      <c r="BK362">
        <v>2</v>
      </c>
      <c r="BL362">
        <v>76.06</v>
      </c>
      <c r="BM362">
        <v>11.41</v>
      </c>
      <c r="BN362">
        <v>87.47</v>
      </c>
      <c r="BO362">
        <v>87.47</v>
      </c>
      <c r="BQ362" t="s">
        <v>471</v>
      </c>
      <c r="BR362" t="s">
        <v>82</v>
      </c>
      <c r="BS362" s="3">
        <v>45995</v>
      </c>
      <c r="BT362" s="4">
        <v>0.41944444444444445</v>
      </c>
      <c r="BU362" t="s">
        <v>991</v>
      </c>
      <c r="BV362" t="s">
        <v>84</v>
      </c>
      <c r="BY362">
        <v>9576</v>
      </c>
      <c r="CA362" t="s">
        <v>992</v>
      </c>
      <c r="CC362" t="s">
        <v>157</v>
      </c>
      <c r="CD362">
        <v>7480</v>
      </c>
      <c r="CE362" t="s">
        <v>86</v>
      </c>
      <c r="CF362" s="3">
        <v>45996</v>
      </c>
      <c r="CI362">
        <v>1</v>
      </c>
      <c r="CJ362">
        <v>1</v>
      </c>
      <c r="CK362">
        <v>21</v>
      </c>
      <c r="CL362" t="s">
        <v>87</v>
      </c>
    </row>
    <row r="363" spans="1:90" x14ac:dyDescent="0.3">
      <c r="A363" t="s">
        <v>72</v>
      </c>
      <c r="B363" t="s">
        <v>73</v>
      </c>
      <c r="C363" t="s">
        <v>74</v>
      </c>
      <c r="E363" t="str">
        <f>"080069648281"</f>
        <v>080069648281</v>
      </c>
      <c r="F363" s="3">
        <v>45994</v>
      </c>
      <c r="G363">
        <v>202609</v>
      </c>
      <c r="H363" t="s">
        <v>75</v>
      </c>
      <c r="I363" t="s">
        <v>76</v>
      </c>
      <c r="J363" t="s">
        <v>77</v>
      </c>
      <c r="K363" t="s">
        <v>78</v>
      </c>
      <c r="L363" t="s">
        <v>189</v>
      </c>
      <c r="M363" t="s">
        <v>190</v>
      </c>
      <c r="N363" t="s">
        <v>191</v>
      </c>
      <c r="O363" t="s">
        <v>89</v>
      </c>
      <c r="P363" t="str">
        <f>"4170071574                    "</f>
        <v xml:space="preserve">4170071574                    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25.52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1</v>
      </c>
      <c r="BI363">
        <v>1.7</v>
      </c>
      <c r="BJ363">
        <v>1.7</v>
      </c>
      <c r="BK363">
        <v>2</v>
      </c>
      <c r="BL363">
        <v>76.06</v>
      </c>
      <c r="BM363">
        <v>11.41</v>
      </c>
      <c r="BN363">
        <v>87.47</v>
      </c>
      <c r="BO363">
        <v>87.47</v>
      </c>
      <c r="BQ363" t="s">
        <v>192</v>
      </c>
      <c r="BR363" t="s">
        <v>82</v>
      </c>
      <c r="BS363" s="3">
        <v>45996</v>
      </c>
      <c r="BT363" s="4">
        <v>0.42152777777777778</v>
      </c>
      <c r="BU363" t="s">
        <v>464</v>
      </c>
      <c r="BV363" t="s">
        <v>87</v>
      </c>
      <c r="BY363">
        <v>8279.85</v>
      </c>
      <c r="CA363" t="s">
        <v>194</v>
      </c>
      <c r="CC363" t="s">
        <v>190</v>
      </c>
      <c r="CD363">
        <v>3201</v>
      </c>
      <c r="CE363" t="s">
        <v>86</v>
      </c>
      <c r="CF363" s="3">
        <v>45997</v>
      </c>
      <c r="CI363">
        <v>1</v>
      </c>
      <c r="CJ363">
        <v>2</v>
      </c>
      <c r="CK363">
        <v>21</v>
      </c>
      <c r="CL363" t="s">
        <v>87</v>
      </c>
    </row>
    <row r="364" spans="1:90" x14ac:dyDescent="0.3">
      <c r="A364" t="s">
        <v>72</v>
      </c>
      <c r="B364" t="s">
        <v>73</v>
      </c>
      <c r="C364" t="s">
        <v>74</v>
      </c>
      <c r="E364" t="str">
        <f>"080069648367"</f>
        <v>080069648367</v>
      </c>
      <c r="F364" s="3">
        <v>45994</v>
      </c>
      <c r="G364">
        <v>202609</v>
      </c>
      <c r="H364" t="s">
        <v>75</v>
      </c>
      <c r="I364" t="s">
        <v>76</v>
      </c>
      <c r="J364" t="s">
        <v>77</v>
      </c>
      <c r="K364" t="s">
        <v>78</v>
      </c>
      <c r="L364" t="s">
        <v>513</v>
      </c>
      <c r="M364" t="s">
        <v>514</v>
      </c>
      <c r="N364" t="s">
        <v>515</v>
      </c>
      <c r="O364" t="s">
        <v>89</v>
      </c>
      <c r="P364" t="str">
        <f>"4170071586                    "</f>
        <v xml:space="preserve">4170071586                    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105.28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1</v>
      </c>
      <c r="BI364">
        <v>2</v>
      </c>
      <c r="BJ364">
        <v>4.0999999999999996</v>
      </c>
      <c r="BK364">
        <v>4.5</v>
      </c>
      <c r="BL364">
        <v>313.76</v>
      </c>
      <c r="BM364">
        <v>47.06</v>
      </c>
      <c r="BN364">
        <v>360.82</v>
      </c>
      <c r="BO364">
        <v>360.82</v>
      </c>
      <c r="BQ364" t="s">
        <v>516</v>
      </c>
      <c r="BR364" t="s">
        <v>82</v>
      </c>
      <c r="BS364" s="3">
        <v>45996</v>
      </c>
      <c r="BT364" s="4">
        <v>0.65625</v>
      </c>
      <c r="BU364" t="s">
        <v>931</v>
      </c>
      <c r="BV364" t="s">
        <v>84</v>
      </c>
      <c r="BY364">
        <v>20358</v>
      </c>
      <c r="CA364" t="s">
        <v>146</v>
      </c>
      <c r="CC364" t="s">
        <v>514</v>
      </c>
      <c r="CD364">
        <v>6300</v>
      </c>
      <c r="CE364" t="s">
        <v>86</v>
      </c>
      <c r="CI364">
        <v>2</v>
      </c>
      <c r="CJ364">
        <v>2</v>
      </c>
      <c r="CK364">
        <v>23</v>
      </c>
      <c r="CL364" t="s">
        <v>87</v>
      </c>
    </row>
    <row r="365" spans="1:90" x14ac:dyDescent="0.3">
      <c r="A365" t="s">
        <v>72</v>
      </c>
      <c r="B365" t="s">
        <v>73</v>
      </c>
      <c r="C365" t="s">
        <v>74</v>
      </c>
      <c r="E365" t="str">
        <f>"080069648428"</f>
        <v>080069648428</v>
      </c>
      <c r="F365" s="3">
        <v>45994</v>
      </c>
      <c r="G365">
        <v>202609</v>
      </c>
      <c r="H365" t="s">
        <v>75</v>
      </c>
      <c r="I365" t="s">
        <v>76</v>
      </c>
      <c r="J365" t="s">
        <v>77</v>
      </c>
      <c r="K365" t="s">
        <v>78</v>
      </c>
      <c r="L365" t="s">
        <v>141</v>
      </c>
      <c r="M365" t="s">
        <v>142</v>
      </c>
      <c r="N365" t="s">
        <v>614</v>
      </c>
      <c r="O365" t="s">
        <v>89</v>
      </c>
      <c r="P365" t="str">
        <f>"4170071627                    "</f>
        <v xml:space="preserve">4170071627                    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63.79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1</v>
      </c>
      <c r="BI365">
        <v>5</v>
      </c>
      <c r="BJ365">
        <v>1.9</v>
      </c>
      <c r="BK365">
        <v>5</v>
      </c>
      <c r="BL365">
        <v>190.11</v>
      </c>
      <c r="BM365">
        <v>28.52</v>
      </c>
      <c r="BN365">
        <v>218.63</v>
      </c>
      <c r="BO365">
        <v>218.63</v>
      </c>
      <c r="BQ365" t="s">
        <v>615</v>
      </c>
      <c r="BR365" t="s">
        <v>82</v>
      </c>
      <c r="BS365" s="3">
        <v>45995</v>
      </c>
      <c r="BT365" s="4">
        <v>0.40277777777777779</v>
      </c>
      <c r="BU365" t="s">
        <v>616</v>
      </c>
      <c r="BV365" t="s">
        <v>84</v>
      </c>
      <c r="BY365">
        <v>9576</v>
      </c>
      <c r="CA365" t="s">
        <v>277</v>
      </c>
      <c r="CC365" t="s">
        <v>142</v>
      </c>
      <c r="CD365">
        <v>6001</v>
      </c>
      <c r="CE365" t="s">
        <v>86</v>
      </c>
      <c r="CF365" s="3">
        <v>45995</v>
      </c>
      <c r="CI365">
        <v>1</v>
      </c>
      <c r="CJ365">
        <v>1</v>
      </c>
      <c r="CK365">
        <v>21</v>
      </c>
      <c r="CL365" t="s">
        <v>87</v>
      </c>
    </row>
    <row r="366" spans="1:90" x14ac:dyDescent="0.3">
      <c r="A366" t="s">
        <v>72</v>
      </c>
      <c r="B366" t="s">
        <v>73</v>
      </c>
      <c r="C366" t="s">
        <v>74</v>
      </c>
      <c r="E366" t="str">
        <f>"080069648448"</f>
        <v>080069648448</v>
      </c>
      <c r="F366" s="3">
        <v>45994</v>
      </c>
      <c r="G366">
        <v>202609</v>
      </c>
      <c r="H366" t="s">
        <v>75</v>
      </c>
      <c r="I366" t="s">
        <v>76</v>
      </c>
      <c r="J366" t="s">
        <v>77</v>
      </c>
      <c r="K366" t="s">
        <v>78</v>
      </c>
      <c r="L366" t="s">
        <v>389</v>
      </c>
      <c r="M366" t="s">
        <v>390</v>
      </c>
      <c r="N366" t="s">
        <v>993</v>
      </c>
      <c r="O366" t="s">
        <v>89</v>
      </c>
      <c r="P366" t="str">
        <f>"4170071575                    "</f>
        <v xml:space="preserve">4170071575                    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49.45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1</v>
      </c>
      <c r="BI366">
        <v>1</v>
      </c>
      <c r="BJ366">
        <v>1.1000000000000001</v>
      </c>
      <c r="BK366">
        <v>1.5</v>
      </c>
      <c r="BL366">
        <v>147.38</v>
      </c>
      <c r="BM366">
        <v>22.11</v>
      </c>
      <c r="BN366">
        <v>169.49</v>
      </c>
      <c r="BO366">
        <v>169.49</v>
      </c>
      <c r="BQ366" t="s">
        <v>994</v>
      </c>
      <c r="BR366" t="s">
        <v>82</v>
      </c>
      <c r="BS366" s="3">
        <v>45995</v>
      </c>
      <c r="BT366" s="4">
        <v>0.42569444444444443</v>
      </c>
      <c r="BU366" t="s">
        <v>995</v>
      </c>
      <c r="BV366" t="s">
        <v>84</v>
      </c>
      <c r="BY366">
        <v>5320</v>
      </c>
      <c r="CA366">
        <v>7601035402088</v>
      </c>
      <c r="CC366" t="s">
        <v>390</v>
      </c>
      <c r="CD366" s="5" t="s">
        <v>395</v>
      </c>
      <c r="CE366" t="s">
        <v>86</v>
      </c>
      <c r="CF366" s="3">
        <v>45996</v>
      </c>
      <c r="CI366">
        <v>1</v>
      </c>
      <c r="CJ366">
        <v>1</v>
      </c>
      <c r="CK366">
        <v>23</v>
      </c>
      <c r="CL366" t="s">
        <v>87</v>
      </c>
    </row>
    <row r="367" spans="1:90" x14ac:dyDescent="0.3">
      <c r="A367" t="s">
        <v>72</v>
      </c>
      <c r="B367" t="s">
        <v>73</v>
      </c>
      <c r="C367" t="s">
        <v>74</v>
      </c>
      <c r="E367" t="str">
        <f>"080069648708"</f>
        <v>080069648708</v>
      </c>
      <c r="F367" s="3">
        <v>45994</v>
      </c>
      <c r="G367">
        <v>202609</v>
      </c>
      <c r="H367" t="s">
        <v>75</v>
      </c>
      <c r="I367" t="s">
        <v>76</v>
      </c>
      <c r="J367" t="s">
        <v>77</v>
      </c>
      <c r="K367" t="s">
        <v>78</v>
      </c>
      <c r="L367" t="s">
        <v>465</v>
      </c>
      <c r="M367" t="s">
        <v>466</v>
      </c>
      <c r="N367" t="s">
        <v>731</v>
      </c>
      <c r="O367" t="s">
        <v>89</v>
      </c>
      <c r="P367" t="str">
        <f>"4170071624                    "</f>
        <v xml:space="preserve">4170071624                    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19.940000000000001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1</v>
      </c>
      <c r="BI367">
        <v>0.2</v>
      </c>
      <c r="BJ367">
        <v>0.9</v>
      </c>
      <c r="BK367">
        <v>1</v>
      </c>
      <c r="BL367">
        <v>59.42</v>
      </c>
      <c r="BM367">
        <v>8.91</v>
      </c>
      <c r="BN367">
        <v>68.33</v>
      </c>
      <c r="BO367">
        <v>68.33</v>
      </c>
      <c r="BQ367" t="s">
        <v>732</v>
      </c>
      <c r="BR367" t="s">
        <v>82</v>
      </c>
      <c r="BS367" s="3">
        <v>45995</v>
      </c>
      <c r="BT367" s="4">
        <v>0.40972222222222221</v>
      </c>
      <c r="BU367" t="s">
        <v>996</v>
      </c>
      <c r="BV367" t="s">
        <v>84</v>
      </c>
      <c r="BY367">
        <v>4396.8</v>
      </c>
      <c r="CA367" t="s">
        <v>720</v>
      </c>
      <c r="CC367" t="s">
        <v>466</v>
      </c>
      <c r="CD367">
        <v>1428</v>
      </c>
      <c r="CE367" t="s">
        <v>134</v>
      </c>
      <c r="CF367" s="3">
        <v>45996</v>
      </c>
      <c r="CI367">
        <v>1</v>
      </c>
      <c r="CJ367">
        <v>1</v>
      </c>
      <c r="CK367">
        <v>22</v>
      </c>
      <c r="CL367" t="s">
        <v>87</v>
      </c>
    </row>
    <row r="368" spans="1:90" x14ac:dyDescent="0.3">
      <c r="A368" t="s">
        <v>72</v>
      </c>
      <c r="B368" t="s">
        <v>73</v>
      </c>
      <c r="C368" t="s">
        <v>74</v>
      </c>
      <c r="E368" t="str">
        <f>"080069648728"</f>
        <v>080069648728</v>
      </c>
      <c r="F368" s="3">
        <v>45994</v>
      </c>
      <c r="G368">
        <v>202609</v>
      </c>
      <c r="H368" t="s">
        <v>75</v>
      </c>
      <c r="I368" t="s">
        <v>76</v>
      </c>
      <c r="J368" t="s">
        <v>77</v>
      </c>
      <c r="K368" t="s">
        <v>78</v>
      </c>
      <c r="L368" t="s">
        <v>109</v>
      </c>
      <c r="M368" t="s">
        <v>110</v>
      </c>
      <c r="N368" t="s">
        <v>870</v>
      </c>
      <c r="O368" t="s">
        <v>89</v>
      </c>
      <c r="P368" t="str">
        <f>"4170071561                    "</f>
        <v xml:space="preserve">4170071561                    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35.9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1</v>
      </c>
      <c r="BI368">
        <v>0.2</v>
      </c>
      <c r="BJ368">
        <v>1.7</v>
      </c>
      <c r="BK368">
        <v>2</v>
      </c>
      <c r="BL368">
        <v>106.98</v>
      </c>
      <c r="BM368">
        <v>16.05</v>
      </c>
      <c r="BN368">
        <v>123.03</v>
      </c>
      <c r="BO368">
        <v>123.03</v>
      </c>
      <c r="BQ368" t="s">
        <v>871</v>
      </c>
      <c r="BR368" t="s">
        <v>82</v>
      </c>
      <c r="BS368" s="3">
        <v>45996</v>
      </c>
      <c r="BT368" s="4">
        <v>0.62222222222222223</v>
      </c>
      <c r="BU368" t="s">
        <v>997</v>
      </c>
      <c r="BV368" t="s">
        <v>87</v>
      </c>
      <c r="BW368" t="s">
        <v>174</v>
      </c>
      <c r="BX368" t="s">
        <v>633</v>
      </c>
      <c r="BY368">
        <v>8533.2800000000007</v>
      </c>
      <c r="CC368" t="s">
        <v>110</v>
      </c>
      <c r="CD368">
        <v>1754</v>
      </c>
      <c r="CE368" t="s">
        <v>134</v>
      </c>
      <c r="CF368" s="3">
        <v>45997</v>
      </c>
      <c r="CI368">
        <v>1</v>
      </c>
      <c r="CJ368">
        <v>2</v>
      </c>
      <c r="CK368">
        <v>24</v>
      </c>
      <c r="CL368" t="s">
        <v>87</v>
      </c>
    </row>
    <row r="369" spans="1:90" x14ac:dyDescent="0.3">
      <c r="A369" t="s">
        <v>72</v>
      </c>
      <c r="B369" t="s">
        <v>73</v>
      </c>
      <c r="C369" t="s">
        <v>74</v>
      </c>
      <c r="E369" t="str">
        <f>"080069648744"</f>
        <v>080069648744</v>
      </c>
      <c r="F369" s="3">
        <v>45994</v>
      </c>
      <c r="G369">
        <v>202609</v>
      </c>
      <c r="H369" t="s">
        <v>75</v>
      </c>
      <c r="I369" t="s">
        <v>76</v>
      </c>
      <c r="J369" t="s">
        <v>77</v>
      </c>
      <c r="K369" t="s">
        <v>78</v>
      </c>
      <c r="L369" t="s">
        <v>141</v>
      </c>
      <c r="M369" t="s">
        <v>142</v>
      </c>
      <c r="N369" t="s">
        <v>630</v>
      </c>
      <c r="O369" t="s">
        <v>89</v>
      </c>
      <c r="P369" t="str">
        <f>"4170071625                    "</f>
        <v xml:space="preserve">4170071625                    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25.52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1</v>
      </c>
      <c r="BI369">
        <v>1</v>
      </c>
      <c r="BJ369">
        <v>0.2</v>
      </c>
      <c r="BK369">
        <v>1</v>
      </c>
      <c r="BL369">
        <v>76.06</v>
      </c>
      <c r="BM369">
        <v>11.41</v>
      </c>
      <c r="BN369">
        <v>87.47</v>
      </c>
      <c r="BO369">
        <v>87.47</v>
      </c>
      <c r="BQ369" t="s">
        <v>631</v>
      </c>
      <c r="BR369" t="s">
        <v>82</v>
      </c>
      <c r="BS369" s="3">
        <v>45995</v>
      </c>
      <c r="BT369" s="4">
        <v>0.37986111111111109</v>
      </c>
      <c r="BU369" t="s">
        <v>223</v>
      </c>
      <c r="BV369" t="s">
        <v>84</v>
      </c>
      <c r="BY369">
        <v>1200</v>
      </c>
      <c r="BZ369" t="s">
        <v>271</v>
      </c>
      <c r="CA369" t="s">
        <v>224</v>
      </c>
      <c r="CC369" t="s">
        <v>142</v>
      </c>
      <c r="CD369">
        <v>6001</v>
      </c>
      <c r="CE369" t="s">
        <v>127</v>
      </c>
      <c r="CF369" s="3">
        <v>45995</v>
      </c>
      <c r="CI369">
        <v>1</v>
      </c>
      <c r="CJ369">
        <v>1</v>
      </c>
      <c r="CK369">
        <v>21</v>
      </c>
      <c r="CL369" t="s">
        <v>87</v>
      </c>
    </row>
    <row r="370" spans="1:90" x14ac:dyDescent="0.3">
      <c r="A370" t="s">
        <v>72</v>
      </c>
      <c r="B370" t="s">
        <v>73</v>
      </c>
      <c r="C370" t="s">
        <v>74</v>
      </c>
      <c r="E370" t="str">
        <f>"080069648774"</f>
        <v>080069648774</v>
      </c>
      <c r="F370" s="3">
        <v>45994</v>
      </c>
      <c r="G370">
        <v>202609</v>
      </c>
      <c r="H370" t="s">
        <v>75</v>
      </c>
      <c r="I370" t="s">
        <v>76</v>
      </c>
      <c r="J370" t="s">
        <v>77</v>
      </c>
      <c r="K370" t="s">
        <v>78</v>
      </c>
      <c r="L370" t="s">
        <v>458</v>
      </c>
      <c r="M370" t="s">
        <v>459</v>
      </c>
      <c r="N370" t="s">
        <v>460</v>
      </c>
      <c r="O370" t="s">
        <v>89</v>
      </c>
      <c r="P370" t="str">
        <f>"4170071576                    "</f>
        <v xml:space="preserve">4170071576                    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82.95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1</v>
      </c>
      <c r="BI370">
        <v>2</v>
      </c>
      <c r="BJ370">
        <v>3.1</v>
      </c>
      <c r="BK370">
        <v>3.5</v>
      </c>
      <c r="BL370">
        <v>247.21</v>
      </c>
      <c r="BM370">
        <v>37.08</v>
      </c>
      <c r="BN370">
        <v>284.29000000000002</v>
      </c>
      <c r="BO370">
        <v>284.29000000000002</v>
      </c>
      <c r="BQ370" t="s">
        <v>461</v>
      </c>
      <c r="BR370" t="s">
        <v>82</v>
      </c>
      <c r="BS370" s="3">
        <v>45995</v>
      </c>
      <c r="BT370" s="4">
        <v>0.53333333333333333</v>
      </c>
      <c r="BU370" t="s">
        <v>462</v>
      </c>
      <c r="BV370" t="s">
        <v>84</v>
      </c>
      <c r="BY370">
        <v>15360</v>
      </c>
      <c r="CA370" t="s">
        <v>463</v>
      </c>
      <c r="CC370" t="s">
        <v>459</v>
      </c>
      <c r="CD370">
        <v>7130</v>
      </c>
      <c r="CE370" t="s">
        <v>86</v>
      </c>
      <c r="CF370" s="3">
        <v>45996</v>
      </c>
      <c r="CI370">
        <v>1</v>
      </c>
      <c r="CJ370">
        <v>1</v>
      </c>
      <c r="CK370">
        <v>23</v>
      </c>
      <c r="CL370" t="s">
        <v>87</v>
      </c>
    </row>
    <row r="371" spans="1:90" x14ac:dyDescent="0.3">
      <c r="A371" t="s">
        <v>72</v>
      </c>
      <c r="B371" t="s">
        <v>73</v>
      </c>
      <c r="C371" t="s">
        <v>74</v>
      </c>
      <c r="E371" t="str">
        <f>"080069648798"</f>
        <v>080069648798</v>
      </c>
      <c r="F371" s="3">
        <v>45994</v>
      </c>
      <c r="G371">
        <v>202609</v>
      </c>
      <c r="H371" t="s">
        <v>75</v>
      </c>
      <c r="I371" t="s">
        <v>76</v>
      </c>
      <c r="J371" t="s">
        <v>77</v>
      </c>
      <c r="K371" t="s">
        <v>78</v>
      </c>
      <c r="L371" t="s">
        <v>94</v>
      </c>
      <c r="M371" t="s">
        <v>95</v>
      </c>
      <c r="N371" t="s">
        <v>96</v>
      </c>
      <c r="O371" t="s">
        <v>89</v>
      </c>
      <c r="P371" t="str">
        <f>"4170071581                    "</f>
        <v xml:space="preserve">4170071581                    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44.66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1</v>
      </c>
      <c r="BI371">
        <v>1.8</v>
      </c>
      <c r="BJ371">
        <v>3.1</v>
      </c>
      <c r="BK371">
        <v>3.5</v>
      </c>
      <c r="BL371">
        <v>133.09</v>
      </c>
      <c r="BM371">
        <v>19.96</v>
      </c>
      <c r="BN371">
        <v>153.05000000000001</v>
      </c>
      <c r="BO371">
        <v>153.05000000000001</v>
      </c>
      <c r="BQ371" t="s">
        <v>998</v>
      </c>
      <c r="BR371" t="s">
        <v>82</v>
      </c>
      <c r="BS371" s="3">
        <v>45995</v>
      </c>
      <c r="BT371" s="4">
        <v>0.38472222222222224</v>
      </c>
      <c r="BU371" t="s">
        <v>984</v>
      </c>
      <c r="BV371" t="s">
        <v>84</v>
      </c>
      <c r="BY371">
        <v>15543.36</v>
      </c>
      <c r="CA371" t="s">
        <v>99</v>
      </c>
      <c r="CC371" t="s">
        <v>95</v>
      </c>
      <c r="CD371">
        <v>3610</v>
      </c>
      <c r="CE371" t="s">
        <v>86</v>
      </c>
      <c r="CF371" s="3">
        <v>45995</v>
      </c>
      <c r="CI371">
        <v>1</v>
      </c>
      <c r="CJ371">
        <v>1</v>
      </c>
      <c r="CK371">
        <v>21</v>
      </c>
      <c r="CL371" t="s">
        <v>87</v>
      </c>
    </row>
    <row r="372" spans="1:90" x14ac:dyDescent="0.3">
      <c r="A372" t="s">
        <v>72</v>
      </c>
      <c r="B372" t="s">
        <v>73</v>
      </c>
      <c r="C372" t="s">
        <v>74</v>
      </c>
      <c r="E372" t="str">
        <f>"080069648818"</f>
        <v>080069648818</v>
      </c>
      <c r="F372" s="3">
        <v>45994</v>
      </c>
      <c r="G372">
        <v>202609</v>
      </c>
      <c r="H372" t="s">
        <v>75</v>
      </c>
      <c r="I372" t="s">
        <v>76</v>
      </c>
      <c r="J372" t="s">
        <v>77</v>
      </c>
      <c r="K372" t="s">
        <v>78</v>
      </c>
      <c r="L372" t="s">
        <v>141</v>
      </c>
      <c r="M372" t="s">
        <v>142</v>
      </c>
      <c r="N372" t="s">
        <v>934</v>
      </c>
      <c r="O372" t="s">
        <v>89</v>
      </c>
      <c r="P372" t="str">
        <f>"4170071626                    "</f>
        <v xml:space="preserve">4170071626                    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38.28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1</v>
      </c>
      <c r="BI372">
        <v>3</v>
      </c>
      <c r="BJ372">
        <v>1.8</v>
      </c>
      <c r="BK372">
        <v>3</v>
      </c>
      <c r="BL372">
        <v>114.08</v>
      </c>
      <c r="BM372">
        <v>17.11</v>
      </c>
      <c r="BN372">
        <v>131.19</v>
      </c>
      <c r="BO372">
        <v>131.19</v>
      </c>
      <c r="BQ372" t="s">
        <v>935</v>
      </c>
      <c r="BR372" t="s">
        <v>82</v>
      </c>
      <c r="BS372" s="3">
        <v>45995</v>
      </c>
      <c r="BT372" s="4">
        <v>0.37916666666666665</v>
      </c>
      <c r="BU372" t="s">
        <v>936</v>
      </c>
      <c r="BV372" t="s">
        <v>84</v>
      </c>
      <c r="BY372">
        <v>8816</v>
      </c>
      <c r="BZ372" t="s">
        <v>271</v>
      </c>
      <c r="CA372" t="s">
        <v>327</v>
      </c>
      <c r="CC372" t="s">
        <v>142</v>
      </c>
      <c r="CD372">
        <v>6000</v>
      </c>
      <c r="CE372" t="s">
        <v>147</v>
      </c>
      <c r="CF372" s="3">
        <v>45995</v>
      </c>
      <c r="CI372">
        <v>1</v>
      </c>
      <c r="CJ372">
        <v>1</v>
      </c>
      <c r="CK372">
        <v>21</v>
      </c>
      <c r="CL372" t="s">
        <v>87</v>
      </c>
    </row>
    <row r="373" spans="1:90" x14ac:dyDescent="0.3">
      <c r="A373" t="s">
        <v>72</v>
      </c>
      <c r="B373" t="s">
        <v>73</v>
      </c>
      <c r="C373" t="s">
        <v>74</v>
      </c>
      <c r="E373" t="str">
        <f>"080069648834"</f>
        <v>080069648834</v>
      </c>
      <c r="F373" s="3">
        <v>45994</v>
      </c>
      <c r="G373">
        <v>202609</v>
      </c>
      <c r="H373" t="s">
        <v>75</v>
      </c>
      <c r="I373" t="s">
        <v>76</v>
      </c>
      <c r="J373" t="s">
        <v>77</v>
      </c>
      <c r="K373" t="s">
        <v>78</v>
      </c>
      <c r="L373" t="s">
        <v>189</v>
      </c>
      <c r="M373" t="s">
        <v>190</v>
      </c>
      <c r="N373" t="s">
        <v>999</v>
      </c>
      <c r="O373" t="s">
        <v>89</v>
      </c>
      <c r="P373" t="str">
        <f>"4170071630                    "</f>
        <v xml:space="preserve">4170071630                    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25.52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1</v>
      </c>
      <c r="BI373">
        <v>2</v>
      </c>
      <c r="BJ373">
        <v>1.1000000000000001</v>
      </c>
      <c r="BK373">
        <v>2</v>
      </c>
      <c r="BL373">
        <v>76.06</v>
      </c>
      <c r="BM373">
        <v>11.41</v>
      </c>
      <c r="BN373">
        <v>87.47</v>
      </c>
      <c r="BO373">
        <v>87.47</v>
      </c>
      <c r="BQ373" t="s">
        <v>1000</v>
      </c>
      <c r="BR373" t="s">
        <v>82</v>
      </c>
      <c r="BS373" s="3">
        <v>45996</v>
      </c>
      <c r="BT373" s="4">
        <v>0.4513888888888889</v>
      </c>
      <c r="BU373" t="s">
        <v>1001</v>
      </c>
      <c r="BV373" t="s">
        <v>87</v>
      </c>
      <c r="BY373">
        <v>5510</v>
      </c>
      <c r="CC373" t="s">
        <v>190</v>
      </c>
      <c r="CD373">
        <v>3201</v>
      </c>
      <c r="CE373" t="s">
        <v>86</v>
      </c>
      <c r="CF373" s="3">
        <v>45997</v>
      </c>
      <c r="CI373">
        <v>1</v>
      </c>
      <c r="CJ373">
        <v>2</v>
      </c>
      <c r="CK373">
        <v>21</v>
      </c>
      <c r="CL373" t="s">
        <v>87</v>
      </c>
    </row>
    <row r="374" spans="1:90" x14ac:dyDescent="0.3">
      <c r="A374" t="s">
        <v>72</v>
      </c>
      <c r="B374" t="s">
        <v>73</v>
      </c>
      <c r="C374" t="s">
        <v>74</v>
      </c>
      <c r="E374" t="str">
        <f>"080069648862"</f>
        <v>080069648862</v>
      </c>
      <c r="F374" s="3">
        <v>45994</v>
      </c>
      <c r="G374">
        <v>202609</v>
      </c>
      <c r="H374" t="s">
        <v>75</v>
      </c>
      <c r="I374" t="s">
        <v>76</v>
      </c>
      <c r="J374" t="s">
        <v>77</v>
      </c>
      <c r="K374" t="s">
        <v>78</v>
      </c>
      <c r="L374" t="s">
        <v>128</v>
      </c>
      <c r="M374" t="s">
        <v>129</v>
      </c>
      <c r="N374" t="s">
        <v>183</v>
      </c>
      <c r="O374" t="s">
        <v>89</v>
      </c>
      <c r="P374" t="str">
        <f>"4170071609                    "</f>
        <v xml:space="preserve">4170071609                    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51.04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1</v>
      </c>
      <c r="BI374">
        <v>4</v>
      </c>
      <c r="BJ374">
        <v>2</v>
      </c>
      <c r="BK374">
        <v>4</v>
      </c>
      <c r="BL374">
        <v>152.1</v>
      </c>
      <c r="BM374">
        <v>22.82</v>
      </c>
      <c r="BN374">
        <v>174.92</v>
      </c>
      <c r="BO374">
        <v>174.92</v>
      </c>
      <c r="BQ374" t="s">
        <v>184</v>
      </c>
      <c r="BR374" t="s">
        <v>82</v>
      </c>
      <c r="BS374" s="3">
        <v>45995</v>
      </c>
      <c r="BT374" s="4">
        <v>0.56388888888888888</v>
      </c>
      <c r="BU374" t="s">
        <v>1002</v>
      </c>
      <c r="BV374" t="s">
        <v>87</v>
      </c>
      <c r="BW374" t="s">
        <v>186</v>
      </c>
      <c r="BX374" t="s">
        <v>187</v>
      </c>
      <c r="BY374">
        <v>9802</v>
      </c>
      <c r="CA374" t="s">
        <v>188</v>
      </c>
      <c r="CC374" t="s">
        <v>129</v>
      </c>
      <c r="CD374">
        <v>5201</v>
      </c>
      <c r="CE374" t="s">
        <v>93</v>
      </c>
      <c r="CF374" s="3">
        <v>45996</v>
      </c>
      <c r="CI374">
        <v>1</v>
      </c>
      <c r="CJ374">
        <v>1</v>
      </c>
      <c r="CK374">
        <v>21</v>
      </c>
      <c r="CL374" t="s">
        <v>87</v>
      </c>
    </row>
    <row r="375" spans="1:90" x14ac:dyDescent="0.3">
      <c r="A375" t="s">
        <v>72</v>
      </c>
      <c r="B375" t="s">
        <v>73</v>
      </c>
      <c r="C375" t="s">
        <v>74</v>
      </c>
      <c r="E375" t="str">
        <f>"080069648885"</f>
        <v>080069648885</v>
      </c>
      <c r="F375" s="3">
        <v>45994</v>
      </c>
      <c r="G375">
        <v>202609</v>
      </c>
      <c r="H375" t="s">
        <v>75</v>
      </c>
      <c r="I375" t="s">
        <v>76</v>
      </c>
      <c r="J375" t="s">
        <v>77</v>
      </c>
      <c r="K375" t="s">
        <v>78</v>
      </c>
      <c r="L375" t="s">
        <v>465</v>
      </c>
      <c r="M375" t="s">
        <v>466</v>
      </c>
      <c r="N375" t="s">
        <v>1003</v>
      </c>
      <c r="O375" t="s">
        <v>89</v>
      </c>
      <c r="P375" t="str">
        <f>"4170071562                    "</f>
        <v xml:space="preserve">4170071562                    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19.940000000000001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1</v>
      </c>
      <c r="BI375">
        <v>2</v>
      </c>
      <c r="BJ375">
        <v>1.2</v>
      </c>
      <c r="BK375">
        <v>2</v>
      </c>
      <c r="BL375">
        <v>59.42</v>
      </c>
      <c r="BM375">
        <v>8.91</v>
      </c>
      <c r="BN375">
        <v>68.33</v>
      </c>
      <c r="BO375">
        <v>68.33</v>
      </c>
      <c r="BQ375" t="s">
        <v>1004</v>
      </c>
      <c r="BR375" t="s">
        <v>82</v>
      </c>
      <c r="BS375" s="3">
        <v>45995</v>
      </c>
      <c r="BT375" s="4">
        <v>0.60416666666666663</v>
      </c>
      <c r="BU375" t="s">
        <v>1005</v>
      </c>
      <c r="BV375" t="s">
        <v>87</v>
      </c>
      <c r="BW375" t="s">
        <v>186</v>
      </c>
      <c r="BX375" t="s">
        <v>938</v>
      </c>
      <c r="BY375">
        <v>6084</v>
      </c>
      <c r="CC375" t="s">
        <v>466</v>
      </c>
      <c r="CD375">
        <v>1401</v>
      </c>
      <c r="CE375" t="s">
        <v>93</v>
      </c>
      <c r="CF375" s="3">
        <v>45996</v>
      </c>
      <c r="CI375">
        <v>1</v>
      </c>
      <c r="CJ375">
        <v>1</v>
      </c>
      <c r="CK375">
        <v>22</v>
      </c>
      <c r="CL375" t="s">
        <v>87</v>
      </c>
    </row>
    <row r="376" spans="1:90" x14ac:dyDescent="0.3">
      <c r="A376" t="s">
        <v>72</v>
      </c>
      <c r="B376" t="s">
        <v>73</v>
      </c>
      <c r="C376" t="s">
        <v>74</v>
      </c>
      <c r="E376" t="str">
        <f>"080069648906"</f>
        <v>080069648906</v>
      </c>
      <c r="F376" s="3">
        <v>45994</v>
      </c>
      <c r="G376">
        <v>202609</v>
      </c>
      <c r="H376" t="s">
        <v>75</v>
      </c>
      <c r="I376" t="s">
        <v>76</v>
      </c>
      <c r="J376" t="s">
        <v>77</v>
      </c>
      <c r="K376" t="s">
        <v>78</v>
      </c>
      <c r="L376" t="s">
        <v>366</v>
      </c>
      <c r="M376" t="s">
        <v>367</v>
      </c>
      <c r="N376" t="s">
        <v>1006</v>
      </c>
      <c r="O376" t="s">
        <v>340</v>
      </c>
      <c r="P376" t="str">
        <f>"4170071621                    "</f>
        <v xml:space="preserve">4170071621                    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101.31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1</v>
      </c>
      <c r="BI376">
        <v>4</v>
      </c>
      <c r="BJ376">
        <v>2.8</v>
      </c>
      <c r="BK376">
        <v>4</v>
      </c>
      <c r="BL376">
        <v>301.92</v>
      </c>
      <c r="BM376">
        <v>45.29</v>
      </c>
      <c r="BN376">
        <v>347.21</v>
      </c>
      <c r="BO376">
        <v>347.21</v>
      </c>
      <c r="BQ376" t="s">
        <v>1007</v>
      </c>
      <c r="BR376" t="s">
        <v>82</v>
      </c>
      <c r="BS376" s="3">
        <v>45995</v>
      </c>
      <c r="BT376" s="4">
        <v>0.41666666666666669</v>
      </c>
      <c r="BU376" t="s">
        <v>1008</v>
      </c>
      <c r="BV376" t="s">
        <v>84</v>
      </c>
      <c r="BY376">
        <v>14040</v>
      </c>
      <c r="CA376">
        <v>8511035270088</v>
      </c>
      <c r="CC376" t="s">
        <v>367</v>
      </c>
      <c r="CD376">
        <v>1939</v>
      </c>
      <c r="CE376" t="s">
        <v>93</v>
      </c>
      <c r="CF376" s="3">
        <v>45996</v>
      </c>
      <c r="CI376">
        <v>1</v>
      </c>
      <c r="CJ376">
        <v>1</v>
      </c>
      <c r="CK376">
        <v>33</v>
      </c>
      <c r="CL376" t="s">
        <v>87</v>
      </c>
    </row>
    <row r="377" spans="1:90" x14ac:dyDescent="0.3">
      <c r="A377" t="s">
        <v>72</v>
      </c>
      <c r="B377" t="s">
        <v>73</v>
      </c>
      <c r="C377" t="s">
        <v>74</v>
      </c>
      <c r="E377" t="str">
        <f>"080069649051"</f>
        <v>080069649051</v>
      </c>
      <c r="F377" s="3">
        <v>45994</v>
      </c>
      <c r="G377">
        <v>202609</v>
      </c>
      <c r="H377" t="s">
        <v>75</v>
      </c>
      <c r="I377" t="s">
        <v>76</v>
      </c>
      <c r="J377" t="s">
        <v>77</v>
      </c>
      <c r="K377" t="s">
        <v>78</v>
      </c>
      <c r="L377" t="s">
        <v>156</v>
      </c>
      <c r="M377" t="s">
        <v>157</v>
      </c>
      <c r="N377" t="s">
        <v>1009</v>
      </c>
      <c r="O377" t="s">
        <v>89</v>
      </c>
      <c r="P377" t="str">
        <f>"4170071730                    "</f>
        <v xml:space="preserve">4170071730                    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57.41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1</v>
      </c>
      <c r="BI377">
        <v>2</v>
      </c>
      <c r="BJ377">
        <v>4.0999999999999996</v>
      </c>
      <c r="BK377">
        <v>4.5</v>
      </c>
      <c r="BL377">
        <v>171.1</v>
      </c>
      <c r="BM377">
        <v>25.67</v>
      </c>
      <c r="BN377">
        <v>196.77</v>
      </c>
      <c r="BO377">
        <v>196.77</v>
      </c>
      <c r="BQ377" t="s">
        <v>1010</v>
      </c>
      <c r="BR377" t="s">
        <v>82</v>
      </c>
      <c r="BS377" s="3">
        <v>45995</v>
      </c>
      <c r="BT377" s="4">
        <v>0.39305555555555555</v>
      </c>
      <c r="BU377" t="s">
        <v>1011</v>
      </c>
      <c r="BV377" t="s">
        <v>84</v>
      </c>
      <c r="BY377">
        <v>20358</v>
      </c>
      <c r="CA377" t="s">
        <v>1012</v>
      </c>
      <c r="CC377" t="s">
        <v>157</v>
      </c>
      <c r="CD377">
        <v>7925</v>
      </c>
      <c r="CE377" t="s">
        <v>86</v>
      </c>
      <c r="CF377" s="3">
        <v>45996</v>
      </c>
      <c r="CI377">
        <v>1</v>
      </c>
      <c r="CJ377">
        <v>1</v>
      </c>
      <c r="CK377">
        <v>21</v>
      </c>
      <c r="CL377" t="s">
        <v>87</v>
      </c>
    </row>
    <row r="378" spans="1:90" x14ac:dyDescent="0.3">
      <c r="A378" t="s">
        <v>72</v>
      </c>
      <c r="B378" t="s">
        <v>73</v>
      </c>
      <c r="C378" t="s">
        <v>74</v>
      </c>
      <c r="E378" t="str">
        <f>"080069649822"</f>
        <v>080069649822</v>
      </c>
      <c r="F378" s="3">
        <v>45994</v>
      </c>
      <c r="G378">
        <v>202609</v>
      </c>
      <c r="H378" t="s">
        <v>75</v>
      </c>
      <c r="I378" t="s">
        <v>76</v>
      </c>
      <c r="J378" t="s">
        <v>77</v>
      </c>
      <c r="K378" t="s">
        <v>78</v>
      </c>
      <c r="L378" t="s">
        <v>533</v>
      </c>
      <c r="M378" t="s">
        <v>533</v>
      </c>
      <c r="N378" t="s">
        <v>1013</v>
      </c>
      <c r="O378" t="s">
        <v>89</v>
      </c>
      <c r="P378" t="str">
        <f>"4170071532                    "</f>
        <v xml:space="preserve">4170071532                    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250.43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1</v>
      </c>
      <c r="BI378">
        <v>6</v>
      </c>
      <c r="BJ378">
        <v>10.9</v>
      </c>
      <c r="BK378">
        <v>11</v>
      </c>
      <c r="BL378">
        <v>746.34</v>
      </c>
      <c r="BM378">
        <v>111.95</v>
      </c>
      <c r="BN378">
        <v>858.29</v>
      </c>
      <c r="BO378">
        <v>858.29</v>
      </c>
      <c r="BQ378" t="s">
        <v>1014</v>
      </c>
      <c r="BR378" t="s">
        <v>82</v>
      </c>
      <c r="BS378" s="3">
        <v>45995</v>
      </c>
      <c r="BT378" s="4">
        <v>0.79513888888888884</v>
      </c>
      <c r="BU378" t="s">
        <v>1015</v>
      </c>
      <c r="BV378" t="s">
        <v>87</v>
      </c>
      <c r="BW378" t="s">
        <v>153</v>
      </c>
      <c r="BX378" t="s">
        <v>345</v>
      </c>
      <c r="BY378">
        <v>54740</v>
      </c>
      <c r="CA378" t="s">
        <v>537</v>
      </c>
      <c r="CC378" t="s">
        <v>533</v>
      </c>
      <c r="CD378">
        <v>7646</v>
      </c>
      <c r="CE378" t="s">
        <v>93</v>
      </c>
      <c r="CF378" s="3">
        <v>45996</v>
      </c>
      <c r="CI378">
        <v>1</v>
      </c>
      <c r="CJ378">
        <v>1</v>
      </c>
      <c r="CK378">
        <v>23</v>
      </c>
      <c r="CL378" t="s">
        <v>87</v>
      </c>
    </row>
    <row r="379" spans="1:90" x14ac:dyDescent="0.3">
      <c r="A379" t="s">
        <v>72</v>
      </c>
      <c r="B379" t="s">
        <v>73</v>
      </c>
      <c r="C379" t="s">
        <v>74</v>
      </c>
      <c r="E379" t="str">
        <f>"080069649856"</f>
        <v>080069649856</v>
      </c>
      <c r="F379" s="3">
        <v>45994</v>
      </c>
      <c r="G379">
        <v>202609</v>
      </c>
      <c r="H379" t="s">
        <v>75</v>
      </c>
      <c r="I379" t="s">
        <v>76</v>
      </c>
      <c r="J379" t="s">
        <v>77</v>
      </c>
      <c r="K379" t="s">
        <v>78</v>
      </c>
      <c r="L379" t="s">
        <v>141</v>
      </c>
      <c r="M379" t="s">
        <v>142</v>
      </c>
      <c r="N379" t="s">
        <v>731</v>
      </c>
      <c r="O379" t="s">
        <v>89</v>
      </c>
      <c r="P379" t="str">
        <f>"4170071535                    "</f>
        <v xml:space="preserve">4170071535                    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25.52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1</v>
      </c>
      <c r="BI379">
        <v>1</v>
      </c>
      <c r="BJ379">
        <v>1.9</v>
      </c>
      <c r="BK379">
        <v>2</v>
      </c>
      <c r="BL379">
        <v>76.06</v>
      </c>
      <c r="BM379">
        <v>11.41</v>
      </c>
      <c r="BN379">
        <v>87.47</v>
      </c>
      <c r="BO379">
        <v>87.47</v>
      </c>
      <c r="BQ379" t="s">
        <v>732</v>
      </c>
      <c r="BR379" t="s">
        <v>82</v>
      </c>
      <c r="BS379" s="3">
        <v>45995</v>
      </c>
      <c r="BT379" s="4">
        <v>0.40763888888888888</v>
      </c>
      <c r="BU379" t="s">
        <v>951</v>
      </c>
      <c r="BV379" t="s">
        <v>84</v>
      </c>
      <c r="BY379">
        <v>9600</v>
      </c>
      <c r="CA379" t="s">
        <v>277</v>
      </c>
      <c r="CC379" t="s">
        <v>142</v>
      </c>
      <c r="CD379">
        <v>6001</v>
      </c>
      <c r="CE379" t="s">
        <v>86</v>
      </c>
      <c r="CF379" s="3">
        <v>45995</v>
      </c>
      <c r="CI379">
        <v>1</v>
      </c>
      <c r="CJ379">
        <v>1</v>
      </c>
      <c r="CK379">
        <v>21</v>
      </c>
      <c r="CL379" t="s">
        <v>87</v>
      </c>
    </row>
    <row r="380" spans="1:90" x14ac:dyDescent="0.3">
      <c r="A380" t="s">
        <v>72</v>
      </c>
      <c r="B380" t="s">
        <v>73</v>
      </c>
      <c r="C380" t="s">
        <v>74</v>
      </c>
      <c r="E380" t="str">
        <f>"080069650619"</f>
        <v>080069650619</v>
      </c>
      <c r="F380" s="3">
        <v>45994</v>
      </c>
      <c r="G380">
        <v>202609</v>
      </c>
      <c r="H380" t="s">
        <v>75</v>
      </c>
      <c r="I380" t="s">
        <v>76</v>
      </c>
      <c r="J380" t="s">
        <v>77</v>
      </c>
      <c r="K380" t="s">
        <v>78</v>
      </c>
      <c r="L380" t="s">
        <v>141</v>
      </c>
      <c r="M380" t="s">
        <v>142</v>
      </c>
      <c r="N380" t="s">
        <v>604</v>
      </c>
      <c r="O380" t="s">
        <v>89</v>
      </c>
      <c r="P380" t="str">
        <f>"4170071570                    "</f>
        <v xml:space="preserve">4170071570                    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102.06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1</v>
      </c>
      <c r="BI380">
        <v>6</v>
      </c>
      <c r="BJ380">
        <v>7.8</v>
      </c>
      <c r="BK380">
        <v>8</v>
      </c>
      <c r="BL380">
        <v>304.16000000000003</v>
      </c>
      <c r="BM380">
        <v>45.62</v>
      </c>
      <c r="BN380">
        <v>349.78</v>
      </c>
      <c r="BO380">
        <v>349.78</v>
      </c>
      <c r="BQ380" t="s">
        <v>605</v>
      </c>
      <c r="BR380" t="s">
        <v>82</v>
      </c>
      <c r="BS380" s="3">
        <v>45995</v>
      </c>
      <c r="BT380" s="4">
        <v>0.38958333333333334</v>
      </c>
      <c r="BU380" t="s">
        <v>606</v>
      </c>
      <c r="BV380" t="s">
        <v>84</v>
      </c>
      <c r="BY380">
        <v>39192</v>
      </c>
      <c r="CA380" t="s">
        <v>315</v>
      </c>
      <c r="CC380" t="s">
        <v>142</v>
      </c>
      <c r="CD380">
        <v>6070</v>
      </c>
      <c r="CE380" t="s">
        <v>86</v>
      </c>
      <c r="CF380" s="3">
        <v>45995</v>
      </c>
      <c r="CI380">
        <v>1</v>
      </c>
      <c r="CJ380">
        <v>1</v>
      </c>
      <c r="CK380">
        <v>21</v>
      </c>
      <c r="CL380" t="s">
        <v>87</v>
      </c>
    </row>
    <row r="381" spans="1:90" x14ac:dyDescent="0.3">
      <c r="A381" t="s">
        <v>72</v>
      </c>
      <c r="B381" t="s">
        <v>73</v>
      </c>
      <c r="C381" t="s">
        <v>74</v>
      </c>
      <c r="E381" t="str">
        <f>"080069650650"</f>
        <v>080069650650</v>
      </c>
      <c r="F381" s="3">
        <v>45994</v>
      </c>
      <c r="G381">
        <v>202609</v>
      </c>
      <c r="H381" t="s">
        <v>75</v>
      </c>
      <c r="I381" t="s">
        <v>76</v>
      </c>
      <c r="J381" t="s">
        <v>77</v>
      </c>
      <c r="K381" t="s">
        <v>78</v>
      </c>
      <c r="L381" t="s">
        <v>100</v>
      </c>
      <c r="M381" t="s">
        <v>101</v>
      </c>
      <c r="N381" t="s">
        <v>1016</v>
      </c>
      <c r="O381" t="s">
        <v>80</v>
      </c>
      <c r="P381" t="str">
        <f>"4170071573                    "</f>
        <v xml:space="preserve">4170071573                    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75.88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1</v>
      </c>
      <c r="BI381">
        <v>28</v>
      </c>
      <c r="BJ381">
        <v>8.9</v>
      </c>
      <c r="BK381">
        <v>28</v>
      </c>
      <c r="BL381">
        <v>232.24</v>
      </c>
      <c r="BM381">
        <v>34.840000000000003</v>
      </c>
      <c r="BN381">
        <v>267.08</v>
      </c>
      <c r="BO381">
        <v>267.08</v>
      </c>
      <c r="BQ381" t="s">
        <v>1017</v>
      </c>
      <c r="BR381" t="s">
        <v>82</v>
      </c>
      <c r="BS381" s="3">
        <v>45996</v>
      </c>
      <c r="BT381" s="4">
        <v>0.73750000000000004</v>
      </c>
      <c r="BU381" t="s">
        <v>1018</v>
      </c>
      <c r="BV381" t="s">
        <v>87</v>
      </c>
      <c r="BW381" t="s">
        <v>246</v>
      </c>
      <c r="BX381" t="s">
        <v>106</v>
      </c>
      <c r="BY381">
        <v>44688</v>
      </c>
      <c r="CA381" t="s">
        <v>248</v>
      </c>
      <c r="CC381" t="s">
        <v>101</v>
      </c>
      <c r="CD381">
        <v>4052</v>
      </c>
      <c r="CE381" t="s">
        <v>86</v>
      </c>
      <c r="CF381" s="3">
        <v>45996</v>
      </c>
      <c r="CI381">
        <v>1</v>
      </c>
      <c r="CJ381">
        <v>2</v>
      </c>
      <c r="CK381">
        <v>41</v>
      </c>
      <c r="CL381" t="s">
        <v>87</v>
      </c>
    </row>
    <row r="382" spans="1:90" x14ac:dyDescent="0.3">
      <c r="A382" t="s">
        <v>72</v>
      </c>
      <c r="B382" t="s">
        <v>73</v>
      </c>
      <c r="C382" t="s">
        <v>74</v>
      </c>
      <c r="E382" t="str">
        <f>"080069650675"</f>
        <v>080069650675</v>
      </c>
      <c r="F382" s="3">
        <v>45994</v>
      </c>
      <c r="G382">
        <v>202609</v>
      </c>
      <c r="H382" t="s">
        <v>75</v>
      </c>
      <c r="I382" t="s">
        <v>76</v>
      </c>
      <c r="J382" t="s">
        <v>77</v>
      </c>
      <c r="K382" t="s">
        <v>78</v>
      </c>
      <c r="L382" t="s">
        <v>141</v>
      </c>
      <c r="M382" t="s">
        <v>142</v>
      </c>
      <c r="N382" t="s">
        <v>585</v>
      </c>
      <c r="O382" t="s">
        <v>89</v>
      </c>
      <c r="P382" t="str">
        <f>"4170071695                    "</f>
        <v xml:space="preserve">4170071695                    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51.04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1</v>
      </c>
      <c r="BI382">
        <v>4</v>
      </c>
      <c r="BJ382">
        <v>3.4</v>
      </c>
      <c r="BK382">
        <v>4</v>
      </c>
      <c r="BL382">
        <v>152.1</v>
      </c>
      <c r="BM382">
        <v>22.82</v>
      </c>
      <c r="BN382">
        <v>174.92</v>
      </c>
      <c r="BO382">
        <v>174.92</v>
      </c>
      <c r="BQ382" t="s">
        <v>586</v>
      </c>
      <c r="BR382" t="s">
        <v>82</v>
      </c>
      <c r="BS382" s="3">
        <v>45995</v>
      </c>
      <c r="BT382" s="4">
        <v>0.41388888888888886</v>
      </c>
      <c r="BU382" t="s">
        <v>1019</v>
      </c>
      <c r="BV382" t="s">
        <v>84</v>
      </c>
      <c r="BY382">
        <v>16965</v>
      </c>
      <c r="CA382" t="s">
        <v>1020</v>
      </c>
      <c r="CC382" t="s">
        <v>142</v>
      </c>
      <c r="CD382">
        <v>6001</v>
      </c>
      <c r="CE382" t="s">
        <v>86</v>
      </c>
      <c r="CF382" s="3">
        <v>45995</v>
      </c>
      <c r="CI382">
        <v>1</v>
      </c>
      <c r="CJ382">
        <v>1</v>
      </c>
      <c r="CK382">
        <v>21</v>
      </c>
      <c r="CL382" t="s">
        <v>87</v>
      </c>
    </row>
    <row r="383" spans="1:90" x14ac:dyDescent="0.3">
      <c r="A383" t="s">
        <v>72</v>
      </c>
      <c r="B383" t="s">
        <v>73</v>
      </c>
      <c r="C383" t="s">
        <v>74</v>
      </c>
      <c r="E383" t="str">
        <f>"080069650697"</f>
        <v>080069650697</v>
      </c>
      <c r="F383" s="3">
        <v>45994</v>
      </c>
      <c r="G383">
        <v>202609</v>
      </c>
      <c r="H383" t="s">
        <v>75</v>
      </c>
      <c r="I383" t="s">
        <v>76</v>
      </c>
      <c r="J383" t="s">
        <v>77</v>
      </c>
      <c r="K383" t="s">
        <v>78</v>
      </c>
      <c r="L383" t="s">
        <v>458</v>
      </c>
      <c r="M383" t="s">
        <v>459</v>
      </c>
      <c r="N383" t="s">
        <v>460</v>
      </c>
      <c r="O383" t="s">
        <v>89</v>
      </c>
      <c r="P383" t="str">
        <f>"4170071648                    "</f>
        <v xml:space="preserve">4170071648                    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205.77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1</v>
      </c>
      <c r="BI383">
        <v>9</v>
      </c>
      <c r="BJ383">
        <v>3.4</v>
      </c>
      <c r="BK383">
        <v>9</v>
      </c>
      <c r="BL383">
        <v>613.24</v>
      </c>
      <c r="BM383">
        <v>91.99</v>
      </c>
      <c r="BN383">
        <v>705.23</v>
      </c>
      <c r="BO383">
        <v>705.23</v>
      </c>
      <c r="BQ383" t="s">
        <v>461</v>
      </c>
      <c r="BR383" t="s">
        <v>82</v>
      </c>
      <c r="BS383" s="3">
        <v>45995</v>
      </c>
      <c r="BT383" s="4">
        <v>0.53333333333333333</v>
      </c>
      <c r="BU383" t="s">
        <v>462</v>
      </c>
      <c r="BV383" t="s">
        <v>84</v>
      </c>
      <c r="BY383">
        <v>16965</v>
      </c>
      <c r="CA383" t="s">
        <v>463</v>
      </c>
      <c r="CC383" t="s">
        <v>459</v>
      </c>
      <c r="CD383">
        <v>7130</v>
      </c>
      <c r="CE383" t="s">
        <v>86</v>
      </c>
      <c r="CF383" s="3">
        <v>45996</v>
      </c>
      <c r="CI383">
        <v>1</v>
      </c>
      <c r="CJ383">
        <v>1</v>
      </c>
      <c r="CK383">
        <v>23</v>
      </c>
      <c r="CL383" t="s">
        <v>87</v>
      </c>
    </row>
    <row r="384" spans="1:90" x14ac:dyDescent="0.3">
      <c r="A384" t="s">
        <v>72</v>
      </c>
      <c r="B384" t="s">
        <v>73</v>
      </c>
      <c r="C384" t="s">
        <v>74</v>
      </c>
      <c r="E384" t="str">
        <f>"080069650720"</f>
        <v>080069650720</v>
      </c>
      <c r="F384" s="3">
        <v>45994</v>
      </c>
      <c r="G384">
        <v>202609</v>
      </c>
      <c r="H384" t="s">
        <v>75</v>
      </c>
      <c r="I384" t="s">
        <v>76</v>
      </c>
      <c r="J384" t="s">
        <v>77</v>
      </c>
      <c r="K384" t="s">
        <v>78</v>
      </c>
      <c r="L384" t="s">
        <v>295</v>
      </c>
      <c r="M384" t="s">
        <v>296</v>
      </c>
      <c r="N384" t="s">
        <v>1021</v>
      </c>
      <c r="O384" t="s">
        <v>340</v>
      </c>
      <c r="P384" t="str">
        <f>"4170071543                    "</f>
        <v xml:space="preserve">4170071543                    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19.940000000000001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1</v>
      </c>
      <c r="BI384">
        <v>4</v>
      </c>
      <c r="BJ384">
        <v>1.7</v>
      </c>
      <c r="BK384">
        <v>4</v>
      </c>
      <c r="BL384">
        <v>59.43</v>
      </c>
      <c r="BM384">
        <v>8.91</v>
      </c>
      <c r="BN384">
        <v>68.34</v>
      </c>
      <c r="BO384">
        <v>68.34</v>
      </c>
      <c r="BQ384" t="s">
        <v>1022</v>
      </c>
      <c r="BR384" t="s">
        <v>82</v>
      </c>
      <c r="BS384" s="3">
        <v>45995</v>
      </c>
      <c r="BT384" s="4">
        <v>0.58680555555555558</v>
      </c>
      <c r="BU384" t="s">
        <v>1023</v>
      </c>
      <c r="BV384" t="s">
        <v>84</v>
      </c>
      <c r="BY384">
        <v>8550</v>
      </c>
      <c r="CA384" t="s">
        <v>417</v>
      </c>
      <c r="CC384" t="s">
        <v>296</v>
      </c>
      <c r="CD384">
        <v>1500</v>
      </c>
      <c r="CE384" t="s">
        <v>86</v>
      </c>
      <c r="CF384" s="3">
        <v>45996</v>
      </c>
      <c r="CI384">
        <v>1</v>
      </c>
      <c r="CJ384">
        <v>1</v>
      </c>
      <c r="CK384">
        <v>32</v>
      </c>
      <c r="CL384" t="s">
        <v>87</v>
      </c>
    </row>
    <row r="385" spans="1:90" x14ac:dyDescent="0.3">
      <c r="A385" t="s">
        <v>72</v>
      </c>
      <c r="B385" t="s">
        <v>73</v>
      </c>
      <c r="C385" t="s">
        <v>74</v>
      </c>
      <c r="E385" t="str">
        <f>"080069650748"</f>
        <v>080069650748</v>
      </c>
      <c r="F385" s="3">
        <v>45994</v>
      </c>
      <c r="G385">
        <v>202609</v>
      </c>
      <c r="H385" t="s">
        <v>75</v>
      </c>
      <c r="I385" t="s">
        <v>76</v>
      </c>
      <c r="J385" t="s">
        <v>77</v>
      </c>
      <c r="K385" t="s">
        <v>78</v>
      </c>
      <c r="L385" t="s">
        <v>1024</v>
      </c>
      <c r="M385" t="s">
        <v>1025</v>
      </c>
      <c r="N385" t="s">
        <v>1026</v>
      </c>
      <c r="O385" t="s">
        <v>89</v>
      </c>
      <c r="P385" t="str">
        <f>"4170071549                    "</f>
        <v xml:space="preserve">4170071549                    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105.28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1</v>
      </c>
      <c r="BI385">
        <v>2</v>
      </c>
      <c r="BJ385">
        <v>4.3</v>
      </c>
      <c r="BK385">
        <v>4.5</v>
      </c>
      <c r="BL385">
        <v>313.76</v>
      </c>
      <c r="BM385">
        <v>47.06</v>
      </c>
      <c r="BN385">
        <v>360.82</v>
      </c>
      <c r="BO385">
        <v>360.82</v>
      </c>
      <c r="BQ385" t="s">
        <v>1027</v>
      </c>
      <c r="BR385" t="s">
        <v>82</v>
      </c>
      <c r="BS385" s="3">
        <v>45995</v>
      </c>
      <c r="BT385" s="4">
        <v>0.48541666666666666</v>
      </c>
      <c r="BU385" t="s">
        <v>1028</v>
      </c>
      <c r="BV385" t="s">
        <v>84</v>
      </c>
      <c r="BY385">
        <v>21420</v>
      </c>
      <c r="CA385" t="s">
        <v>1029</v>
      </c>
      <c r="CC385" t="s">
        <v>1025</v>
      </c>
      <c r="CD385">
        <v>5257</v>
      </c>
      <c r="CE385" t="s">
        <v>93</v>
      </c>
      <c r="CF385" s="3">
        <v>45996</v>
      </c>
      <c r="CI385">
        <v>1</v>
      </c>
      <c r="CJ385">
        <v>1</v>
      </c>
      <c r="CK385">
        <v>23</v>
      </c>
      <c r="CL385" t="s">
        <v>87</v>
      </c>
    </row>
    <row r="386" spans="1:90" x14ac:dyDescent="0.3">
      <c r="A386" t="s">
        <v>72</v>
      </c>
      <c r="B386" t="s">
        <v>73</v>
      </c>
      <c r="C386" t="s">
        <v>74</v>
      </c>
      <c r="E386" t="str">
        <f>"080069650774"</f>
        <v>080069650774</v>
      </c>
      <c r="F386" s="3">
        <v>45994</v>
      </c>
      <c r="G386">
        <v>202609</v>
      </c>
      <c r="H386" t="s">
        <v>75</v>
      </c>
      <c r="I386" t="s">
        <v>76</v>
      </c>
      <c r="J386" t="s">
        <v>77</v>
      </c>
      <c r="K386" t="s">
        <v>78</v>
      </c>
      <c r="L386" t="s">
        <v>295</v>
      </c>
      <c r="M386" t="s">
        <v>296</v>
      </c>
      <c r="N386" t="s">
        <v>1030</v>
      </c>
      <c r="O386" t="s">
        <v>340</v>
      </c>
      <c r="P386" t="str">
        <f>"4170071426                    "</f>
        <v xml:space="preserve">4170071426                    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19.940000000000001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1</v>
      </c>
      <c r="BI386">
        <v>3</v>
      </c>
      <c r="BJ386">
        <v>5.9</v>
      </c>
      <c r="BK386">
        <v>6</v>
      </c>
      <c r="BL386">
        <v>59.43</v>
      </c>
      <c r="BM386">
        <v>8.91</v>
      </c>
      <c r="BN386">
        <v>68.34</v>
      </c>
      <c r="BO386">
        <v>68.34</v>
      </c>
      <c r="BQ386" t="s">
        <v>1031</v>
      </c>
      <c r="BR386" t="s">
        <v>82</v>
      </c>
      <c r="BS386" s="3">
        <v>45995</v>
      </c>
      <c r="BT386" s="4">
        <v>0.49375000000000002</v>
      </c>
      <c r="BU386" t="s">
        <v>1032</v>
      </c>
      <c r="BV386" t="s">
        <v>84</v>
      </c>
      <c r="BY386">
        <v>29406</v>
      </c>
      <c r="CA386" t="s">
        <v>319</v>
      </c>
      <c r="CC386" t="s">
        <v>296</v>
      </c>
      <c r="CD386">
        <v>1508</v>
      </c>
      <c r="CE386" t="s">
        <v>86</v>
      </c>
      <c r="CF386" s="3">
        <v>45995</v>
      </c>
      <c r="CI386">
        <v>1</v>
      </c>
      <c r="CJ386">
        <v>1</v>
      </c>
      <c r="CK386">
        <v>32</v>
      </c>
      <c r="CL386" t="s">
        <v>87</v>
      </c>
    </row>
    <row r="387" spans="1:90" x14ac:dyDescent="0.3">
      <c r="A387" t="s">
        <v>72</v>
      </c>
      <c r="B387" t="s">
        <v>73</v>
      </c>
      <c r="C387" t="s">
        <v>74</v>
      </c>
      <c r="E387" t="str">
        <f>"080069650804"</f>
        <v>080069650804</v>
      </c>
      <c r="F387" s="3">
        <v>45994</v>
      </c>
      <c r="G387">
        <v>202609</v>
      </c>
      <c r="H387" t="s">
        <v>75</v>
      </c>
      <c r="I387" t="s">
        <v>76</v>
      </c>
      <c r="J387" t="s">
        <v>77</v>
      </c>
      <c r="K387" t="s">
        <v>78</v>
      </c>
      <c r="L387" t="s">
        <v>75</v>
      </c>
      <c r="M387" t="s">
        <v>76</v>
      </c>
      <c r="N387" t="s">
        <v>79</v>
      </c>
      <c r="O387" t="s">
        <v>80</v>
      </c>
      <c r="P387" t="str">
        <f>"4170071504                    "</f>
        <v xml:space="preserve">4170071504                    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38.090000000000003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1</v>
      </c>
      <c r="BI387">
        <v>3</v>
      </c>
      <c r="BJ387">
        <v>1.3</v>
      </c>
      <c r="BK387">
        <v>3</v>
      </c>
      <c r="BL387">
        <v>119.61</v>
      </c>
      <c r="BM387">
        <v>17.940000000000001</v>
      </c>
      <c r="BN387">
        <v>137.55000000000001</v>
      </c>
      <c r="BO387">
        <v>137.55000000000001</v>
      </c>
      <c r="BQ387" t="s">
        <v>81</v>
      </c>
      <c r="BR387" t="s">
        <v>82</v>
      </c>
      <c r="BS387" s="3">
        <v>45995</v>
      </c>
      <c r="BT387" s="4">
        <v>0.42152777777777778</v>
      </c>
      <c r="BU387" t="s">
        <v>83</v>
      </c>
      <c r="BV387" t="s">
        <v>84</v>
      </c>
      <c r="BY387">
        <v>6555</v>
      </c>
      <c r="CA387" t="s">
        <v>85</v>
      </c>
      <c r="CC387" t="s">
        <v>76</v>
      </c>
      <c r="CD387">
        <v>1619</v>
      </c>
      <c r="CE387" t="s">
        <v>647</v>
      </c>
      <c r="CF387" s="3">
        <v>45995</v>
      </c>
      <c r="CI387">
        <v>1</v>
      </c>
      <c r="CJ387">
        <v>1</v>
      </c>
      <c r="CK387">
        <v>42</v>
      </c>
      <c r="CL387" t="s">
        <v>87</v>
      </c>
    </row>
    <row r="388" spans="1:90" x14ac:dyDescent="0.3">
      <c r="A388" t="s">
        <v>72</v>
      </c>
      <c r="B388" t="s">
        <v>73</v>
      </c>
      <c r="C388" t="s">
        <v>74</v>
      </c>
      <c r="E388" t="str">
        <f>"080069650828"</f>
        <v>080069650828</v>
      </c>
      <c r="F388" s="3">
        <v>45994</v>
      </c>
      <c r="G388">
        <v>202609</v>
      </c>
      <c r="H388" t="s">
        <v>75</v>
      </c>
      <c r="I388" t="s">
        <v>76</v>
      </c>
      <c r="J388" t="s">
        <v>77</v>
      </c>
      <c r="K388" t="s">
        <v>78</v>
      </c>
      <c r="L388" t="s">
        <v>141</v>
      </c>
      <c r="M388" t="s">
        <v>142</v>
      </c>
      <c r="N388" t="s">
        <v>1033</v>
      </c>
      <c r="O388" t="s">
        <v>89</v>
      </c>
      <c r="P388" t="str">
        <f>"4170071527                    "</f>
        <v xml:space="preserve">4170071527                    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25.52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1</v>
      </c>
      <c r="BI388">
        <v>1</v>
      </c>
      <c r="BJ388">
        <v>1.1000000000000001</v>
      </c>
      <c r="BK388">
        <v>1.5</v>
      </c>
      <c r="BL388">
        <v>76.06</v>
      </c>
      <c r="BM388">
        <v>11.41</v>
      </c>
      <c r="BN388">
        <v>87.47</v>
      </c>
      <c r="BO388">
        <v>87.47</v>
      </c>
      <c r="BQ388" t="s">
        <v>1034</v>
      </c>
      <c r="BR388" t="s">
        <v>82</v>
      </c>
      <c r="BS388" s="3">
        <v>45995</v>
      </c>
      <c r="BT388" s="4">
        <v>0.42222222222222222</v>
      </c>
      <c r="BU388" t="s">
        <v>1035</v>
      </c>
      <c r="BV388" t="s">
        <v>84</v>
      </c>
      <c r="BY388">
        <v>5320</v>
      </c>
      <c r="BZ388" t="s">
        <v>271</v>
      </c>
      <c r="CA388" t="s">
        <v>146</v>
      </c>
      <c r="CC388" t="s">
        <v>142</v>
      </c>
      <c r="CD388">
        <v>6000</v>
      </c>
      <c r="CE388" t="s">
        <v>147</v>
      </c>
      <c r="CF388" s="3">
        <v>45995</v>
      </c>
      <c r="CI388">
        <v>1</v>
      </c>
      <c r="CJ388">
        <v>1</v>
      </c>
      <c r="CK388">
        <v>21</v>
      </c>
      <c r="CL388" t="s">
        <v>87</v>
      </c>
    </row>
    <row r="389" spans="1:90" x14ac:dyDescent="0.3">
      <c r="A389" t="s">
        <v>72</v>
      </c>
      <c r="B389" t="s">
        <v>73</v>
      </c>
      <c r="C389" t="s">
        <v>74</v>
      </c>
      <c r="E389" t="str">
        <f>"080069650834"</f>
        <v>080069650834</v>
      </c>
      <c r="F389" s="3">
        <v>45994</v>
      </c>
      <c r="G389">
        <v>202609</v>
      </c>
      <c r="H389" t="s">
        <v>75</v>
      </c>
      <c r="I389" t="s">
        <v>76</v>
      </c>
      <c r="J389" t="s">
        <v>77</v>
      </c>
      <c r="K389" t="s">
        <v>78</v>
      </c>
      <c r="L389" t="s">
        <v>141</v>
      </c>
      <c r="M389" t="s">
        <v>142</v>
      </c>
      <c r="N389" t="s">
        <v>585</v>
      </c>
      <c r="O389" t="s">
        <v>89</v>
      </c>
      <c r="P389" t="str">
        <f>"4170071632                    "</f>
        <v xml:space="preserve">4170071632                    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25.52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1</v>
      </c>
      <c r="BI389">
        <v>1</v>
      </c>
      <c r="BJ389">
        <v>0.2</v>
      </c>
      <c r="BK389">
        <v>1</v>
      </c>
      <c r="BL389">
        <v>76.06</v>
      </c>
      <c r="BM389">
        <v>11.41</v>
      </c>
      <c r="BN389">
        <v>87.47</v>
      </c>
      <c r="BO389">
        <v>87.47</v>
      </c>
      <c r="BQ389" t="s">
        <v>586</v>
      </c>
      <c r="BR389" t="s">
        <v>82</v>
      </c>
      <c r="BS389" s="3">
        <v>45995</v>
      </c>
      <c r="BT389" s="4">
        <v>0.41388888888888886</v>
      </c>
      <c r="BU389" t="s">
        <v>1019</v>
      </c>
      <c r="BV389" t="s">
        <v>84</v>
      </c>
      <c r="BY389">
        <v>1200</v>
      </c>
      <c r="CA389" t="s">
        <v>1020</v>
      </c>
      <c r="CC389" t="s">
        <v>142</v>
      </c>
      <c r="CD389">
        <v>6001</v>
      </c>
      <c r="CE389" t="s">
        <v>134</v>
      </c>
      <c r="CF389" s="3">
        <v>45995</v>
      </c>
      <c r="CI389">
        <v>1</v>
      </c>
      <c r="CJ389">
        <v>1</v>
      </c>
      <c r="CK389">
        <v>21</v>
      </c>
      <c r="CL389" t="s">
        <v>87</v>
      </c>
    </row>
    <row r="390" spans="1:90" x14ac:dyDescent="0.3">
      <c r="A390" t="s">
        <v>72</v>
      </c>
      <c r="B390" t="s">
        <v>73</v>
      </c>
      <c r="C390" t="s">
        <v>74</v>
      </c>
      <c r="E390" t="str">
        <f>"080069650864"</f>
        <v>080069650864</v>
      </c>
      <c r="F390" s="3">
        <v>45994</v>
      </c>
      <c r="G390">
        <v>202609</v>
      </c>
      <c r="H390" t="s">
        <v>75</v>
      </c>
      <c r="I390" t="s">
        <v>76</v>
      </c>
      <c r="J390" t="s">
        <v>77</v>
      </c>
      <c r="K390" t="s">
        <v>78</v>
      </c>
      <c r="L390" t="s">
        <v>638</v>
      </c>
      <c r="M390" t="s">
        <v>639</v>
      </c>
      <c r="N390" t="s">
        <v>640</v>
      </c>
      <c r="O390" t="s">
        <v>89</v>
      </c>
      <c r="P390" t="str">
        <f>"4170071638                    "</f>
        <v xml:space="preserve">4170071638                    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82.95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17.41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1</v>
      </c>
      <c r="BI390">
        <v>1.2</v>
      </c>
      <c r="BJ390">
        <v>3.2</v>
      </c>
      <c r="BK390">
        <v>3.5</v>
      </c>
      <c r="BL390">
        <v>264.62</v>
      </c>
      <c r="BM390">
        <v>39.69</v>
      </c>
      <c r="BN390">
        <v>304.31</v>
      </c>
      <c r="BO390">
        <v>304.31</v>
      </c>
      <c r="BQ390" t="s">
        <v>641</v>
      </c>
      <c r="BR390" t="s">
        <v>82</v>
      </c>
      <c r="BS390" s="3">
        <v>45995</v>
      </c>
      <c r="BT390" s="4">
        <v>0.5708333333333333</v>
      </c>
      <c r="BU390" t="s">
        <v>642</v>
      </c>
      <c r="BV390" t="s">
        <v>84</v>
      </c>
      <c r="BY390">
        <v>15940.8</v>
      </c>
      <c r="BZ390" t="s">
        <v>30</v>
      </c>
      <c r="CA390" t="s">
        <v>643</v>
      </c>
      <c r="CC390" t="s">
        <v>639</v>
      </c>
      <c r="CD390">
        <v>3875</v>
      </c>
      <c r="CE390" t="s">
        <v>134</v>
      </c>
      <c r="CF390" s="3">
        <v>45995</v>
      </c>
      <c r="CI390">
        <v>2</v>
      </c>
      <c r="CJ390">
        <v>1</v>
      </c>
      <c r="CK390">
        <v>23</v>
      </c>
      <c r="CL390" t="s">
        <v>87</v>
      </c>
    </row>
    <row r="391" spans="1:90" x14ac:dyDescent="0.3">
      <c r="A391" t="s">
        <v>72</v>
      </c>
      <c r="B391" t="s">
        <v>73</v>
      </c>
      <c r="C391" t="s">
        <v>74</v>
      </c>
      <c r="E391" t="str">
        <f>"080069650878"</f>
        <v>080069650878</v>
      </c>
      <c r="F391" s="3">
        <v>45994</v>
      </c>
      <c r="G391">
        <v>202609</v>
      </c>
      <c r="H391" t="s">
        <v>75</v>
      </c>
      <c r="I391" t="s">
        <v>76</v>
      </c>
      <c r="J391" t="s">
        <v>77</v>
      </c>
      <c r="K391" t="s">
        <v>78</v>
      </c>
      <c r="L391" t="s">
        <v>189</v>
      </c>
      <c r="M391" t="s">
        <v>190</v>
      </c>
      <c r="N391" t="s">
        <v>1036</v>
      </c>
      <c r="O391" t="s">
        <v>89</v>
      </c>
      <c r="P391" t="str">
        <f>"4170071667                    "</f>
        <v xml:space="preserve">4170071667                    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25.52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1</v>
      </c>
      <c r="BI391">
        <v>0.5</v>
      </c>
      <c r="BJ391">
        <v>1.5</v>
      </c>
      <c r="BK391">
        <v>1.5</v>
      </c>
      <c r="BL391">
        <v>76.06</v>
      </c>
      <c r="BM391">
        <v>11.41</v>
      </c>
      <c r="BN391">
        <v>87.47</v>
      </c>
      <c r="BO391">
        <v>87.47</v>
      </c>
      <c r="BQ391" t="s">
        <v>1037</v>
      </c>
      <c r="BR391" t="s">
        <v>82</v>
      </c>
      <c r="BS391" t="s">
        <v>500</v>
      </c>
      <c r="BY391">
        <v>7745.2</v>
      </c>
      <c r="CC391" t="s">
        <v>190</v>
      </c>
      <c r="CD391">
        <v>3201</v>
      </c>
      <c r="CE391" t="s">
        <v>134</v>
      </c>
      <c r="CI391">
        <v>1</v>
      </c>
      <c r="CJ391" t="s">
        <v>500</v>
      </c>
      <c r="CK391">
        <v>21</v>
      </c>
      <c r="CL391" t="s">
        <v>87</v>
      </c>
    </row>
    <row r="392" spans="1:90" x14ac:dyDescent="0.3">
      <c r="A392" t="s">
        <v>72</v>
      </c>
      <c r="B392" t="s">
        <v>73</v>
      </c>
      <c r="C392" t="s">
        <v>74</v>
      </c>
      <c r="E392" t="str">
        <f>"080069650887"</f>
        <v>080069650887</v>
      </c>
      <c r="F392" s="3">
        <v>45994</v>
      </c>
      <c r="G392">
        <v>202609</v>
      </c>
      <c r="H392" t="s">
        <v>75</v>
      </c>
      <c r="I392" t="s">
        <v>76</v>
      </c>
      <c r="J392" t="s">
        <v>77</v>
      </c>
      <c r="K392" t="s">
        <v>78</v>
      </c>
      <c r="L392" t="s">
        <v>189</v>
      </c>
      <c r="M392" t="s">
        <v>190</v>
      </c>
      <c r="N392" t="s">
        <v>1036</v>
      </c>
      <c r="O392" t="s">
        <v>89</v>
      </c>
      <c r="P392" t="str">
        <f>"4170071668                    "</f>
        <v xml:space="preserve">4170071668                    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25.52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1</v>
      </c>
      <c r="BI392">
        <v>1</v>
      </c>
      <c r="BJ392">
        <v>0.2</v>
      </c>
      <c r="BK392">
        <v>1</v>
      </c>
      <c r="BL392">
        <v>76.06</v>
      </c>
      <c r="BM392">
        <v>11.41</v>
      </c>
      <c r="BN392">
        <v>87.47</v>
      </c>
      <c r="BO392">
        <v>87.47</v>
      </c>
      <c r="BQ392" t="s">
        <v>1037</v>
      </c>
      <c r="BR392" t="s">
        <v>82</v>
      </c>
      <c r="BS392" t="s">
        <v>500</v>
      </c>
      <c r="BY392">
        <v>1200</v>
      </c>
      <c r="CC392" t="s">
        <v>190</v>
      </c>
      <c r="CD392">
        <v>3201</v>
      </c>
      <c r="CE392" t="s">
        <v>134</v>
      </c>
      <c r="CI392">
        <v>1</v>
      </c>
      <c r="CJ392" t="s">
        <v>500</v>
      </c>
      <c r="CK392">
        <v>21</v>
      </c>
      <c r="CL392" t="s">
        <v>87</v>
      </c>
    </row>
    <row r="393" spans="1:90" x14ac:dyDescent="0.3">
      <c r="A393" t="s">
        <v>72</v>
      </c>
      <c r="B393" t="s">
        <v>73</v>
      </c>
      <c r="C393" t="s">
        <v>74</v>
      </c>
      <c r="E393" t="str">
        <f>"080069650920"</f>
        <v>080069650920</v>
      </c>
      <c r="F393" s="3">
        <v>45994</v>
      </c>
      <c r="G393">
        <v>202609</v>
      </c>
      <c r="H393" t="s">
        <v>75</v>
      </c>
      <c r="I393" t="s">
        <v>76</v>
      </c>
      <c r="J393" t="s">
        <v>77</v>
      </c>
      <c r="K393" t="s">
        <v>78</v>
      </c>
      <c r="L393" t="s">
        <v>156</v>
      </c>
      <c r="M393" t="s">
        <v>157</v>
      </c>
      <c r="N393" t="s">
        <v>658</v>
      </c>
      <c r="O393" t="s">
        <v>89</v>
      </c>
      <c r="P393" t="str">
        <f>"4170071752                    "</f>
        <v xml:space="preserve">4170071752                    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25.52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1</v>
      </c>
      <c r="BI393">
        <v>1</v>
      </c>
      <c r="BJ393">
        <v>0.2</v>
      </c>
      <c r="BK393">
        <v>1</v>
      </c>
      <c r="BL393">
        <v>76.06</v>
      </c>
      <c r="BM393">
        <v>11.41</v>
      </c>
      <c r="BN393">
        <v>87.47</v>
      </c>
      <c r="BO393">
        <v>87.47</v>
      </c>
      <c r="BQ393" t="s">
        <v>659</v>
      </c>
      <c r="BR393" t="s">
        <v>82</v>
      </c>
      <c r="BS393" s="3">
        <v>45995</v>
      </c>
      <c r="BT393" s="4">
        <v>0.61805555555555558</v>
      </c>
      <c r="BU393" t="s">
        <v>978</v>
      </c>
      <c r="BV393" t="s">
        <v>87</v>
      </c>
      <c r="BW393" t="s">
        <v>153</v>
      </c>
      <c r="BX393" t="s">
        <v>979</v>
      </c>
      <c r="BY393">
        <v>1200</v>
      </c>
      <c r="CA393" t="s">
        <v>980</v>
      </c>
      <c r="CC393" t="s">
        <v>157</v>
      </c>
      <c r="CD393">
        <v>7550</v>
      </c>
      <c r="CE393" t="s">
        <v>134</v>
      </c>
      <c r="CF393" s="3">
        <v>45996</v>
      </c>
      <c r="CI393">
        <v>1</v>
      </c>
      <c r="CJ393">
        <v>1</v>
      </c>
      <c r="CK393">
        <v>21</v>
      </c>
      <c r="CL393" t="s">
        <v>87</v>
      </c>
    </row>
    <row r="394" spans="1:90" x14ac:dyDescent="0.3">
      <c r="A394" t="s">
        <v>72</v>
      </c>
      <c r="B394" t="s">
        <v>73</v>
      </c>
      <c r="C394" t="s">
        <v>74</v>
      </c>
      <c r="E394" t="str">
        <f>"080069651096"</f>
        <v>080069651096</v>
      </c>
      <c r="F394" s="3">
        <v>45994</v>
      </c>
      <c r="G394">
        <v>202609</v>
      </c>
      <c r="H394" t="s">
        <v>75</v>
      </c>
      <c r="I394" t="s">
        <v>76</v>
      </c>
      <c r="J394" t="s">
        <v>77</v>
      </c>
      <c r="K394" t="s">
        <v>78</v>
      </c>
      <c r="L394" t="s">
        <v>302</v>
      </c>
      <c r="M394" t="s">
        <v>303</v>
      </c>
      <c r="N394" t="s">
        <v>1038</v>
      </c>
      <c r="O394" t="s">
        <v>89</v>
      </c>
      <c r="P394" t="str">
        <f>"4170071639                    "</f>
        <v xml:space="preserve">4170071639                    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31.9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1</v>
      </c>
      <c r="BI394">
        <v>1</v>
      </c>
      <c r="BJ394">
        <v>2.5</v>
      </c>
      <c r="BK394">
        <v>2.5</v>
      </c>
      <c r="BL394">
        <v>95.07</v>
      </c>
      <c r="BM394">
        <v>14.26</v>
      </c>
      <c r="BN394">
        <v>109.33</v>
      </c>
      <c r="BO394">
        <v>109.33</v>
      </c>
      <c r="BQ394" t="s">
        <v>1039</v>
      </c>
      <c r="BR394" t="s">
        <v>82</v>
      </c>
      <c r="BS394" s="3">
        <v>45995</v>
      </c>
      <c r="BT394" s="4">
        <v>0.4236111111111111</v>
      </c>
      <c r="BU394" t="s">
        <v>1040</v>
      </c>
      <c r="BV394" t="s">
        <v>84</v>
      </c>
      <c r="BY394">
        <v>12520.5</v>
      </c>
      <c r="CA394">
        <v>8110305701087</v>
      </c>
      <c r="CC394" t="s">
        <v>303</v>
      </c>
      <c r="CD394" s="5" t="s">
        <v>916</v>
      </c>
      <c r="CE394" t="s">
        <v>134</v>
      </c>
      <c r="CF394" s="3">
        <v>45995</v>
      </c>
      <c r="CI394">
        <v>1</v>
      </c>
      <c r="CJ394">
        <v>1</v>
      </c>
      <c r="CK394">
        <v>21</v>
      </c>
      <c r="CL394" t="s">
        <v>87</v>
      </c>
    </row>
    <row r="395" spans="1:90" x14ac:dyDescent="0.3">
      <c r="A395" t="s">
        <v>72</v>
      </c>
      <c r="B395" t="s">
        <v>73</v>
      </c>
      <c r="C395" t="s">
        <v>74</v>
      </c>
      <c r="E395" t="str">
        <f>"080069651119"</f>
        <v>080069651119</v>
      </c>
      <c r="F395" s="3">
        <v>45994</v>
      </c>
      <c r="G395">
        <v>202609</v>
      </c>
      <c r="H395" t="s">
        <v>75</v>
      </c>
      <c r="I395" t="s">
        <v>76</v>
      </c>
      <c r="J395" t="s">
        <v>77</v>
      </c>
      <c r="K395" t="s">
        <v>78</v>
      </c>
      <c r="L395" t="s">
        <v>75</v>
      </c>
      <c r="M395" t="s">
        <v>76</v>
      </c>
      <c r="N395" t="s">
        <v>79</v>
      </c>
      <c r="O395" t="s">
        <v>89</v>
      </c>
      <c r="P395" t="str">
        <f>"4170071693                    "</f>
        <v xml:space="preserve">4170071693                    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19.940000000000001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1</v>
      </c>
      <c r="BI395">
        <v>1</v>
      </c>
      <c r="BJ395">
        <v>0.7</v>
      </c>
      <c r="BK395">
        <v>1</v>
      </c>
      <c r="BL395">
        <v>59.42</v>
      </c>
      <c r="BM395">
        <v>8.91</v>
      </c>
      <c r="BN395">
        <v>68.33</v>
      </c>
      <c r="BO395">
        <v>68.33</v>
      </c>
      <c r="BQ395" t="s">
        <v>81</v>
      </c>
      <c r="BR395" t="s">
        <v>82</v>
      </c>
      <c r="BS395" s="3">
        <v>45995</v>
      </c>
      <c r="BT395" s="4">
        <v>0.41666666666666669</v>
      </c>
      <c r="BU395" t="s">
        <v>83</v>
      </c>
      <c r="BV395" t="s">
        <v>84</v>
      </c>
      <c r="BY395">
        <v>3306</v>
      </c>
      <c r="CA395" t="s">
        <v>85</v>
      </c>
      <c r="CC395" t="s">
        <v>76</v>
      </c>
      <c r="CD395">
        <v>1619</v>
      </c>
      <c r="CE395" t="s">
        <v>86</v>
      </c>
      <c r="CF395" s="3">
        <v>45995</v>
      </c>
      <c r="CI395">
        <v>1</v>
      </c>
      <c r="CJ395">
        <v>1</v>
      </c>
      <c r="CK395">
        <v>22</v>
      </c>
      <c r="CL395" t="s">
        <v>87</v>
      </c>
    </row>
    <row r="396" spans="1:90" x14ac:dyDescent="0.3">
      <c r="A396" t="s">
        <v>72</v>
      </c>
      <c r="B396" t="s">
        <v>73</v>
      </c>
      <c r="C396" t="s">
        <v>74</v>
      </c>
      <c r="E396" t="str">
        <f>"080069651760"</f>
        <v>080069651760</v>
      </c>
      <c r="F396" s="3">
        <v>45994</v>
      </c>
      <c r="G396">
        <v>202609</v>
      </c>
      <c r="H396" t="s">
        <v>75</v>
      </c>
      <c r="I396" t="s">
        <v>76</v>
      </c>
      <c r="J396" t="s">
        <v>77</v>
      </c>
      <c r="K396" t="s">
        <v>78</v>
      </c>
      <c r="L396" t="s">
        <v>202</v>
      </c>
      <c r="M396" t="s">
        <v>203</v>
      </c>
      <c r="N396" t="s">
        <v>204</v>
      </c>
      <c r="O396" t="s">
        <v>89</v>
      </c>
      <c r="P396" t="str">
        <f>"4170071697                    "</f>
        <v xml:space="preserve">4170071697                    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49.45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1</v>
      </c>
      <c r="BI396">
        <v>1</v>
      </c>
      <c r="BJ396">
        <v>1.7</v>
      </c>
      <c r="BK396">
        <v>2</v>
      </c>
      <c r="BL396">
        <v>147.38</v>
      </c>
      <c r="BM396">
        <v>22.11</v>
      </c>
      <c r="BN396">
        <v>169.49</v>
      </c>
      <c r="BO396">
        <v>169.49</v>
      </c>
      <c r="BQ396" t="s">
        <v>205</v>
      </c>
      <c r="BR396" t="s">
        <v>82</v>
      </c>
      <c r="BS396" s="3">
        <v>45995</v>
      </c>
      <c r="BT396" s="4">
        <v>0.42152777777777778</v>
      </c>
      <c r="BU396" t="s">
        <v>1041</v>
      </c>
      <c r="BV396" t="s">
        <v>84</v>
      </c>
      <c r="BY396">
        <v>8410.5</v>
      </c>
      <c r="CA396" t="s">
        <v>207</v>
      </c>
      <c r="CC396" t="s">
        <v>203</v>
      </c>
      <c r="CD396">
        <v>2531</v>
      </c>
      <c r="CE396" t="s">
        <v>134</v>
      </c>
      <c r="CF396" s="3">
        <v>45996</v>
      </c>
      <c r="CI396">
        <v>1</v>
      </c>
      <c r="CJ396">
        <v>1</v>
      </c>
      <c r="CK396">
        <v>23</v>
      </c>
      <c r="CL396" t="s">
        <v>87</v>
      </c>
    </row>
    <row r="397" spans="1:90" x14ac:dyDescent="0.3">
      <c r="A397" t="s">
        <v>72</v>
      </c>
      <c r="B397" t="s">
        <v>73</v>
      </c>
      <c r="C397" t="s">
        <v>74</v>
      </c>
      <c r="E397" t="str">
        <f>"080069651806"</f>
        <v>080069651806</v>
      </c>
      <c r="F397" s="3">
        <v>45994</v>
      </c>
      <c r="G397">
        <v>202609</v>
      </c>
      <c r="H397" t="s">
        <v>75</v>
      </c>
      <c r="I397" t="s">
        <v>76</v>
      </c>
      <c r="J397" t="s">
        <v>77</v>
      </c>
      <c r="K397" t="s">
        <v>78</v>
      </c>
      <c r="L397" t="s">
        <v>75</v>
      </c>
      <c r="M397" t="s">
        <v>76</v>
      </c>
      <c r="N397" t="s">
        <v>1042</v>
      </c>
      <c r="O397" t="s">
        <v>89</v>
      </c>
      <c r="P397" t="str">
        <f>"4170071655                    "</f>
        <v xml:space="preserve">4170071655                    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19.940000000000001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1</v>
      </c>
      <c r="BI397">
        <v>0.7</v>
      </c>
      <c r="BJ397">
        <v>1.4</v>
      </c>
      <c r="BK397">
        <v>2</v>
      </c>
      <c r="BL397">
        <v>59.42</v>
      </c>
      <c r="BM397">
        <v>8.91</v>
      </c>
      <c r="BN397">
        <v>68.33</v>
      </c>
      <c r="BO397">
        <v>68.33</v>
      </c>
      <c r="BQ397" t="s">
        <v>1043</v>
      </c>
      <c r="BR397" t="s">
        <v>82</v>
      </c>
      <c r="BS397" s="3">
        <v>45995</v>
      </c>
      <c r="BT397" s="4">
        <v>0.4375</v>
      </c>
      <c r="BU397" t="s">
        <v>1044</v>
      </c>
      <c r="BV397" t="s">
        <v>84</v>
      </c>
      <c r="BY397">
        <v>7115.04</v>
      </c>
      <c r="CA397" t="s">
        <v>92</v>
      </c>
      <c r="CC397" t="s">
        <v>76</v>
      </c>
      <c r="CD397">
        <v>1624</v>
      </c>
      <c r="CE397" t="s">
        <v>134</v>
      </c>
      <c r="CF397" s="3">
        <v>45996</v>
      </c>
      <c r="CI397">
        <v>1</v>
      </c>
      <c r="CJ397">
        <v>1</v>
      </c>
      <c r="CK397">
        <v>22</v>
      </c>
      <c r="CL397" t="s">
        <v>87</v>
      </c>
    </row>
    <row r="398" spans="1:90" x14ac:dyDescent="0.3">
      <c r="A398" t="s">
        <v>72</v>
      </c>
      <c r="B398" t="s">
        <v>73</v>
      </c>
      <c r="C398" t="s">
        <v>74</v>
      </c>
      <c r="E398" t="str">
        <f>"080069651845"</f>
        <v>080069651845</v>
      </c>
      <c r="F398" s="3">
        <v>45994</v>
      </c>
      <c r="G398">
        <v>202609</v>
      </c>
      <c r="H398" t="s">
        <v>75</v>
      </c>
      <c r="I398" t="s">
        <v>76</v>
      </c>
      <c r="J398" t="s">
        <v>77</v>
      </c>
      <c r="K398" t="s">
        <v>78</v>
      </c>
      <c r="L398" t="s">
        <v>176</v>
      </c>
      <c r="M398" t="s">
        <v>177</v>
      </c>
      <c r="N398" t="s">
        <v>1045</v>
      </c>
      <c r="O398" t="s">
        <v>89</v>
      </c>
      <c r="P398" t="str">
        <f>"4170071563                    "</f>
        <v xml:space="preserve">4170071563                    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19.940000000000001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1</v>
      </c>
      <c r="BI398">
        <v>0.7</v>
      </c>
      <c r="BJ398">
        <v>0.8</v>
      </c>
      <c r="BK398">
        <v>1</v>
      </c>
      <c r="BL398">
        <v>59.42</v>
      </c>
      <c r="BM398">
        <v>8.91</v>
      </c>
      <c r="BN398">
        <v>68.33</v>
      </c>
      <c r="BO398">
        <v>68.33</v>
      </c>
      <c r="BQ398" t="s">
        <v>1046</v>
      </c>
      <c r="BR398" t="s">
        <v>82</v>
      </c>
      <c r="BS398" s="3">
        <v>45995</v>
      </c>
      <c r="BT398" s="4">
        <v>0.35902777777777778</v>
      </c>
      <c r="BU398" t="s">
        <v>1047</v>
      </c>
      <c r="BV398" t="s">
        <v>84</v>
      </c>
      <c r="BY398">
        <v>4108.7</v>
      </c>
      <c r="CA398" t="s">
        <v>182</v>
      </c>
      <c r="CC398" t="s">
        <v>177</v>
      </c>
      <c r="CD398">
        <v>2197</v>
      </c>
      <c r="CE398" t="s">
        <v>134</v>
      </c>
      <c r="CF398" s="3">
        <v>45995</v>
      </c>
      <c r="CI398">
        <v>1</v>
      </c>
      <c r="CJ398">
        <v>1</v>
      </c>
      <c r="CK398">
        <v>22</v>
      </c>
      <c r="CL398" t="s">
        <v>87</v>
      </c>
    </row>
    <row r="399" spans="1:90" x14ac:dyDescent="0.3">
      <c r="A399" t="s">
        <v>72</v>
      </c>
      <c r="B399" t="s">
        <v>73</v>
      </c>
      <c r="C399" t="s">
        <v>74</v>
      </c>
      <c r="E399" t="str">
        <f>"080069651861"</f>
        <v>080069651861</v>
      </c>
      <c r="F399" s="3">
        <v>45994</v>
      </c>
      <c r="G399">
        <v>202609</v>
      </c>
      <c r="H399" t="s">
        <v>75</v>
      </c>
      <c r="I399" t="s">
        <v>76</v>
      </c>
      <c r="J399" t="s">
        <v>77</v>
      </c>
      <c r="K399" t="s">
        <v>78</v>
      </c>
      <c r="L399" t="s">
        <v>302</v>
      </c>
      <c r="M399" t="s">
        <v>303</v>
      </c>
      <c r="N399" t="s">
        <v>425</v>
      </c>
      <c r="O399" t="s">
        <v>80</v>
      </c>
      <c r="P399" t="str">
        <f>"4170071725                    "</f>
        <v xml:space="preserve">4170071725                    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49.36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1</v>
      </c>
      <c r="BI399">
        <v>6</v>
      </c>
      <c r="BJ399">
        <v>2.5</v>
      </c>
      <c r="BK399">
        <v>6</v>
      </c>
      <c r="BL399">
        <v>153.19999999999999</v>
      </c>
      <c r="BM399">
        <v>22.98</v>
      </c>
      <c r="BN399">
        <v>176.18</v>
      </c>
      <c r="BO399">
        <v>176.18</v>
      </c>
      <c r="BQ399" t="s">
        <v>426</v>
      </c>
      <c r="BR399" t="s">
        <v>82</v>
      </c>
      <c r="BS399" s="3">
        <v>45995</v>
      </c>
      <c r="BT399" s="4">
        <v>0.40347222222222223</v>
      </c>
      <c r="BU399" t="s">
        <v>1048</v>
      </c>
      <c r="BV399" t="s">
        <v>84</v>
      </c>
      <c r="BY399">
        <v>12673</v>
      </c>
      <c r="CA399">
        <v>7712195338085</v>
      </c>
      <c r="CC399" t="s">
        <v>303</v>
      </c>
      <c r="CD399" s="5" t="s">
        <v>350</v>
      </c>
      <c r="CE399" t="s">
        <v>647</v>
      </c>
      <c r="CF399" s="3">
        <v>45995</v>
      </c>
      <c r="CI399">
        <v>1</v>
      </c>
      <c r="CJ399">
        <v>1</v>
      </c>
      <c r="CK399">
        <v>41</v>
      </c>
      <c r="CL399" t="s">
        <v>87</v>
      </c>
    </row>
    <row r="400" spans="1:90" x14ac:dyDescent="0.3">
      <c r="A400" t="s">
        <v>72</v>
      </c>
      <c r="B400" t="s">
        <v>73</v>
      </c>
      <c r="C400" t="s">
        <v>74</v>
      </c>
      <c r="E400" t="str">
        <f>"080069651911"</f>
        <v>080069651911</v>
      </c>
      <c r="F400" s="3">
        <v>45994</v>
      </c>
      <c r="G400">
        <v>202609</v>
      </c>
      <c r="H400" t="s">
        <v>75</v>
      </c>
      <c r="I400" t="s">
        <v>76</v>
      </c>
      <c r="J400" t="s">
        <v>77</v>
      </c>
      <c r="K400" t="s">
        <v>78</v>
      </c>
      <c r="L400" t="s">
        <v>100</v>
      </c>
      <c r="M400" t="s">
        <v>101</v>
      </c>
      <c r="N400" t="s">
        <v>1049</v>
      </c>
      <c r="O400" t="s">
        <v>89</v>
      </c>
      <c r="P400" t="str">
        <f>"4170071672                    "</f>
        <v xml:space="preserve">4170071672                    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25.52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1</v>
      </c>
      <c r="BI400">
        <v>2</v>
      </c>
      <c r="BJ400">
        <v>0.9</v>
      </c>
      <c r="BK400">
        <v>2</v>
      </c>
      <c r="BL400">
        <v>76.06</v>
      </c>
      <c r="BM400">
        <v>11.41</v>
      </c>
      <c r="BN400">
        <v>87.47</v>
      </c>
      <c r="BO400">
        <v>87.47</v>
      </c>
      <c r="BQ400" t="s">
        <v>1050</v>
      </c>
      <c r="BR400" t="s">
        <v>82</v>
      </c>
      <c r="BS400" s="3">
        <v>45995</v>
      </c>
      <c r="BT400" s="4">
        <v>0.41458333333333336</v>
      </c>
      <c r="BU400" t="s">
        <v>1051</v>
      </c>
      <c r="BV400" t="s">
        <v>84</v>
      </c>
      <c r="BY400">
        <v>4275</v>
      </c>
      <c r="BZ400" t="s">
        <v>271</v>
      </c>
      <c r="CA400" t="s">
        <v>1052</v>
      </c>
      <c r="CC400" t="s">
        <v>101</v>
      </c>
      <c r="CD400">
        <v>4051</v>
      </c>
      <c r="CE400" t="s">
        <v>147</v>
      </c>
      <c r="CF400" s="3">
        <v>45995</v>
      </c>
      <c r="CI400">
        <v>1</v>
      </c>
      <c r="CJ400">
        <v>1</v>
      </c>
      <c r="CK400">
        <v>21</v>
      </c>
      <c r="CL400" t="s">
        <v>87</v>
      </c>
    </row>
    <row r="401" spans="1:90" x14ac:dyDescent="0.3">
      <c r="A401" t="s">
        <v>72</v>
      </c>
      <c r="B401" t="s">
        <v>73</v>
      </c>
      <c r="C401" t="s">
        <v>74</v>
      </c>
      <c r="E401" t="str">
        <f>"080069651952"</f>
        <v>080069651952</v>
      </c>
      <c r="F401" s="3">
        <v>45994</v>
      </c>
      <c r="G401">
        <v>202609</v>
      </c>
      <c r="H401" t="s">
        <v>75</v>
      </c>
      <c r="I401" t="s">
        <v>76</v>
      </c>
      <c r="J401" t="s">
        <v>77</v>
      </c>
      <c r="K401" t="s">
        <v>78</v>
      </c>
      <c r="L401" t="s">
        <v>533</v>
      </c>
      <c r="M401" t="s">
        <v>533</v>
      </c>
      <c r="N401" t="s">
        <v>534</v>
      </c>
      <c r="O401" t="s">
        <v>89</v>
      </c>
      <c r="P401" t="str">
        <f>"4170071758                    "</f>
        <v xml:space="preserve">4170071758                    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71.790000000000006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1</v>
      </c>
      <c r="BI401">
        <v>3</v>
      </c>
      <c r="BJ401">
        <v>1.1000000000000001</v>
      </c>
      <c r="BK401">
        <v>3</v>
      </c>
      <c r="BL401">
        <v>213.94</v>
      </c>
      <c r="BM401">
        <v>32.090000000000003</v>
      </c>
      <c r="BN401">
        <v>246.03</v>
      </c>
      <c r="BO401">
        <v>246.03</v>
      </c>
      <c r="BQ401" t="s">
        <v>535</v>
      </c>
      <c r="BR401" t="s">
        <v>82</v>
      </c>
      <c r="BS401" s="3">
        <v>45995</v>
      </c>
      <c r="BT401" s="4">
        <v>0.49652777777777779</v>
      </c>
      <c r="BU401" t="s">
        <v>1053</v>
      </c>
      <c r="BV401" t="s">
        <v>84</v>
      </c>
      <c r="BY401">
        <v>5510</v>
      </c>
      <c r="CA401" t="s">
        <v>537</v>
      </c>
      <c r="CC401" t="s">
        <v>533</v>
      </c>
      <c r="CD401">
        <v>7646</v>
      </c>
      <c r="CE401" t="s">
        <v>86</v>
      </c>
      <c r="CF401" s="3">
        <v>45996</v>
      </c>
      <c r="CI401">
        <v>1</v>
      </c>
      <c r="CJ401">
        <v>1</v>
      </c>
      <c r="CK401">
        <v>23</v>
      </c>
      <c r="CL401" t="s">
        <v>87</v>
      </c>
    </row>
    <row r="402" spans="1:90" x14ac:dyDescent="0.3">
      <c r="A402" t="s">
        <v>72</v>
      </c>
      <c r="B402" t="s">
        <v>73</v>
      </c>
      <c r="C402" t="s">
        <v>74</v>
      </c>
      <c r="E402" t="str">
        <f>"080069651999"</f>
        <v>080069651999</v>
      </c>
      <c r="F402" s="3">
        <v>45994</v>
      </c>
      <c r="G402">
        <v>202609</v>
      </c>
      <c r="H402" t="s">
        <v>75</v>
      </c>
      <c r="I402" t="s">
        <v>76</v>
      </c>
      <c r="J402" t="s">
        <v>77</v>
      </c>
      <c r="K402" t="s">
        <v>78</v>
      </c>
      <c r="L402" t="s">
        <v>75</v>
      </c>
      <c r="M402" t="s">
        <v>76</v>
      </c>
      <c r="N402" t="s">
        <v>1054</v>
      </c>
      <c r="O402" t="s">
        <v>340</v>
      </c>
      <c r="P402" t="str">
        <f>"4170071718                    "</f>
        <v xml:space="preserve">4170071718                    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19.940000000000001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1</v>
      </c>
      <c r="BI402">
        <v>2</v>
      </c>
      <c r="BJ402">
        <v>5</v>
      </c>
      <c r="BK402">
        <v>5</v>
      </c>
      <c r="BL402">
        <v>59.43</v>
      </c>
      <c r="BM402">
        <v>8.91</v>
      </c>
      <c r="BN402">
        <v>68.34</v>
      </c>
      <c r="BO402">
        <v>68.34</v>
      </c>
      <c r="BQ402" t="s">
        <v>1055</v>
      </c>
      <c r="BR402" t="s">
        <v>82</v>
      </c>
      <c r="BS402" s="3">
        <v>45995</v>
      </c>
      <c r="BT402" s="4">
        <v>0.41041666666666665</v>
      </c>
      <c r="BU402" t="s">
        <v>1056</v>
      </c>
      <c r="BV402" t="s">
        <v>84</v>
      </c>
      <c r="BY402">
        <v>24882</v>
      </c>
      <c r="CC402" t="s">
        <v>76</v>
      </c>
      <c r="CD402">
        <v>1614</v>
      </c>
      <c r="CE402" t="s">
        <v>86</v>
      </c>
      <c r="CF402" s="3">
        <v>45996</v>
      </c>
      <c r="CI402">
        <v>1</v>
      </c>
      <c r="CJ402">
        <v>1</v>
      </c>
      <c r="CK402">
        <v>32</v>
      </c>
      <c r="CL402" t="s">
        <v>87</v>
      </c>
    </row>
    <row r="403" spans="1:90" x14ac:dyDescent="0.3">
      <c r="A403" t="s">
        <v>72</v>
      </c>
      <c r="B403" t="s">
        <v>73</v>
      </c>
      <c r="C403" t="s">
        <v>74</v>
      </c>
      <c r="E403" t="str">
        <f>"080069652365"</f>
        <v>080069652365</v>
      </c>
      <c r="F403" s="3">
        <v>45994</v>
      </c>
      <c r="G403">
        <v>202609</v>
      </c>
      <c r="H403" t="s">
        <v>75</v>
      </c>
      <c r="I403" t="s">
        <v>76</v>
      </c>
      <c r="J403" t="s">
        <v>77</v>
      </c>
      <c r="K403" t="s">
        <v>78</v>
      </c>
      <c r="L403" t="s">
        <v>241</v>
      </c>
      <c r="M403" t="s">
        <v>242</v>
      </c>
      <c r="N403" t="s">
        <v>243</v>
      </c>
      <c r="O403" t="s">
        <v>89</v>
      </c>
      <c r="P403" t="str">
        <f>"4170071711                    "</f>
        <v xml:space="preserve">4170071711                    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25.52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1</v>
      </c>
      <c r="BI403">
        <v>1</v>
      </c>
      <c r="BJ403">
        <v>0.2</v>
      </c>
      <c r="BK403">
        <v>1</v>
      </c>
      <c r="BL403">
        <v>76.06</v>
      </c>
      <c r="BM403">
        <v>11.41</v>
      </c>
      <c r="BN403">
        <v>87.47</v>
      </c>
      <c r="BO403">
        <v>87.47</v>
      </c>
      <c r="BQ403" t="s">
        <v>244</v>
      </c>
      <c r="BR403" t="s">
        <v>82</v>
      </c>
      <c r="BS403" s="3">
        <v>45995</v>
      </c>
      <c r="BT403" s="4">
        <v>0.37361111111111112</v>
      </c>
      <c r="BU403" t="s">
        <v>1057</v>
      </c>
      <c r="BV403" t="s">
        <v>84</v>
      </c>
      <c r="BY403">
        <v>1200</v>
      </c>
      <c r="CC403" t="s">
        <v>242</v>
      </c>
      <c r="CD403">
        <v>4302</v>
      </c>
      <c r="CE403" t="s">
        <v>134</v>
      </c>
      <c r="CF403" s="3">
        <v>45996</v>
      </c>
      <c r="CI403">
        <v>1</v>
      </c>
      <c r="CJ403">
        <v>1</v>
      </c>
      <c r="CK403">
        <v>21</v>
      </c>
      <c r="CL403" t="s">
        <v>87</v>
      </c>
    </row>
    <row r="404" spans="1:90" x14ac:dyDescent="0.3">
      <c r="A404" t="s">
        <v>72</v>
      </c>
      <c r="B404" t="s">
        <v>73</v>
      </c>
      <c r="C404" t="s">
        <v>74</v>
      </c>
      <c r="E404" t="str">
        <f>"080069652391"</f>
        <v>080069652391</v>
      </c>
      <c r="F404" s="3">
        <v>45994</v>
      </c>
      <c r="G404">
        <v>202609</v>
      </c>
      <c r="H404" t="s">
        <v>75</v>
      </c>
      <c r="I404" t="s">
        <v>76</v>
      </c>
      <c r="J404" t="s">
        <v>77</v>
      </c>
      <c r="K404" t="s">
        <v>78</v>
      </c>
      <c r="L404" t="s">
        <v>772</v>
      </c>
      <c r="M404" t="s">
        <v>773</v>
      </c>
      <c r="N404" t="s">
        <v>797</v>
      </c>
      <c r="O404" t="s">
        <v>89</v>
      </c>
      <c r="P404" t="str">
        <f>"4170071724                    "</f>
        <v xml:space="preserve">4170071724                    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25.52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1</v>
      </c>
      <c r="BI404">
        <v>1</v>
      </c>
      <c r="BJ404">
        <v>0.2</v>
      </c>
      <c r="BK404">
        <v>1</v>
      </c>
      <c r="BL404">
        <v>76.06</v>
      </c>
      <c r="BM404">
        <v>11.41</v>
      </c>
      <c r="BN404">
        <v>87.47</v>
      </c>
      <c r="BO404">
        <v>87.47</v>
      </c>
      <c r="BQ404" t="s">
        <v>798</v>
      </c>
      <c r="BR404" t="s">
        <v>82</v>
      </c>
      <c r="BS404" s="3">
        <v>45995</v>
      </c>
      <c r="BT404" s="4">
        <v>0.54861111111111116</v>
      </c>
      <c r="BU404" t="s">
        <v>1058</v>
      </c>
      <c r="BV404" t="s">
        <v>87</v>
      </c>
      <c r="BW404" t="s">
        <v>246</v>
      </c>
      <c r="BX404" t="s">
        <v>800</v>
      </c>
      <c r="BY404">
        <v>1200</v>
      </c>
      <c r="CA404" t="s">
        <v>623</v>
      </c>
      <c r="CC404" t="s">
        <v>773</v>
      </c>
      <c r="CD404">
        <v>4113</v>
      </c>
      <c r="CE404" t="s">
        <v>134</v>
      </c>
      <c r="CF404" s="3">
        <v>45996</v>
      </c>
      <c r="CI404">
        <v>1</v>
      </c>
      <c r="CJ404">
        <v>1</v>
      </c>
      <c r="CK404">
        <v>21</v>
      </c>
      <c r="CL404" t="s">
        <v>87</v>
      </c>
    </row>
    <row r="405" spans="1:90" x14ac:dyDescent="0.3">
      <c r="A405" t="s">
        <v>72</v>
      </c>
      <c r="B405" t="s">
        <v>73</v>
      </c>
      <c r="C405" t="s">
        <v>74</v>
      </c>
      <c r="E405" t="str">
        <f>"080069652468"</f>
        <v>080069652468</v>
      </c>
      <c r="F405" s="3">
        <v>45994</v>
      </c>
      <c r="G405">
        <v>202609</v>
      </c>
      <c r="H405" t="s">
        <v>75</v>
      </c>
      <c r="I405" t="s">
        <v>76</v>
      </c>
      <c r="J405" t="s">
        <v>77</v>
      </c>
      <c r="K405" t="s">
        <v>78</v>
      </c>
      <c r="L405" t="s">
        <v>75</v>
      </c>
      <c r="M405" t="s">
        <v>76</v>
      </c>
      <c r="N405" t="s">
        <v>79</v>
      </c>
      <c r="O405" t="s">
        <v>80</v>
      </c>
      <c r="P405" t="str">
        <f>"4170071641                    "</f>
        <v xml:space="preserve">4170071641                    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101.41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3</v>
      </c>
      <c r="BI405">
        <v>36</v>
      </c>
      <c r="BJ405">
        <v>72</v>
      </c>
      <c r="BK405">
        <v>72</v>
      </c>
      <c r="BL405">
        <v>308.33</v>
      </c>
      <c r="BM405">
        <v>46.25</v>
      </c>
      <c r="BN405">
        <v>354.58</v>
      </c>
      <c r="BO405">
        <v>354.58</v>
      </c>
      <c r="BQ405" t="s">
        <v>81</v>
      </c>
      <c r="BR405" t="s">
        <v>82</v>
      </c>
      <c r="BS405" s="3">
        <v>45995</v>
      </c>
      <c r="BT405" s="4">
        <v>0.41666666666666669</v>
      </c>
      <c r="BU405" t="s">
        <v>83</v>
      </c>
      <c r="BV405" t="s">
        <v>84</v>
      </c>
      <c r="BY405">
        <v>359928</v>
      </c>
      <c r="CA405" t="s">
        <v>85</v>
      </c>
      <c r="CC405" t="s">
        <v>76</v>
      </c>
      <c r="CD405">
        <v>1619</v>
      </c>
      <c r="CE405" t="s">
        <v>93</v>
      </c>
      <c r="CF405" s="3">
        <v>45995</v>
      </c>
      <c r="CI405">
        <v>1</v>
      </c>
      <c r="CJ405">
        <v>1</v>
      </c>
      <c r="CK405">
        <v>42</v>
      </c>
      <c r="CL405" t="s">
        <v>87</v>
      </c>
    </row>
    <row r="406" spans="1:90" x14ac:dyDescent="0.3">
      <c r="A406" t="s">
        <v>72</v>
      </c>
      <c r="B406" t="s">
        <v>73</v>
      </c>
      <c r="C406" t="s">
        <v>74</v>
      </c>
      <c r="E406" t="str">
        <f>"080069652540"</f>
        <v>080069652540</v>
      </c>
      <c r="F406" s="3">
        <v>45994</v>
      </c>
      <c r="G406">
        <v>202609</v>
      </c>
      <c r="H406" t="s">
        <v>75</v>
      </c>
      <c r="I406" t="s">
        <v>76</v>
      </c>
      <c r="J406" t="s">
        <v>77</v>
      </c>
      <c r="K406" t="s">
        <v>78</v>
      </c>
      <c r="L406" t="s">
        <v>94</v>
      </c>
      <c r="M406" t="s">
        <v>95</v>
      </c>
      <c r="N406" t="s">
        <v>1059</v>
      </c>
      <c r="O406" t="s">
        <v>89</v>
      </c>
      <c r="P406" t="str">
        <f>"4170071688                    "</f>
        <v xml:space="preserve">4170071688                    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82.93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1</v>
      </c>
      <c r="BI406">
        <v>3</v>
      </c>
      <c r="BJ406">
        <v>6.1</v>
      </c>
      <c r="BK406">
        <v>6.5</v>
      </c>
      <c r="BL406">
        <v>247.14</v>
      </c>
      <c r="BM406">
        <v>37.07</v>
      </c>
      <c r="BN406">
        <v>284.20999999999998</v>
      </c>
      <c r="BO406">
        <v>284.20999999999998</v>
      </c>
      <c r="BQ406" t="s">
        <v>1060</v>
      </c>
      <c r="BR406" t="s">
        <v>82</v>
      </c>
      <c r="BS406" s="3">
        <v>45995</v>
      </c>
      <c r="BT406" s="4">
        <v>0.41041666666666665</v>
      </c>
      <c r="BU406" t="s">
        <v>1061</v>
      </c>
      <c r="BV406" t="s">
        <v>84</v>
      </c>
      <c r="BY406">
        <v>30600</v>
      </c>
      <c r="CA406" t="s">
        <v>99</v>
      </c>
      <c r="CC406" t="s">
        <v>95</v>
      </c>
      <c r="CD406">
        <v>3600</v>
      </c>
      <c r="CE406" t="s">
        <v>93</v>
      </c>
      <c r="CF406" s="3">
        <v>45995</v>
      </c>
      <c r="CI406">
        <v>1</v>
      </c>
      <c r="CJ406">
        <v>1</v>
      </c>
      <c r="CK406">
        <v>21</v>
      </c>
      <c r="CL406" t="s">
        <v>87</v>
      </c>
    </row>
    <row r="407" spans="1:90" x14ac:dyDescent="0.3">
      <c r="A407" t="s">
        <v>72</v>
      </c>
      <c r="B407" t="s">
        <v>73</v>
      </c>
      <c r="C407" t="s">
        <v>74</v>
      </c>
      <c r="E407" t="str">
        <f>"080069652822"</f>
        <v>080069652822</v>
      </c>
      <c r="F407" s="3">
        <v>45994</v>
      </c>
      <c r="G407">
        <v>202609</v>
      </c>
      <c r="H407" t="s">
        <v>75</v>
      </c>
      <c r="I407" t="s">
        <v>76</v>
      </c>
      <c r="J407" t="s">
        <v>77</v>
      </c>
      <c r="K407" t="s">
        <v>78</v>
      </c>
      <c r="L407" t="s">
        <v>1062</v>
      </c>
      <c r="M407" t="s">
        <v>1063</v>
      </c>
      <c r="N407" t="s">
        <v>1064</v>
      </c>
      <c r="O407" t="s">
        <v>89</v>
      </c>
      <c r="P407" t="str">
        <f>"4170071716                    "</f>
        <v xml:space="preserve">4170071716                    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138.78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1</v>
      </c>
      <c r="BI407">
        <v>6</v>
      </c>
      <c r="BJ407">
        <v>1.7</v>
      </c>
      <c r="BK407">
        <v>6</v>
      </c>
      <c r="BL407">
        <v>413.59</v>
      </c>
      <c r="BM407">
        <v>62.04</v>
      </c>
      <c r="BN407">
        <v>475.63</v>
      </c>
      <c r="BO407">
        <v>475.63</v>
      </c>
      <c r="BQ407" t="s">
        <v>1065</v>
      </c>
      <c r="BR407" t="s">
        <v>82</v>
      </c>
      <c r="BS407" s="3">
        <v>45996</v>
      </c>
      <c r="BT407" s="4">
        <v>0.63958333333333328</v>
      </c>
      <c r="BU407" t="s">
        <v>1066</v>
      </c>
      <c r="BV407" t="s">
        <v>87</v>
      </c>
      <c r="BW407" t="s">
        <v>153</v>
      </c>
      <c r="BX407" t="s">
        <v>979</v>
      </c>
      <c r="BY407">
        <v>8586</v>
      </c>
      <c r="CA407" t="s">
        <v>1067</v>
      </c>
      <c r="CC407" t="s">
        <v>1063</v>
      </c>
      <c r="CD407">
        <v>7349</v>
      </c>
      <c r="CE407" t="s">
        <v>93</v>
      </c>
      <c r="CF407" s="3">
        <v>45999</v>
      </c>
      <c r="CI407">
        <v>1</v>
      </c>
      <c r="CJ407">
        <v>2</v>
      </c>
      <c r="CK407">
        <v>23</v>
      </c>
      <c r="CL407" t="s">
        <v>87</v>
      </c>
    </row>
    <row r="408" spans="1:90" x14ac:dyDescent="0.3">
      <c r="A408" t="s">
        <v>72</v>
      </c>
      <c r="B408" t="s">
        <v>73</v>
      </c>
      <c r="C408" t="s">
        <v>74</v>
      </c>
      <c r="E408" t="str">
        <f>"080069652877"</f>
        <v>080069652877</v>
      </c>
      <c r="F408" s="3">
        <v>45994</v>
      </c>
      <c r="G408">
        <v>202609</v>
      </c>
      <c r="H408" t="s">
        <v>75</v>
      </c>
      <c r="I408" t="s">
        <v>76</v>
      </c>
      <c r="J408" t="s">
        <v>77</v>
      </c>
      <c r="K408" t="s">
        <v>78</v>
      </c>
      <c r="L408" t="s">
        <v>141</v>
      </c>
      <c r="M408" t="s">
        <v>142</v>
      </c>
      <c r="N408" t="s">
        <v>844</v>
      </c>
      <c r="O408" t="s">
        <v>89</v>
      </c>
      <c r="P408" t="str">
        <f>"4170071712                    "</f>
        <v xml:space="preserve">4170071712                    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38.28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1</v>
      </c>
      <c r="BI408">
        <v>3</v>
      </c>
      <c r="BJ408">
        <v>1.4</v>
      </c>
      <c r="BK408">
        <v>3</v>
      </c>
      <c r="BL408">
        <v>114.08</v>
      </c>
      <c r="BM408">
        <v>17.11</v>
      </c>
      <c r="BN408">
        <v>131.19</v>
      </c>
      <c r="BO408">
        <v>131.19</v>
      </c>
      <c r="BQ408" t="s">
        <v>845</v>
      </c>
      <c r="BR408" t="s">
        <v>82</v>
      </c>
      <c r="BS408" s="3">
        <v>45995</v>
      </c>
      <c r="BT408" s="4">
        <v>0.42499999999999999</v>
      </c>
      <c r="BU408" t="s">
        <v>846</v>
      </c>
      <c r="BV408" t="s">
        <v>84</v>
      </c>
      <c r="BY408">
        <v>7000</v>
      </c>
      <c r="BZ408" t="s">
        <v>271</v>
      </c>
      <c r="CA408" t="s">
        <v>146</v>
      </c>
      <c r="CC408" t="s">
        <v>142</v>
      </c>
      <c r="CD408">
        <v>6000</v>
      </c>
      <c r="CE408" t="s">
        <v>147</v>
      </c>
      <c r="CF408" s="3">
        <v>45995</v>
      </c>
      <c r="CI408">
        <v>1</v>
      </c>
      <c r="CJ408">
        <v>1</v>
      </c>
      <c r="CK408">
        <v>21</v>
      </c>
      <c r="CL408" t="s">
        <v>87</v>
      </c>
    </row>
    <row r="409" spans="1:90" x14ac:dyDescent="0.3">
      <c r="A409" t="s">
        <v>72</v>
      </c>
      <c r="B409" t="s">
        <v>73</v>
      </c>
      <c r="C409" t="s">
        <v>74</v>
      </c>
      <c r="E409" t="str">
        <f>"080069652955"</f>
        <v>080069652955</v>
      </c>
      <c r="F409" s="3">
        <v>45994</v>
      </c>
      <c r="G409">
        <v>202609</v>
      </c>
      <c r="H409" t="s">
        <v>75</v>
      </c>
      <c r="I409" t="s">
        <v>76</v>
      </c>
      <c r="J409" t="s">
        <v>77</v>
      </c>
      <c r="K409" t="s">
        <v>78</v>
      </c>
      <c r="L409" t="s">
        <v>120</v>
      </c>
      <c r="M409" t="s">
        <v>121</v>
      </c>
      <c r="N409" t="s">
        <v>163</v>
      </c>
      <c r="O409" t="s">
        <v>89</v>
      </c>
      <c r="P409" t="str">
        <f>"4170071659                    "</f>
        <v xml:space="preserve">4170071659                    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25.52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1</v>
      </c>
      <c r="BI409">
        <v>1</v>
      </c>
      <c r="BJ409">
        <v>0.2</v>
      </c>
      <c r="BK409">
        <v>1</v>
      </c>
      <c r="BL409">
        <v>76.06</v>
      </c>
      <c r="BM409">
        <v>11.41</v>
      </c>
      <c r="BN409">
        <v>87.47</v>
      </c>
      <c r="BO409">
        <v>87.47</v>
      </c>
      <c r="BQ409" t="s">
        <v>164</v>
      </c>
      <c r="BR409" t="s">
        <v>82</v>
      </c>
      <c r="BS409" s="3">
        <v>45995</v>
      </c>
      <c r="BT409" s="4">
        <v>0.3347222222222222</v>
      </c>
      <c r="BU409" t="s">
        <v>165</v>
      </c>
      <c r="BV409" t="s">
        <v>84</v>
      </c>
      <c r="BY409">
        <v>1200</v>
      </c>
      <c r="CA409" t="s">
        <v>126</v>
      </c>
      <c r="CC409" t="s">
        <v>121</v>
      </c>
      <c r="CD409">
        <v>6230</v>
      </c>
      <c r="CE409" t="s">
        <v>134</v>
      </c>
      <c r="CF409" s="3">
        <v>45995</v>
      </c>
      <c r="CI409">
        <v>1</v>
      </c>
      <c r="CJ409">
        <v>1</v>
      </c>
      <c r="CK409">
        <v>21</v>
      </c>
      <c r="CL409" t="s">
        <v>87</v>
      </c>
    </row>
    <row r="410" spans="1:90" x14ac:dyDescent="0.3">
      <c r="A410" t="s">
        <v>72</v>
      </c>
      <c r="B410" t="s">
        <v>73</v>
      </c>
      <c r="C410" t="s">
        <v>74</v>
      </c>
      <c r="E410" t="str">
        <f>"080069653309"</f>
        <v>080069653309</v>
      </c>
      <c r="F410" s="3">
        <v>45994</v>
      </c>
      <c r="G410">
        <v>202609</v>
      </c>
      <c r="H410" t="s">
        <v>75</v>
      </c>
      <c r="I410" t="s">
        <v>76</v>
      </c>
      <c r="J410" t="s">
        <v>77</v>
      </c>
      <c r="K410" t="s">
        <v>78</v>
      </c>
      <c r="L410" t="s">
        <v>141</v>
      </c>
      <c r="M410" t="s">
        <v>142</v>
      </c>
      <c r="N410" t="s">
        <v>324</v>
      </c>
      <c r="O410" t="s">
        <v>89</v>
      </c>
      <c r="P410" t="str">
        <f>"4170071722                    "</f>
        <v xml:space="preserve">4170071722                    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146.71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1</v>
      </c>
      <c r="BI410">
        <v>6</v>
      </c>
      <c r="BJ410">
        <v>11.5</v>
      </c>
      <c r="BK410">
        <v>11.5</v>
      </c>
      <c r="BL410">
        <v>437.22</v>
      </c>
      <c r="BM410">
        <v>65.58</v>
      </c>
      <c r="BN410">
        <v>502.8</v>
      </c>
      <c r="BO410">
        <v>502.8</v>
      </c>
      <c r="BQ410" t="s">
        <v>325</v>
      </c>
      <c r="BR410" t="s">
        <v>82</v>
      </c>
      <c r="BS410" s="3">
        <v>45995</v>
      </c>
      <c r="BT410" s="4">
        <v>0.43611111111111112</v>
      </c>
      <c r="BU410" t="s">
        <v>1068</v>
      </c>
      <c r="BV410" t="s">
        <v>84</v>
      </c>
      <c r="BY410">
        <v>57600</v>
      </c>
      <c r="BZ410" t="s">
        <v>271</v>
      </c>
      <c r="CC410" t="s">
        <v>142</v>
      </c>
      <c r="CD410">
        <v>6001</v>
      </c>
      <c r="CE410" t="s">
        <v>93</v>
      </c>
      <c r="CF410" s="3">
        <v>45995</v>
      </c>
      <c r="CI410">
        <v>1</v>
      </c>
      <c r="CJ410">
        <v>1</v>
      </c>
      <c r="CK410">
        <v>21</v>
      </c>
      <c r="CL410" t="s">
        <v>87</v>
      </c>
    </row>
    <row r="411" spans="1:90" x14ac:dyDescent="0.3">
      <c r="A411" t="s">
        <v>72</v>
      </c>
      <c r="B411" t="s">
        <v>73</v>
      </c>
      <c r="C411" t="s">
        <v>74</v>
      </c>
      <c r="E411" t="str">
        <f>"080069653364"</f>
        <v>080069653364</v>
      </c>
      <c r="F411" s="3">
        <v>45994</v>
      </c>
      <c r="G411">
        <v>202609</v>
      </c>
      <c r="H411" t="s">
        <v>75</v>
      </c>
      <c r="I411" t="s">
        <v>76</v>
      </c>
      <c r="J411" t="s">
        <v>77</v>
      </c>
      <c r="K411" t="s">
        <v>78</v>
      </c>
      <c r="L411" t="s">
        <v>482</v>
      </c>
      <c r="M411" t="s">
        <v>483</v>
      </c>
      <c r="N411" t="s">
        <v>1069</v>
      </c>
      <c r="O411" t="s">
        <v>89</v>
      </c>
      <c r="P411" t="str">
        <f>"4170071720                    "</f>
        <v xml:space="preserve">4170071720                    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49.45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1</v>
      </c>
      <c r="BI411">
        <v>2</v>
      </c>
      <c r="BJ411">
        <v>1.4</v>
      </c>
      <c r="BK411">
        <v>2</v>
      </c>
      <c r="BL411">
        <v>147.38</v>
      </c>
      <c r="BM411">
        <v>22.11</v>
      </c>
      <c r="BN411">
        <v>169.49</v>
      </c>
      <c r="BO411">
        <v>169.49</v>
      </c>
      <c r="BQ411" t="s">
        <v>1070</v>
      </c>
      <c r="BR411" t="s">
        <v>82</v>
      </c>
      <c r="BS411" t="s">
        <v>500</v>
      </c>
      <c r="BY411">
        <v>7000</v>
      </c>
      <c r="CC411" t="s">
        <v>483</v>
      </c>
      <c r="CD411">
        <v>1871</v>
      </c>
      <c r="CE411" t="s">
        <v>86</v>
      </c>
      <c r="CI411">
        <v>1</v>
      </c>
      <c r="CJ411" t="s">
        <v>500</v>
      </c>
      <c r="CK411">
        <v>23</v>
      </c>
      <c r="CL411" t="s">
        <v>87</v>
      </c>
    </row>
    <row r="412" spans="1:90" x14ac:dyDescent="0.3">
      <c r="A412" t="s">
        <v>72</v>
      </c>
      <c r="B412" t="s">
        <v>73</v>
      </c>
      <c r="C412" t="s">
        <v>74</v>
      </c>
      <c r="E412" t="str">
        <f>"080069653439"</f>
        <v>080069653439</v>
      </c>
      <c r="F412" s="3">
        <v>45994</v>
      </c>
      <c r="G412">
        <v>202609</v>
      </c>
      <c r="H412" t="s">
        <v>75</v>
      </c>
      <c r="I412" t="s">
        <v>76</v>
      </c>
      <c r="J412" t="s">
        <v>77</v>
      </c>
      <c r="K412" t="s">
        <v>78</v>
      </c>
      <c r="L412" t="s">
        <v>389</v>
      </c>
      <c r="M412" t="s">
        <v>390</v>
      </c>
      <c r="N412" t="s">
        <v>1071</v>
      </c>
      <c r="O412" t="s">
        <v>89</v>
      </c>
      <c r="P412" t="str">
        <f>"4170071699                    "</f>
        <v xml:space="preserve">4170071699                    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49.45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1</v>
      </c>
      <c r="BI412">
        <v>1.1000000000000001</v>
      </c>
      <c r="BJ412">
        <v>1.7</v>
      </c>
      <c r="BK412">
        <v>2</v>
      </c>
      <c r="BL412">
        <v>147.38</v>
      </c>
      <c r="BM412">
        <v>22.11</v>
      </c>
      <c r="BN412">
        <v>169.49</v>
      </c>
      <c r="BO412">
        <v>169.49</v>
      </c>
      <c r="BQ412" t="s">
        <v>1072</v>
      </c>
      <c r="BR412" t="s">
        <v>82</v>
      </c>
      <c r="BS412" s="3">
        <v>45995</v>
      </c>
      <c r="BT412" s="4">
        <v>0.43402777777777779</v>
      </c>
      <c r="BU412" t="s">
        <v>1073</v>
      </c>
      <c r="BV412" t="s">
        <v>84</v>
      </c>
      <c r="BY412">
        <v>8352</v>
      </c>
      <c r="CA412">
        <v>7601035402088</v>
      </c>
      <c r="CC412" t="s">
        <v>390</v>
      </c>
      <c r="CD412" s="5" t="s">
        <v>395</v>
      </c>
      <c r="CE412" t="s">
        <v>86</v>
      </c>
      <c r="CF412" s="3">
        <v>45996</v>
      </c>
      <c r="CI412">
        <v>1</v>
      </c>
      <c r="CJ412">
        <v>1</v>
      </c>
      <c r="CK412">
        <v>23</v>
      </c>
      <c r="CL412" t="s">
        <v>87</v>
      </c>
    </row>
    <row r="413" spans="1:90" x14ac:dyDescent="0.3">
      <c r="A413" t="s">
        <v>72</v>
      </c>
      <c r="B413" t="s">
        <v>73</v>
      </c>
      <c r="C413" t="s">
        <v>74</v>
      </c>
      <c r="E413" t="str">
        <f>"080069653470"</f>
        <v>080069653470</v>
      </c>
      <c r="F413" s="3">
        <v>45994</v>
      </c>
      <c r="G413">
        <v>202609</v>
      </c>
      <c r="H413" t="s">
        <v>75</v>
      </c>
      <c r="I413" t="s">
        <v>76</v>
      </c>
      <c r="J413" t="s">
        <v>77</v>
      </c>
      <c r="K413" t="s">
        <v>78</v>
      </c>
      <c r="L413" t="s">
        <v>128</v>
      </c>
      <c r="M413" t="s">
        <v>129</v>
      </c>
      <c r="N413" t="s">
        <v>183</v>
      </c>
      <c r="O413" t="s">
        <v>89</v>
      </c>
      <c r="P413" t="str">
        <f>"4170071704                    "</f>
        <v xml:space="preserve">4170071704                    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25.52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1</v>
      </c>
      <c r="BI413">
        <v>1</v>
      </c>
      <c r="BJ413">
        <v>0.2</v>
      </c>
      <c r="BK413">
        <v>1</v>
      </c>
      <c r="BL413">
        <v>76.06</v>
      </c>
      <c r="BM413">
        <v>11.41</v>
      </c>
      <c r="BN413">
        <v>87.47</v>
      </c>
      <c r="BO413">
        <v>87.47</v>
      </c>
      <c r="BQ413" t="s">
        <v>184</v>
      </c>
      <c r="BR413" t="s">
        <v>82</v>
      </c>
      <c r="BS413" s="3">
        <v>45995</v>
      </c>
      <c r="BT413" s="4">
        <v>0.56458333333333333</v>
      </c>
      <c r="BU413" t="s">
        <v>1074</v>
      </c>
      <c r="BV413" t="s">
        <v>87</v>
      </c>
      <c r="BW413" t="s">
        <v>186</v>
      </c>
      <c r="BX413" t="s">
        <v>187</v>
      </c>
      <c r="BY413">
        <v>1200</v>
      </c>
      <c r="CA413" t="s">
        <v>188</v>
      </c>
      <c r="CC413" t="s">
        <v>129</v>
      </c>
      <c r="CD413">
        <v>5201</v>
      </c>
      <c r="CE413" t="s">
        <v>134</v>
      </c>
      <c r="CF413" s="3">
        <v>45996</v>
      </c>
      <c r="CI413">
        <v>1</v>
      </c>
      <c r="CJ413">
        <v>1</v>
      </c>
      <c r="CK413">
        <v>21</v>
      </c>
      <c r="CL413" t="s">
        <v>87</v>
      </c>
    </row>
    <row r="414" spans="1:90" x14ac:dyDescent="0.3">
      <c r="A414" t="s">
        <v>72</v>
      </c>
      <c r="B414" t="s">
        <v>73</v>
      </c>
      <c r="C414" t="s">
        <v>74</v>
      </c>
      <c r="E414" t="str">
        <f>"080069654286"</f>
        <v>080069654286</v>
      </c>
      <c r="F414" s="3">
        <v>45994</v>
      </c>
      <c r="G414">
        <v>202609</v>
      </c>
      <c r="H414" t="s">
        <v>75</v>
      </c>
      <c r="I414" t="s">
        <v>76</v>
      </c>
      <c r="J414" t="s">
        <v>77</v>
      </c>
      <c r="K414" t="s">
        <v>78</v>
      </c>
      <c r="L414" t="s">
        <v>465</v>
      </c>
      <c r="M414" t="s">
        <v>466</v>
      </c>
      <c r="N414" t="s">
        <v>1075</v>
      </c>
      <c r="O414" t="s">
        <v>340</v>
      </c>
      <c r="P414" t="str">
        <f>"4170071669                    "</f>
        <v xml:space="preserve">4170071669                    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22.18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1</v>
      </c>
      <c r="BI414">
        <v>9</v>
      </c>
      <c r="BJ414">
        <v>4.9000000000000004</v>
      </c>
      <c r="BK414">
        <v>9</v>
      </c>
      <c r="BL414">
        <v>66.099999999999994</v>
      </c>
      <c r="BM414">
        <v>9.92</v>
      </c>
      <c r="BN414">
        <v>76.02</v>
      </c>
      <c r="BO414">
        <v>76.02</v>
      </c>
      <c r="BQ414" t="s">
        <v>1076</v>
      </c>
      <c r="BR414" t="s">
        <v>82</v>
      </c>
      <c r="BS414" s="3">
        <v>45995</v>
      </c>
      <c r="BT414" s="4">
        <v>0.49305555555555558</v>
      </c>
      <c r="BU414" t="s">
        <v>1077</v>
      </c>
      <c r="BV414" t="s">
        <v>84</v>
      </c>
      <c r="BY414">
        <v>24500</v>
      </c>
      <c r="CA414" t="s">
        <v>1078</v>
      </c>
      <c r="CC414" t="s">
        <v>466</v>
      </c>
      <c r="CD414">
        <v>1401</v>
      </c>
      <c r="CE414" t="s">
        <v>86</v>
      </c>
      <c r="CF414" s="3">
        <v>45995</v>
      </c>
      <c r="CI414">
        <v>1</v>
      </c>
      <c r="CJ414">
        <v>1</v>
      </c>
      <c r="CK414">
        <v>32</v>
      </c>
      <c r="CL414" t="s">
        <v>87</v>
      </c>
    </row>
    <row r="415" spans="1:90" x14ac:dyDescent="0.3">
      <c r="A415" t="s">
        <v>72</v>
      </c>
      <c r="B415" t="s">
        <v>73</v>
      </c>
      <c r="C415" t="s">
        <v>74</v>
      </c>
      <c r="E415" t="str">
        <f>"080069654858"</f>
        <v>080069654858</v>
      </c>
      <c r="F415" s="3">
        <v>45994</v>
      </c>
      <c r="G415">
        <v>202609</v>
      </c>
      <c r="H415" t="s">
        <v>75</v>
      </c>
      <c r="I415" t="s">
        <v>76</v>
      </c>
      <c r="J415" t="s">
        <v>77</v>
      </c>
      <c r="K415" t="s">
        <v>78</v>
      </c>
      <c r="L415" t="s">
        <v>241</v>
      </c>
      <c r="M415" t="s">
        <v>242</v>
      </c>
      <c r="N415" t="s">
        <v>1079</v>
      </c>
      <c r="O415" t="s">
        <v>89</v>
      </c>
      <c r="P415" t="str">
        <f>"4170071694                    "</f>
        <v xml:space="preserve">4170071694                    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70.17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1</v>
      </c>
      <c r="BI415">
        <v>5</v>
      </c>
      <c r="BJ415">
        <v>5.2</v>
      </c>
      <c r="BK415">
        <v>5.5</v>
      </c>
      <c r="BL415">
        <v>209.12</v>
      </c>
      <c r="BM415">
        <v>31.37</v>
      </c>
      <c r="BN415">
        <v>240.49</v>
      </c>
      <c r="BO415">
        <v>240.49</v>
      </c>
      <c r="BQ415" t="s">
        <v>1080</v>
      </c>
      <c r="BR415" t="s">
        <v>82</v>
      </c>
      <c r="BS415" s="3">
        <v>45995</v>
      </c>
      <c r="BT415" s="4">
        <v>0.3888888888888889</v>
      </c>
      <c r="BU415" t="s">
        <v>1081</v>
      </c>
      <c r="BV415" t="s">
        <v>84</v>
      </c>
      <c r="BY415">
        <v>25800</v>
      </c>
      <c r="CC415" t="s">
        <v>242</v>
      </c>
      <c r="CD415">
        <v>4302</v>
      </c>
      <c r="CE415" t="s">
        <v>93</v>
      </c>
      <c r="CF415" s="3">
        <v>45996</v>
      </c>
      <c r="CI415">
        <v>1</v>
      </c>
      <c r="CJ415">
        <v>1</v>
      </c>
      <c r="CK415">
        <v>21</v>
      </c>
      <c r="CL415" t="s">
        <v>87</v>
      </c>
    </row>
    <row r="416" spans="1:90" x14ac:dyDescent="0.3">
      <c r="A416" t="s">
        <v>72</v>
      </c>
      <c r="B416" t="s">
        <v>73</v>
      </c>
      <c r="C416" t="s">
        <v>74</v>
      </c>
      <c r="E416" t="str">
        <f>"080069654927"</f>
        <v>080069654927</v>
      </c>
      <c r="F416" s="3">
        <v>45994</v>
      </c>
      <c r="G416">
        <v>202609</v>
      </c>
      <c r="H416" t="s">
        <v>75</v>
      </c>
      <c r="I416" t="s">
        <v>76</v>
      </c>
      <c r="J416" t="s">
        <v>77</v>
      </c>
      <c r="K416" t="s">
        <v>78</v>
      </c>
      <c r="L416" t="s">
        <v>526</v>
      </c>
      <c r="M416" t="s">
        <v>527</v>
      </c>
      <c r="N416" t="s">
        <v>528</v>
      </c>
      <c r="O416" t="s">
        <v>80</v>
      </c>
      <c r="P416" t="str">
        <f>"4170071634                    "</f>
        <v xml:space="preserve">4170071634                    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69.61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17.41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1</v>
      </c>
      <c r="BI416">
        <v>13</v>
      </c>
      <c r="BJ416">
        <v>5</v>
      </c>
      <c r="BK416">
        <v>13</v>
      </c>
      <c r="BL416">
        <v>230.97</v>
      </c>
      <c r="BM416">
        <v>34.65</v>
      </c>
      <c r="BN416">
        <v>265.62</v>
      </c>
      <c r="BO416">
        <v>265.62</v>
      </c>
      <c r="BQ416" t="s">
        <v>529</v>
      </c>
      <c r="BR416" t="s">
        <v>82</v>
      </c>
      <c r="BS416" s="3">
        <v>45995</v>
      </c>
      <c r="BT416" s="4">
        <v>0.54166666666666663</v>
      </c>
      <c r="BU416" t="s">
        <v>977</v>
      </c>
      <c r="BV416" t="s">
        <v>84</v>
      </c>
      <c r="BY416">
        <v>24882</v>
      </c>
      <c r="BZ416" t="s">
        <v>30</v>
      </c>
      <c r="CC416" t="s">
        <v>527</v>
      </c>
      <c r="CD416" s="5" t="s">
        <v>532</v>
      </c>
      <c r="CE416" t="s">
        <v>86</v>
      </c>
      <c r="CF416" s="3">
        <v>45996</v>
      </c>
      <c r="CI416">
        <v>1</v>
      </c>
      <c r="CJ416">
        <v>1</v>
      </c>
      <c r="CK416">
        <v>43</v>
      </c>
      <c r="CL416" t="s">
        <v>87</v>
      </c>
    </row>
    <row r="417" spans="1:90" x14ac:dyDescent="0.3">
      <c r="A417" t="s">
        <v>72</v>
      </c>
      <c r="B417" t="s">
        <v>73</v>
      </c>
      <c r="C417" t="s">
        <v>74</v>
      </c>
      <c r="E417" t="str">
        <f>"080069654952"</f>
        <v>080069654952</v>
      </c>
      <c r="F417" s="3">
        <v>45994</v>
      </c>
      <c r="G417">
        <v>202609</v>
      </c>
      <c r="H417" t="s">
        <v>75</v>
      </c>
      <c r="I417" t="s">
        <v>76</v>
      </c>
      <c r="J417" t="s">
        <v>77</v>
      </c>
      <c r="K417" t="s">
        <v>78</v>
      </c>
      <c r="L417" t="s">
        <v>156</v>
      </c>
      <c r="M417" t="s">
        <v>157</v>
      </c>
      <c r="N417" t="s">
        <v>1082</v>
      </c>
      <c r="O417" t="s">
        <v>89</v>
      </c>
      <c r="P417" t="str">
        <f>"4170071654                    "</f>
        <v xml:space="preserve">4170071654                    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25.52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1</v>
      </c>
      <c r="BI417">
        <v>1</v>
      </c>
      <c r="BJ417">
        <v>0.2</v>
      </c>
      <c r="BK417">
        <v>1</v>
      </c>
      <c r="BL417">
        <v>76.06</v>
      </c>
      <c r="BM417">
        <v>11.41</v>
      </c>
      <c r="BN417">
        <v>87.47</v>
      </c>
      <c r="BO417">
        <v>87.47</v>
      </c>
      <c r="BQ417" t="s">
        <v>1083</v>
      </c>
      <c r="BR417" t="s">
        <v>82</v>
      </c>
      <c r="BS417" s="3">
        <v>45995</v>
      </c>
      <c r="BT417" s="4">
        <v>0.41666666666666669</v>
      </c>
      <c r="BU417" t="s">
        <v>1084</v>
      </c>
      <c r="BV417" t="s">
        <v>84</v>
      </c>
      <c r="BY417">
        <v>1200</v>
      </c>
      <c r="CA417" t="s">
        <v>1085</v>
      </c>
      <c r="CC417" t="s">
        <v>157</v>
      </c>
      <c r="CD417">
        <v>8000</v>
      </c>
      <c r="CE417" t="s">
        <v>134</v>
      </c>
      <c r="CF417" s="3">
        <v>45997</v>
      </c>
      <c r="CI417">
        <v>1</v>
      </c>
      <c r="CJ417">
        <v>1</v>
      </c>
      <c r="CK417">
        <v>21</v>
      </c>
      <c r="CL417" t="s">
        <v>87</v>
      </c>
    </row>
    <row r="418" spans="1:90" x14ac:dyDescent="0.3">
      <c r="A418" t="s">
        <v>72</v>
      </c>
      <c r="B418" t="s">
        <v>73</v>
      </c>
      <c r="C418" t="s">
        <v>74</v>
      </c>
      <c r="E418" t="str">
        <f>"080069655029"</f>
        <v>080069655029</v>
      </c>
      <c r="F418" s="3">
        <v>45994</v>
      </c>
      <c r="G418">
        <v>202609</v>
      </c>
      <c r="H418" t="s">
        <v>75</v>
      </c>
      <c r="I418" t="s">
        <v>76</v>
      </c>
      <c r="J418" t="s">
        <v>77</v>
      </c>
      <c r="K418" t="s">
        <v>78</v>
      </c>
      <c r="L418" t="s">
        <v>156</v>
      </c>
      <c r="M418" t="s">
        <v>157</v>
      </c>
      <c r="N418" t="s">
        <v>434</v>
      </c>
      <c r="O418" t="s">
        <v>89</v>
      </c>
      <c r="P418" t="str">
        <f>"4170071698                    "</f>
        <v xml:space="preserve">4170071698                    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25.52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1</v>
      </c>
      <c r="BI418">
        <v>2</v>
      </c>
      <c r="BJ418">
        <v>1.8</v>
      </c>
      <c r="BK418">
        <v>2</v>
      </c>
      <c r="BL418">
        <v>76.06</v>
      </c>
      <c r="BM418">
        <v>11.41</v>
      </c>
      <c r="BN418">
        <v>87.47</v>
      </c>
      <c r="BO418">
        <v>87.47</v>
      </c>
      <c r="BQ418" t="s">
        <v>435</v>
      </c>
      <c r="BR418" t="s">
        <v>82</v>
      </c>
      <c r="BS418" s="3">
        <v>45995</v>
      </c>
      <c r="BT418" s="4">
        <v>0.37916666666666665</v>
      </c>
      <c r="BU418" t="s">
        <v>982</v>
      </c>
      <c r="BV418" t="s">
        <v>84</v>
      </c>
      <c r="BY418">
        <v>8775</v>
      </c>
      <c r="BZ418" t="s">
        <v>271</v>
      </c>
      <c r="CA418" t="s">
        <v>264</v>
      </c>
      <c r="CC418" t="s">
        <v>157</v>
      </c>
      <c r="CD418">
        <v>7441</v>
      </c>
      <c r="CE418" t="s">
        <v>147</v>
      </c>
      <c r="CF418" s="3">
        <v>45996</v>
      </c>
      <c r="CI418">
        <v>1</v>
      </c>
      <c r="CJ418">
        <v>1</v>
      </c>
      <c r="CK418">
        <v>21</v>
      </c>
      <c r="CL418" t="s">
        <v>87</v>
      </c>
    </row>
    <row r="419" spans="1:90" x14ac:dyDescent="0.3">
      <c r="A419" t="s">
        <v>72</v>
      </c>
      <c r="B419" t="s">
        <v>73</v>
      </c>
      <c r="C419" t="s">
        <v>74</v>
      </c>
      <c r="E419" t="str">
        <f>"080069655091"</f>
        <v>080069655091</v>
      </c>
      <c r="F419" s="3">
        <v>45994</v>
      </c>
      <c r="G419">
        <v>202609</v>
      </c>
      <c r="H419" t="s">
        <v>75</v>
      </c>
      <c r="I419" t="s">
        <v>76</v>
      </c>
      <c r="J419" t="s">
        <v>77</v>
      </c>
      <c r="K419" t="s">
        <v>78</v>
      </c>
      <c r="L419" t="s">
        <v>1024</v>
      </c>
      <c r="M419" t="s">
        <v>1025</v>
      </c>
      <c r="N419" t="s">
        <v>1026</v>
      </c>
      <c r="O419" t="s">
        <v>89</v>
      </c>
      <c r="P419" t="str">
        <f>"4170071701                    "</f>
        <v xml:space="preserve">4170071701                    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49.45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1</v>
      </c>
      <c r="BI419">
        <v>1</v>
      </c>
      <c r="BJ419">
        <v>0.2</v>
      </c>
      <c r="BK419">
        <v>1</v>
      </c>
      <c r="BL419">
        <v>147.38</v>
      </c>
      <c r="BM419">
        <v>22.11</v>
      </c>
      <c r="BN419">
        <v>169.49</v>
      </c>
      <c r="BO419">
        <v>169.49</v>
      </c>
      <c r="BQ419" t="s">
        <v>1027</v>
      </c>
      <c r="BR419" t="s">
        <v>82</v>
      </c>
      <c r="BS419" s="3">
        <v>45995</v>
      </c>
      <c r="BT419" s="4">
        <v>0.48680555555555555</v>
      </c>
      <c r="BU419" t="s">
        <v>1028</v>
      </c>
      <c r="BV419" t="s">
        <v>84</v>
      </c>
      <c r="BY419">
        <v>1200</v>
      </c>
      <c r="CA419" t="s">
        <v>1029</v>
      </c>
      <c r="CC419" t="s">
        <v>1025</v>
      </c>
      <c r="CD419">
        <v>5257</v>
      </c>
      <c r="CE419" t="s">
        <v>134</v>
      </c>
      <c r="CF419" s="3">
        <v>45996</v>
      </c>
      <c r="CI419">
        <v>1</v>
      </c>
      <c r="CJ419">
        <v>1</v>
      </c>
      <c r="CK419">
        <v>23</v>
      </c>
      <c r="CL419" t="s">
        <v>87</v>
      </c>
    </row>
    <row r="420" spans="1:90" x14ac:dyDescent="0.3">
      <c r="A420" t="s">
        <v>72</v>
      </c>
      <c r="B420" t="s">
        <v>73</v>
      </c>
      <c r="C420" t="s">
        <v>74</v>
      </c>
      <c r="E420" t="str">
        <f>"080069655134"</f>
        <v>080069655134</v>
      </c>
      <c r="F420" s="3">
        <v>45994</v>
      </c>
      <c r="G420">
        <v>202609</v>
      </c>
      <c r="H420" t="s">
        <v>75</v>
      </c>
      <c r="I420" t="s">
        <v>76</v>
      </c>
      <c r="J420" t="s">
        <v>77</v>
      </c>
      <c r="K420" t="s">
        <v>78</v>
      </c>
      <c r="L420" t="s">
        <v>109</v>
      </c>
      <c r="M420" t="s">
        <v>110</v>
      </c>
      <c r="N420" t="s">
        <v>1086</v>
      </c>
      <c r="O420" t="s">
        <v>89</v>
      </c>
      <c r="P420" t="str">
        <f>"4170071691                    "</f>
        <v xml:space="preserve">4170071691                    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35.9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1</v>
      </c>
      <c r="BI420">
        <v>1</v>
      </c>
      <c r="BJ420">
        <v>0.2</v>
      </c>
      <c r="BK420">
        <v>1</v>
      </c>
      <c r="BL420">
        <v>106.98</v>
      </c>
      <c r="BM420">
        <v>16.05</v>
      </c>
      <c r="BN420">
        <v>123.03</v>
      </c>
      <c r="BO420">
        <v>123.03</v>
      </c>
      <c r="BQ420" t="s">
        <v>1087</v>
      </c>
      <c r="BR420" t="s">
        <v>82</v>
      </c>
      <c r="BS420" t="s">
        <v>500</v>
      </c>
      <c r="BY420">
        <v>1200</v>
      </c>
      <c r="CC420" t="s">
        <v>110</v>
      </c>
      <c r="CD420">
        <v>1739</v>
      </c>
      <c r="CE420" t="s">
        <v>134</v>
      </c>
      <c r="CI420">
        <v>1</v>
      </c>
      <c r="CJ420" t="s">
        <v>500</v>
      </c>
      <c r="CK420">
        <v>24</v>
      </c>
      <c r="CL420" t="s">
        <v>87</v>
      </c>
    </row>
    <row r="421" spans="1:90" x14ac:dyDescent="0.3">
      <c r="A421" t="s">
        <v>72</v>
      </c>
      <c r="B421" t="s">
        <v>73</v>
      </c>
      <c r="C421" t="s">
        <v>74</v>
      </c>
      <c r="E421" t="str">
        <f>"080069655217"</f>
        <v>080069655217</v>
      </c>
      <c r="F421" s="3">
        <v>45994</v>
      </c>
      <c r="G421">
        <v>202609</v>
      </c>
      <c r="H421" t="s">
        <v>75</v>
      </c>
      <c r="I421" t="s">
        <v>76</v>
      </c>
      <c r="J421" t="s">
        <v>77</v>
      </c>
      <c r="K421" t="s">
        <v>78</v>
      </c>
      <c r="L421" t="s">
        <v>502</v>
      </c>
      <c r="M421" t="s">
        <v>503</v>
      </c>
      <c r="N421" t="s">
        <v>1088</v>
      </c>
      <c r="O421" t="s">
        <v>89</v>
      </c>
      <c r="P421" t="str">
        <f>"4170071733                    "</f>
        <v xml:space="preserve">4170071733                    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19.940000000000001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1</v>
      </c>
      <c r="BI421">
        <v>1</v>
      </c>
      <c r="BJ421">
        <v>0.2</v>
      </c>
      <c r="BK421">
        <v>1</v>
      </c>
      <c r="BL421">
        <v>59.42</v>
      </c>
      <c r="BM421">
        <v>8.91</v>
      </c>
      <c r="BN421">
        <v>68.33</v>
      </c>
      <c r="BO421">
        <v>68.33</v>
      </c>
      <c r="BQ421" t="s">
        <v>1089</v>
      </c>
      <c r="BR421" t="s">
        <v>82</v>
      </c>
      <c r="BS421" s="3">
        <v>45995</v>
      </c>
      <c r="BT421" s="4">
        <v>0.35625000000000001</v>
      </c>
      <c r="BU421" t="s">
        <v>1090</v>
      </c>
      <c r="BV421" t="s">
        <v>84</v>
      </c>
      <c r="BY421">
        <v>1200</v>
      </c>
      <c r="BZ421" t="s">
        <v>271</v>
      </c>
      <c r="CA421" t="s">
        <v>507</v>
      </c>
      <c r="CC421" t="s">
        <v>503</v>
      </c>
      <c r="CD421">
        <v>1559</v>
      </c>
      <c r="CE421" t="s">
        <v>127</v>
      </c>
      <c r="CF421" s="3">
        <v>45995</v>
      </c>
      <c r="CI421">
        <v>1</v>
      </c>
      <c r="CJ421">
        <v>1</v>
      </c>
      <c r="CK421">
        <v>22</v>
      </c>
      <c r="CL421" t="s">
        <v>87</v>
      </c>
    </row>
    <row r="422" spans="1:90" x14ac:dyDescent="0.3">
      <c r="A422" t="s">
        <v>72</v>
      </c>
      <c r="B422" t="s">
        <v>73</v>
      </c>
      <c r="C422" t="s">
        <v>74</v>
      </c>
      <c r="E422" t="str">
        <f>"080069655251"</f>
        <v>080069655251</v>
      </c>
      <c r="F422" s="3">
        <v>45994</v>
      </c>
      <c r="G422">
        <v>202609</v>
      </c>
      <c r="H422" t="s">
        <v>75</v>
      </c>
      <c r="I422" t="s">
        <v>76</v>
      </c>
      <c r="J422" t="s">
        <v>77</v>
      </c>
      <c r="K422" t="s">
        <v>78</v>
      </c>
      <c r="L422" t="s">
        <v>141</v>
      </c>
      <c r="M422" t="s">
        <v>142</v>
      </c>
      <c r="N422" t="s">
        <v>486</v>
      </c>
      <c r="O422" t="s">
        <v>89</v>
      </c>
      <c r="P422" t="str">
        <f>"4170071681                    "</f>
        <v xml:space="preserve">4170071681                    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25.52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1</v>
      </c>
      <c r="BI422">
        <v>1</v>
      </c>
      <c r="BJ422">
        <v>0.2</v>
      </c>
      <c r="BK422">
        <v>1</v>
      </c>
      <c r="BL422">
        <v>76.06</v>
      </c>
      <c r="BM422">
        <v>11.41</v>
      </c>
      <c r="BN422">
        <v>87.47</v>
      </c>
      <c r="BO422">
        <v>87.47</v>
      </c>
      <c r="BQ422" t="s">
        <v>487</v>
      </c>
      <c r="BR422" t="s">
        <v>82</v>
      </c>
      <c r="BS422" s="3">
        <v>45995</v>
      </c>
      <c r="BT422" s="4">
        <v>0.41111111111111109</v>
      </c>
      <c r="BU422" t="s">
        <v>983</v>
      </c>
      <c r="BV422" t="s">
        <v>84</v>
      </c>
      <c r="BY422">
        <v>1200</v>
      </c>
      <c r="BZ422" t="s">
        <v>271</v>
      </c>
      <c r="CA422" t="s">
        <v>489</v>
      </c>
      <c r="CC422" t="s">
        <v>142</v>
      </c>
      <c r="CD422">
        <v>6012</v>
      </c>
      <c r="CE422" t="s">
        <v>127</v>
      </c>
      <c r="CF422" s="3">
        <v>45995</v>
      </c>
      <c r="CI422">
        <v>1</v>
      </c>
      <c r="CJ422">
        <v>1</v>
      </c>
      <c r="CK422">
        <v>21</v>
      </c>
      <c r="CL422" t="s">
        <v>87</v>
      </c>
    </row>
    <row r="423" spans="1:90" x14ac:dyDescent="0.3">
      <c r="A423" t="s">
        <v>72</v>
      </c>
      <c r="B423" t="s">
        <v>73</v>
      </c>
      <c r="C423" t="s">
        <v>74</v>
      </c>
      <c r="E423" t="str">
        <f>"080069655356"</f>
        <v>080069655356</v>
      </c>
      <c r="F423" s="3">
        <v>45994</v>
      </c>
      <c r="G423">
        <v>202609</v>
      </c>
      <c r="H423" t="s">
        <v>75</v>
      </c>
      <c r="I423" t="s">
        <v>76</v>
      </c>
      <c r="J423" t="s">
        <v>77</v>
      </c>
      <c r="K423" t="s">
        <v>78</v>
      </c>
      <c r="L423" t="s">
        <v>533</v>
      </c>
      <c r="M423" t="s">
        <v>533</v>
      </c>
      <c r="N423" t="s">
        <v>1091</v>
      </c>
      <c r="O423" t="s">
        <v>89</v>
      </c>
      <c r="P423" t="str">
        <f>"4170071707                    "</f>
        <v xml:space="preserve">4170071707                    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49.45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1</v>
      </c>
      <c r="BI423">
        <v>1</v>
      </c>
      <c r="BJ423">
        <v>0.2</v>
      </c>
      <c r="BK423">
        <v>1</v>
      </c>
      <c r="BL423">
        <v>147.38</v>
      </c>
      <c r="BM423">
        <v>22.11</v>
      </c>
      <c r="BN423">
        <v>169.49</v>
      </c>
      <c r="BO423">
        <v>169.49</v>
      </c>
      <c r="BQ423" t="s">
        <v>1092</v>
      </c>
      <c r="BR423" t="s">
        <v>82</v>
      </c>
      <c r="BS423" s="3">
        <v>45995</v>
      </c>
      <c r="BT423" s="4">
        <v>0.79722222222222228</v>
      </c>
      <c r="BU423" t="s">
        <v>967</v>
      </c>
      <c r="BV423" t="s">
        <v>87</v>
      </c>
      <c r="BY423">
        <v>1200</v>
      </c>
      <c r="CA423" t="s">
        <v>537</v>
      </c>
      <c r="CC423" t="s">
        <v>533</v>
      </c>
      <c r="CD423">
        <v>7646</v>
      </c>
      <c r="CE423" t="s">
        <v>134</v>
      </c>
      <c r="CF423" s="3">
        <v>45996</v>
      </c>
      <c r="CI423">
        <v>1</v>
      </c>
      <c r="CJ423">
        <v>1</v>
      </c>
      <c r="CK423">
        <v>23</v>
      </c>
      <c r="CL423" t="s">
        <v>87</v>
      </c>
    </row>
    <row r="424" spans="1:90" x14ac:dyDescent="0.3">
      <c r="A424" t="s">
        <v>72</v>
      </c>
      <c r="B424" t="s">
        <v>73</v>
      </c>
      <c r="C424" t="s">
        <v>74</v>
      </c>
      <c r="E424" t="str">
        <f>"080069655359"</f>
        <v>080069655359</v>
      </c>
      <c r="F424" s="3">
        <v>45994</v>
      </c>
      <c r="G424">
        <v>202609</v>
      </c>
      <c r="H424" t="s">
        <v>75</v>
      </c>
      <c r="I424" t="s">
        <v>76</v>
      </c>
      <c r="J424" t="s">
        <v>77</v>
      </c>
      <c r="K424" t="s">
        <v>78</v>
      </c>
      <c r="L424" t="s">
        <v>176</v>
      </c>
      <c r="M424" t="s">
        <v>177</v>
      </c>
      <c r="N424" t="s">
        <v>860</v>
      </c>
      <c r="O424" t="s">
        <v>340</v>
      </c>
      <c r="P424" t="str">
        <f>"4170071772                    "</f>
        <v xml:space="preserve">4170071772                    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26.65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1</v>
      </c>
      <c r="BI424">
        <v>6</v>
      </c>
      <c r="BJ424">
        <v>10.4</v>
      </c>
      <c r="BK424">
        <v>11</v>
      </c>
      <c r="BL424">
        <v>79.430000000000007</v>
      </c>
      <c r="BM424">
        <v>11.91</v>
      </c>
      <c r="BN424">
        <v>91.34</v>
      </c>
      <c r="BO424">
        <v>91.34</v>
      </c>
      <c r="BQ424" t="s">
        <v>861</v>
      </c>
      <c r="BR424" t="s">
        <v>82</v>
      </c>
      <c r="BS424" s="3">
        <v>45995</v>
      </c>
      <c r="BT424" s="4">
        <v>0.30555555555555558</v>
      </c>
      <c r="BU424" t="s">
        <v>1093</v>
      </c>
      <c r="BV424" t="s">
        <v>84</v>
      </c>
      <c r="BY424">
        <v>51984</v>
      </c>
      <c r="CA424" t="s">
        <v>409</v>
      </c>
      <c r="CC424" t="s">
        <v>177</v>
      </c>
      <c r="CD424">
        <v>2013</v>
      </c>
      <c r="CE424" t="s">
        <v>93</v>
      </c>
      <c r="CF424" s="3">
        <v>45996</v>
      </c>
      <c r="CI424">
        <v>1</v>
      </c>
      <c r="CJ424">
        <v>1</v>
      </c>
      <c r="CK424">
        <v>32</v>
      </c>
      <c r="CL424" t="s">
        <v>87</v>
      </c>
    </row>
    <row r="425" spans="1:90" x14ac:dyDescent="0.3">
      <c r="A425" t="s">
        <v>72</v>
      </c>
      <c r="B425" t="s">
        <v>73</v>
      </c>
      <c r="C425" t="s">
        <v>74</v>
      </c>
      <c r="E425" t="str">
        <f>"080069655371"</f>
        <v>080069655371</v>
      </c>
      <c r="F425" s="3">
        <v>45994</v>
      </c>
      <c r="G425">
        <v>202609</v>
      </c>
      <c r="H425" t="s">
        <v>75</v>
      </c>
      <c r="I425" t="s">
        <v>76</v>
      </c>
      <c r="J425" t="s">
        <v>77</v>
      </c>
      <c r="K425" t="s">
        <v>78</v>
      </c>
      <c r="L425" t="s">
        <v>141</v>
      </c>
      <c r="M425" t="s">
        <v>142</v>
      </c>
      <c r="N425" t="s">
        <v>731</v>
      </c>
      <c r="O425" t="s">
        <v>89</v>
      </c>
      <c r="P425" t="str">
        <f>"4170071651                    "</f>
        <v xml:space="preserve">4170071651                    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25.52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1</v>
      </c>
      <c r="BI425">
        <v>1</v>
      </c>
      <c r="BJ425">
        <v>0.2</v>
      </c>
      <c r="BK425">
        <v>1</v>
      </c>
      <c r="BL425">
        <v>76.06</v>
      </c>
      <c r="BM425">
        <v>11.41</v>
      </c>
      <c r="BN425">
        <v>87.47</v>
      </c>
      <c r="BO425">
        <v>87.47</v>
      </c>
      <c r="BQ425" t="s">
        <v>732</v>
      </c>
      <c r="BR425" t="s">
        <v>82</v>
      </c>
      <c r="BS425" s="3">
        <v>45995</v>
      </c>
      <c r="BT425" s="4">
        <v>0.40763888888888888</v>
      </c>
      <c r="BU425" t="s">
        <v>951</v>
      </c>
      <c r="BV425" t="s">
        <v>84</v>
      </c>
      <c r="BY425">
        <v>1200</v>
      </c>
      <c r="CA425" t="s">
        <v>277</v>
      </c>
      <c r="CC425" t="s">
        <v>142</v>
      </c>
      <c r="CD425">
        <v>6001</v>
      </c>
      <c r="CE425" t="s">
        <v>134</v>
      </c>
      <c r="CF425" s="3">
        <v>45995</v>
      </c>
      <c r="CI425">
        <v>1</v>
      </c>
      <c r="CJ425">
        <v>1</v>
      </c>
      <c r="CK425">
        <v>21</v>
      </c>
      <c r="CL425" t="s">
        <v>87</v>
      </c>
    </row>
    <row r="426" spans="1:90" x14ac:dyDescent="0.3">
      <c r="A426" t="s">
        <v>72</v>
      </c>
      <c r="B426" t="s">
        <v>73</v>
      </c>
      <c r="C426" t="s">
        <v>74</v>
      </c>
      <c r="E426" t="str">
        <f>"080069655391"</f>
        <v>080069655391</v>
      </c>
      <c r="F426" s="3">
        <v>45994</v>
      </c>
      <c r="G426">
        <v>202609</v>
      </c>
      <c r="H426" t="s">
        <v>75</v>
      </c>
      <c r="I426" t="s">
        <v>76</v>
      </c>
      <c r="J426" t="s">
        <v>77</v>
      </c>
      <c r="K426" t="s">
        <v>78</v>
      </c>
      <c r="L426" t="s">
        <v>218</v>
      </c>
      <c r="M426" t="s">
        <v>219</v>
      </c>
      <c r="N426" t="s">
        <v>220</v>
      </c>
      <c r="O426" t="s">
        <v>89</v>
      </c>
      <c r="P426" t="str">
        <f>"4170071653                    "</f>
        <v xml:space="preserve">4170071653                    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49.45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1</v>
      </c>
      <c r="BI426">
        <v>1</v>
      </c>
      <c r="BJ426">
        <v>0.2</v>
      </c>
      <c r="BK426">
        <v>1</v>
      </c>
      <c r="BL426">
        <v>147.38</v>
      </c>
      <c r="BM426">
        <v>22.11</v>
      </c>
      <c r="BN426">
        <v>169.49</v>
      </c>
      <c r="BO426">
        <v>169.49</v>
      </c>
      <c r="BQ426" t="s">
        <v>221</v>
      </c>
      <c r="BR426" t="s">
        <v>82</v>
      </c>
      <c r="BS426" s="3">
        <v>45996</v>
      </c>
      <c r="BT426" s="4">
        <v>0.31597222222222221</v>
      </c>
      <c r="BU426" t="s">
        <v>222</v>
      </c>
      <c r="BV426" t="s">
        <v>87</v>
      </c>
      <c r="BW426" t="s">
        <v>174</v>
      </c>
      <c r="BX426" t="s">
        <v>1094</v>
      </c>
      <c r="BY426">
        <v>1200</v>
      </c>
      <c r="CC426" t="s">
        <v>219</v>
      </c>
      <c r="CD426">
        <v>2740</v>
      </c>
      <c r="CE426" t="s">
        <v>134</v>
      </c>
      <c r="CI426">
        <v>1</v>
      </c>
      <c r="CJ426">
        <v>2</v>
      </c>
      <c r="CK426">
        <v>23</v>
      </c>
      <c r="CL426" t="s">
        <v>87</v>
      </c>
    </row>
    <row r="427" spans="1:90" x14ac:dyDescent="0.3">
      <c r="A427" t="s">
        <v>72</v>
      </c>
      <c r="B427" t="s">
        <v>73</v>
      </c>
      <c r="C427" t="s">
        <v>74</v>
      </c>
      <c r="E427" t="str">
        <f>"080069655453"</f>
        <v>080069655453</v>
      </c>
      <c r="F427" s="3">
        <v>45994</v>
      </c>
      <c r="G427">
        <v>202609</v>
      </c>
      <c r="H427" t="s">
        <v>75</v>
      </c>
      <c r="I427" t="s">
        <v>76</v>
      </c>
      <c r="J427" t="s">
        <v>77</v>
      </c>
      <c r="K427" t="s">
        <v>78</v>
      </c>
      <c r="L427" t="s">
        <v>176</v>
      </c>
      <c r="M427" t="s">
        <v>177</v>
      </c>
      <c r="N427" t="s">
        <v>178</v>
      </c>
      <c r="O427" t="s">
        <v>89</v>
      </c>
      <c r="P427" t="str">
        <f>"4170071647                    "</f>
        <v xml:space="preserve">4170071647                    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19.940000000000001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1</v>
      </c>
      <c r="BI427">
        <v>1</v>
      </c>
      <c r="BJ427">
        <v>0.2</v>
      </c>
      <c r="BK427">
        <v>1</v>
      </c>
      <c r="BL427">
        <v>59.42</v>
      </c>
      <c r="BM427">
        <v>8.91</v>
      </c>
      <c r="BN427">
        <v>68.33</v>
      </c>
      <c r="BO427">
        <v>68.33</v>
      </c>
      <c r="BQ427" t="s">
        <v>179</v>
      </c>
      <c r="BR427" t="s">
        <v>82</v>
      </c>
      <c r="BS427" s="3">
        <v>45995</v>
      </c>
      <c r="BT427" s="4">
        <v>0.31388888888888888</v>
      </c>
      <c r="BU427" t="s">
        <v>1095</v>
      </c>
      <c r="BV427" t="s">
        <v>84</v>
      </c>
      <c r="BY427">
        <v>1200</v>
      </c>
      <c r="CA427" t="s">
        <v>182</v>
      </c>
      <c r="CC427" t="s">
        <v>177</v>
      </c>
      <c r="CD427">
        <v>2094</v>
      </c>
      <c r="CE427" t="s">
        <v>134</v>
      </c>
      <c r="CF427" s="3">
        <v>45995</v>
      </c>
      <c r="CI427">
        <v>1</v>
      </c>
      <c r="CJ427">
        <v>1</v>
      </c>
      <c r="CK427">
        <v>22</v>
      </c>
      <c r="CL427" t="s">
        <v>87</v>
      </c>
    </row>
    <row r="428" spans="1:90" x14ac:dyDescent="0.3">
      <c r="A428" t="s">
        <v>72</v>
      </c>
      <c r="B428" t="s">
        <v>73</v>
      </c>
      <c r="C428" t="s">
        <v>74</v>
      </c>
      <c r="E428" t="str">
        <f>"080069655466"</f>
        <v>080069655466</v>
      </c>
      <c r="F428" s="3">
        <v>45994</v>
      </c>
      <c r="G428">
        <v>202609</v>
      </c>
      <c r="H428" t="s">
        <v>75</v>
      </c>
      <c r="I428" t="s">
        <v>76</v>
      </c>
      <c r="J428" t="s">
        <v>77</v>
      </c>
      <c r="K428" t="s">
        <v>78</v>
      </c>
      <c r="L428" t="s">
        <v>156</v>
      </c>
      <c r="M428" t="s">
        <v>157</v>
      </c>
      <c r="N428" t="s">
        <v>1096</v>
      </c>
      <c r="O428" t="s">
        <v>89</v>
      </c>
      <c r="P428" t="str">
        <f>"4170071649                    "</f>
        <v xml:space="preserve">4170071649                    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25.52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1</v>
      </c>
      <c r="BI428">
        <v>1</v>
      </c>
      <c r="BJ428">
        <v>0.2</v>
      </c>
      <c r="BK428">
        <v>1</v>
      </c>
      <c r="BL428">
        <v>76.06</v>
      </c>
      <c r="BM428">
        <v>11.41</v>
      </c>
      <c r="BN428">
        <v>87.47</v>
      </c>
      <c r="BO428">
        <v>87.47</v>
      </c>
      <c r="BQ428" t="s">
        <v>1097</v>
      </c>
      <c r="BR428" t="s">
        <v>82</v>
      </c>
      <c r="BS428" s="3">
        <v>45995</v>
      </c>
      <c r="BT428" s="4">
        <v>0.41666666666666669</v>
      </c>
      <c r="BU428" t="s">
        <v>1098</v>
      </c>
      <c r="BV428" t="s">
        <v>84</v>
      </c>
      <c r="BY428">
        <v>1200</v>
      </c>
      <c r="CC428" t="s">
        <v>157</v>
      </c>
      <c r="CD428">
        <v>7441</v>
      </c>
      <c r="CE428" t="s">
        <v>134</v>
      </c>
      <c r="CF428" s="3">
        <v>45996</v>
      </c>
      <c r="CI428">
        <v>1</v>
      </c>
      <c r="CJ428">
        <v>1</v>
      </c>
      <c r="CK428">
        <v>21</v>
      </c>
      <c r="CL428" t="s">
        <v>87</v>
      </c>
    </row>
    <row r="429" spans="1:90" x14ac:dyDescent="0.3">
      <c r="A429" t="s">
        <v>72</v>
      </c>
      <c r="B429" t="s">
        <v>73</v>
      </c>
      <c r="C429" t="s">
        <v>74</v>
      </c>
      <c r="E429" t="str">
        <f>"080069655471"</f>
        <v>080069655471</v>
      </c>
      <c r="F429" s="3">
        <v>45994</v>
      </c>
      <c r="G429">
        <v>202609</v>
      </c>
      <c r="H429" t="s">
        <v>75</v>
      </c>
      <c r="I429" t="s">
        <v>76</v>
      </c>
      <c r="J429" t="s">
        <v>77</v>
      </c>
      <c r="K429" t="s">
        <v>78</v>
      </c>
      <c r="L429" t="s">
        <v>1099</v>
      </c>
      <c r="M429" t="s">
        <v>1100</v>
      </c>
      <c r="N429" t="s">
        <v>1101</v>
      </c>
      <c r="O429" t="s">
        <v>80</v>
      </c>
      <c r="P429" t="str">
        <f>"4170071644                    "</f>
        <v xml:space="preserve">4170071644                    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162.05000000000001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2</v>
      </c>
      <c r="BI429">
        <v>19</v>
      </c>
      <c r="BJ429">
        <v>40.700000000000003</v>
      </c>
      <c r="BK429">
        <v>41</v>
      </c>
      <c r="BL429">
        <v>489.04</v>
      </c>
      <c r="BM429">
        <v>73.36</v>
      </c>
      <c r="BN429">
        <v>562.4</v>
      </c>
      <c r="BO429">
        <v>562.4</v>
      </c>
      <c r="BQ429" t="s">
        <v>1102</v>
      </c>
      <c r="BR429" t="s">
        <v>82</v>
      </c>
      <c r="BS429" s="3">
        <v>45995</v>
      </c>
      <c r="BT429" s="4">
        <v>0.39583333333333331</v>
      </c>
      <c r="BU429" t="s">
        <v>1103</v>
      </c>
      <c r="BV429" t="s">
        <v>84</v>
      </c>
      <c r="BY429">
        <v>203568</v>
      </c>
      <c r="CC429" t="s">
        <v>1100</v>
      </c>
      <c r="CD429" s="5" t="s">
        <v>1104</v>
      </c>
      <c r="CE429" t="s">
        <v>93</v>
      </c>
      <c r="CF429" s="3">
        <v>45996</v>
      </c>
      <c r="CI429">
        <v>1</v>
      </c>
      <c r="CJ429">
        <v>1</v>
      </c>
      <c r="CK429">
        <v>43</v>
      </c>
      <c r="CL429" t="s">
        <v>87</v>
      </c>
    </row>
    <row r="430" spans="1:90" x14ac:dyDescent="0.3">
      <c r="A430" t="s">
        <v>72</v>
      </c>
      <c r="B430" t="s">
        <v>73</v>
      </c>
      <c r="C430" t="s">
        <v>74</v>
      </c>
      <c r="E430" t="str">
        <f>"080069655488"</f>
        <v>080069655488</v>
      </c>
      <c r="F430" s="3">
        <v>45994</v>
      </c>
      <c r="G430">
        <v>202609</v>
      </c>
      <c r="H430" t="s">
        <v>75</v>
      </c>
      <c r="I430" t="s">
        <v>76</v>
      </c>
      <c r="J430" t="s">
        <v>77</v>
      </c>
      <c r="K430" t="s">
        <v>78</v>
      </c>
      <c r="L430" t="s">
        <v>141</v>
      </c>
      <c r="M430" t="s">
        <v>142</v>
      </c>
      <c r="N430" t="s">
        <v>1105</v>
      </c>
      <c r="O430" t="s">
        <v>89</v>
      </c>
      <c r="P430" t="str">
        <f>"4170071708                    "</f>
        <v xml:space="preserve">4170071708                    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51.04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1</v>
      </c>
      <c r="BI430">
        <v>4</v>
      </c>
      <c r="BJ430">
        <v>1.8</v>
      </c>
      <c r="BK430">
        <v>4</v>
      </c>
      <c r="BL430">
        <v>152.1</v>
      </c>
      <c r="BM430">
        <v>22.82</v>
      </c>
      <c r="BN430">
        <v>174.92</v>
      </c>
      <c r="BO430">
        <v>174.92</v>
      </c>
      <c r="BQ430" t="s">
        <v>1106</v>
      </c>
      <c r="BR430" t="s">
        <v>82</v>
      </c>
      <c r="BS430" s="3">
        <v>45995</v>
      </c>
      <c r="BT430" s="4">
        <v>0.40972222222222221</v>
      </c>
      <c r="BU430" t="s">
        <v>1107</v>
      </c>
      <c r="BV430" t="s">
        <v>84</v>
      </c>
      <c r="BY430">
        <v>8816</v>
      </c>
      <c r="BZ430" t="s">
        <v>271</v>
      </c>
      <c r="CA430" t="s">
        <v>146</v>
      </c>
      <c r="CC430" t="s">
        <v>142</v>
      </c>
      <c r="CD430">
        <v>6001</v>
      </c>
      <c r="CE430" t="s">
        <v>147</v>
      </c>
      <c r="CF430" s="3">
        <v>45995</v>
      </c>
      <c r="CI430">
        <v>1</v>
      </c>
      <c r="CJ430">
        <v>1</v>
      </c>
      <c r="CK430">
        <v>21</v>
      </c>
      <c r="CL430" t="s">
        <v>87</v>
      </c>
    </row>
    <row r="431" spans="1:90" x14ac:dyDescent="0.3">
      <c r="A431" t="s">
        <v>72</v>
      </c>
      <c r="B431" t="s">
        <v>73</v>
      </c>
      <c r="C431" t="s">
        <v>74</v>
      </c>
      <c r="E431" t="str">
        <f>"080069655650"</f>
        <v>080069655650</v>
      </c>
      <c r="F431" s="3">
        <v>45994</v>
      </c>
      <c r="G431">
        <v>202609</v>
      </c>
      <c r="H431" t="s">
        <v>75</v>
      </c>
      <c r="I431" t="s">
        <v>76</v>
      </c>
      <c r="J431" t="s">
        <v>77</v>
      </c>
      <c r="K431" t="s">
        <v>78</v>
      </c>
      <c r="L431" t="s">
        <v>100</v>
      </c>
      <c r="M431" t="s">
        <v>101</v>
      </c>
      <c r="N431" t="s">
        <v>166</v>
      </c>
      <c r="O431" t="s">
        <v>89</v>
      </c>
      <c r="P431" t="str">
        <f>"4170071749                    "</f>
        <v xml:space="preserve">4170071749                    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25.52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1</v>
      </c>
      <c r="BI431">
        <v>1</v>
      </c>
      <c r="BJ431">
        <v>0.2</v>
      </c>
      <c r="BK431">
        <v>1</v>
      </c>
      <c r="BL431">
        <v>76.06</v>
      </c>
      <c r="BM431">
        <v>11.41</v>
      </c>
      <c r="BN431">
        <v>87.47</v>
      </c>
      <c r="BO431">
        <v>87.47</v>
      </c>
      <c r="BQ431" t="s">
        <v>167</v>
      </c>
      <c r="BR431" t="s">
        <v>82</v>
      </c>
      <c r="BS431" s="3">
        <v>45995</v>
      </c>
      <c r="BT431" s="4">
        <v>0.47986111111111113</v>
      </c>
      <c r="BU431" t="s">
        <v>1108</v>
      </c>
      <c r="BV431" t="s">
        <v>87</v>
      </c>
      <c r="BY431">
        <v>1200</v>
      </c>
      <c r="CA431" t="s">
        <v>922</v>
      </c>
      <c r="CC431" t="s">
        <v>101</v>
      </c>
      <c r="CD431">
        <v>4000</v>
      </c>
      <c r="CE431" t="s">
        <v>134</v>
      </c>
      <c r="CF431" s="3">
        <v>45995</v>
      </c>
      <c r="CI431">
        <v>1</v>
      </c>
      <c r="CJ431">
        <v>1</v>
      </c>
      <c r="CK431">
        <v>21</v>
      </c>
      <c r="CL431" t="s">
        <v>87</v>
      </c>
    </row>
    <row r="432" spans="1:90" x14ac:dyDescent="0.3">
      <c r="A432" t="s">
        <v>72</v>
      </c>
      <c r="B432" t="s">
        <v>73</v>
      </c>
      <c r="C432" t="s">
        <v>74</v>
      </c>
      <c r="E432" t="str">
        <f>"080069655660"</f>
        <v>080069655660</v>
      </c>
      <c r="F432" s="3">
        <v>45994</v>
      </c>
      <c r="G432">
        <v>202609</v>
      </c>
      <c r="H432" t="s">
        <v>75</v>
      </c>
      <c r="I432" t="s">
        <v>76</v>
      </c>
      <c r="J432" t="s">
        <v>77</v>
      </c>
      <c r="K432" t="s">
        <v>78</v>
      </c>
      <c r="L432" t="s">
        <v>156</v>
      </c>
      <c r="M432" t="s">
        <v>157</v>
      </c>
      <c r="N432" t="s">
        <v>158</v>
      </c>
      <c r="O432" t="s">
        <v>89</v>
      </c>
      <c r="P432" t="str">
        <f>"4170071657                    "</f>
        <v xml:space="preserve">4170071657                    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25.52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1</v>
      </c>
      <c r="BI432">
        <v>1</v>
      </c>
      <c r="BJ432">
        <v>0.2</v>
      </c>
      <c r="BK432">
        <v>1</v>
      </c>
      <c r="BL432">
        <v>76.06</v>
      </c>
      <c r="BM432">
        <v>11.41</v>
      </c>
      <c r="BN432">
        <v>87.47</v>
      </c>
      <c r="BO432">
        <v>87.47</v>
      </c>
      <c r="BQ432" t="s">
        <v>159</v>
      </c>
      <c r="BR432" t="s">
        <v>82</v>
      </c>
      <c r="BS432" s="3">
        <v>45995</v>
      </c>
      <c r="BT432" s="4">
        <v>0.46319444444444446</v>
      </c>
      <c r="BU432" t="s">
        <v>160</v>
      </c>
      <c r="BV432" t="s">
        <v>87</v>
      </c>
      <c r="BY432">
        <v>1200</v>
      </c>
      <c r="CA432" t="s">
        <v>162</v>
      </c>
      <c r="CC432" t="s">
        <v>157</v>
      </c>
      <c r="CD432">
        <v>7530</v>
      </c>
      <c r="CE432" t="s">
        <v>134</v>
      </c>
      <c r="CF432" s="3">
        <v>45997</v>
      </c>
      <c r="CI432">
        <v>1</v>
      </c>
      <c r="CJ432">
        <v>1</v>
      </c>
      <c r="CK432">
        <v>21</v>
      </c>
      <c r="CL432" t="s">
        <v>87</v>
      </c>
    </row>
    <row r="433" spans="1:90" x14ac:dyDescent="0.3">
      <c r="A433" t="s">
        <v>72</v>
      </c>
      <c r="B433" t="s">
        <v>73</v>
      </c>
      <c r="C433" t="s">
        <v>74</v>
      </c>
      <c r="E433" t="str">
        <f>"080069655683"</f>
        <v>080069655683</v>
      </c>
      <c r="F433" s="3">
        <v>45994</v>
      </c>
      <c r="G433">
        <v>202609</v>
      </c>
      <c r="H433" t="s">
        <v>75</v>
      </c>
      <c r="I433" t="s">
        <v>76</v>
      </c>
      <c r="J433" t="s">
        <v>77</v>
      </c>
      <c r="K433" t="s">
        <v>78</v>
      </c>
      <c r="L433" t="s">
        <v>156</v>
      </c>
      <c r="M433" t="s">
        <v>157</v>
      </c>
      <c r="N433" t="s">
        <v>261</v>
      </c>
      <c r="O433" t="s">
        <v>89</v>
      </c>
      <c r="P433" t="str">
        <f>"4170071646                    "</f>
        <v xml:space="preserve">4170071646                    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25.52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1</v>
      </c>
      <c r="BI433">
        <v>1</v>
      </c>
      <c r="BJ433">
        <v>0.2</v>
      </c>
      <c r="BK433">
        <v>1</v>
      </c>
      <c r="BL433">
        <v>76.06</v>
      </c>
      <c r="BM433">
        <v>11.41</v>
      </c>
      <c r="BN433">
        <v>87.47</v>
      </c>
      <c r="BO433">
        <v>87.47</v>
      </c>
      <c r="BQ433" t="s">
        <v>262</v>
      </c>
      <c r="BR433" t="s">
        <v>82</v>
      </c>
      <c r="BS433" s="3">
        <v>45995</v>
      </c>
      <c r="BT433" s="4">
        <v>0.40902777777777777</v>
      </c>
      <c r="BU433" t="s">
        <v>1109</v>
      </c>
      <c r="BV433" t="s">
        <v>84</v>
      </c>
      <c r="BY433">
        <v>1200</v>
      </c>
      <c r="BZ433" t="s">
        <v>271</v>
      </c>
      <c r="CA433" t="s">
        <v>264</v>
      </c>
      <c r="CC433" t="s">
        <v>157</v>
      </c>
      <c r="CD433">
        <v>7441</v>
      </c>
      <c r="CE433" t="s">
        <v>127</v>
      </c>
      <c r="CF433" s="3">
        <v>45996</v>
      </c>
      <c r="CI433">
        <v>1</v>
      </c>
      <c r="CJ433">
        <v>1</v>
      </c>
      <c r="CK433">
        <v>21</v>
      </c>
      <c r="CL433" t="s">
        <v>87</v>
      </c>
    </row>
    <row r="434" spans="1:90" x14ac:dyDescent="0.3">
      <c r="A434" t="s">
        <v>72</v>
      </c>
      <c r="B434" t="s">
        <v>73</v>
      </c>
      <c r="C434" t="s">
        <v>74</v>
      </c>
      <c r="E434" t="str">
        <f>"080069655684"</f>
        <v>080069655684</v>
      </c>
      <c r="F434" s="3">
        <v>45994</v>
      </c>
      <c r="G434">
        <v>202609</v>
      </c>
      <c r="H434" t="s">
        <v>75</v>
      </c>
      <c r="I434" t="s">
        <v>76</v>
      </c>
      <c r="J434" t="s">
        <v>77</v>
      </c>
      <c r="K434" t="s">
        <v>78</v>
      </c>
      <c r="L434" t="s">
        <v>482</v>
      </c>
      <c r="M434" t="s">
        <v>483</v>
      </c>
      <c r="N434" t="s">
        <v>484</v>
      </c>
      <c r="O434" t="s">
        <v>80</v>
      </c>
      <c r="P434" t="str">
        <f>"4170071636                    "</f>
        <v xml:space="preserve">4170071636                    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69.61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2</v>
      </c>
      <c r="BI434">
        <v>10</v>
      </c>
      <c r="BJ434">
        <v>4</v>
      </c>
      <c r="BK434">
        <v>10</v>
      </c>
      <c r="BL434">
        <v>213.56</v>
      </c>
      <c r="BM434">
        <v>32.03</v>
      </c>
      <c r="BN434">
        <v>245.59</v>
      </c>
      <c r="BO434">
        <v>245.59</v>
      </c>
      <c r="BQ434" t="s">
        <v>485</v>
      </c>
      <c r="BR434" t="s">
        <v>82</v>
      </c>
      <c r="BS434" s="3">
        <v>45995</v>
      </c>
      <c r="BT434" s="4">
        <v>0.4777777777777778</v>
      </c>
      <c r="BU434" t="s">
        <v>176</v>
      </c>
      <c r="BV434" t="s">
        <v>84</v>
      </c>
      <c r="BY434">
        <v>20064</v>
      </c>
      <c r="CA434">
        <v>7711215278081</v>
      </c>
      <c r="CC434" t="s">
        <v>483</v>
      </c>
      <c r="CD434">
        <v>1873</v>
      </c>
      <c r="CE434" t="s">
        <v>647</v>
      </c>
      <c r="CF434" s="3">
        <v>45996</v>
      </c>
      <c r="CI434">
        <v>1</v>
      </c>
      <c r="CJ434">
        <v>1</v>
      </c>
      <c r="CK434">
        <v>43</v>
      </c>
      <c r="CL434" t="s">
        <v>87</v>
      </c>
    </row>
    <row r="435" spans="1:90" x14ac:dyDescent="0.3">
      <c r="A435" t="s">
        <v>72</v>
      </c>
      <c r="B435" t="s">
        <v>73</v>
      </c>
      <c r="C435" t="s">
        <v>74</v>
      </c>
      <c r="E435" t="str">
        <f>"080069655702"</f>
        <v>080069655702</v>
      </c>
      <c r="F435" s="3">
        <v>45994</v>
      </c>
      <c r="G435">
        <v>202609</v>
      </c>
      <c r="H435" t="s">
        <v>75</v>
      </c>
      <c r="I435" t="s">
        <v>76</v>
      </c>
      <c r="J435" t="s">
        <v>77</v>
      </c>
      <c r="K435" t="s">
        <v>78</v>
      </c>
      <c r="L435" t="s">
        <v>526</v>
      </c>
      <c r="M435" t="s">
        <v>527</v>
      </c>
      <c r="N435" t="s">
        <v>1110</v>
      </c>
      <c r="O435" t="s">
        <v>89</v>
      </c>
      <c r="P435" t="str">
        <f>"4170071690                    "</f>
        <v xml:space="preserve">4170071690                    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49.45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17.41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1</v>
      </c>
      <c r="BI435">
        <v>1</v>
      </c>
      <c r="BJ435">
        <v>0.2</v>
      </c>
      <c r="BK435">
        <v>1</v>
      </c>
      <c r="BL435">
        <v>164.79</v>
      </c>
      <c r="BM435">
        <v>24.72</v>
      </c>
      <c r="BN435">
        <v>189.51</v>
      </c>
      <c r="BO435">
        <v>189.51</v>
      </c>
      <c r="BQ435" t="s">
        <v>1111</v>
      </c>
      <c r="BR435" t="s">
        <v>82</v>
      </c>
      <c r="BS435" s="3">
        <v>45995</v>
      </c>
      <c r="BT435" s="4">
        <v>0.54166666666666663</v>
      </c>
      <c r="BU435" t="s">
        <v>1112</v>
      </c>
      <c r="BV435" t="s">
        <v>84</v>
      </c>
      <c r="BY435">
        <v>1200</v>
      </c>
      <c r="BZ435" t="s">
        <v>30</v>
      </c>
      <c r="CC435" t="s">
        <v>527</v>
      </c>
      <c r="CD435" s="5" t="s">
        <v>1113</v>
      </c>
      <c r="CE435" t="s">
        <v>134</v>
      </c>
      <c r="CF435" s="3">
        <v>45996</v>
      </c>
      <c r="CI435">
        <v>1</v>
      </c>
      <c r="CJ435">
        <v>1</v>
      </c>
      <c r="CK435">
        <v>23</v>
      </c>
      <c r="CL435" t="s">
        <v>87</v>
      </c>
    </row>
    <row r="436" spans="1:90" x14ac:dyDescent="0.3">
      <c r="A436" t="s">
        <v>72</v>
      </c>
      <c r="B436" t="s">
        <v>73</v>
      </c>
      <c r="C436" t="s">
        <v>74</v>
      </c>
      <c r="E436" t="str">
        <f>"080069655707"</f>
        <v>080069655707</v>
      </c>
      <c r="F436" s="3">
        <v>45994</v>
      </c>
      <c r="G436">
        <v>202609</v>
      </c>
      <c r="H436" t="s">
        <v>75</v>
      </c>
      <c r="I436" t="s">
        <v>76</v>
      </c>
      <c r="J436" t="s">
        <v>77</v>
      </c>
      <c r="K436" t="s">
        <v>78</v>
      </c>
      <c r="L436" t="s">
        <v>128</v>
      </c>
      <c r="M436" t="s">
        <v>129</v>
      </c>
      <c r="N436" t="s">
        <v>183</v>
      </c>
      <c r="O436" t="s">
        <v>89</v>
      </c>
      <c r="P436" t="str">
        <f>"4170071719                    "</f>
        <v xml:space="preserve">4170071719                    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25.52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1</v>
      </c>
      <c r="BI436">
        <v>2</v>
      </c>
      <c r="BJ436">
        <v>1.7</v>
      </c>
      <c r="BK436">
        <v>2</v>
      </c>
      <c r="BL436">
        <v>76.06</v>
      </c>
      <c r="BM436">
        <v>11.41</v>
      </c>
      <c r="BN436">
        <v>87.47</v>
      </c>
      <c r="BO436">
        <v>87.47</v>
      </c>
      <c r="BQ436" t="s">
        <v>184</v>
      </c>
      <c r="BR436" t="s">
        <v>82</v>
      </c>
      <c r="BS436" s="3">
        <v>45995</v>
      </c>
      <c r="BT436" s="4">
        <v>0.56319444444444444</v>
      </c>
      <c r="BU436" t="s">
        <v>896</v>
      </c>
      <c r="BV436" t="s">
        <v>87</v>
      </c>
      <c r="BY436">
        <v>8550</v>
      </c>
      <c r="CA436" t="s">
        <v>188</v>
      </c>
      <c r="CC436" t="s">
        <v>129</v>
      </c>
      <c r="CD436">
        <v>5201</v>
      </c>
      <c r="CE436" t="s">
        <v>86</v>
      </c>
      <c r="CF436" s="3">
        <v>45996</v>
      </c>
      <c r="CI436">
        <v>1</v>
      </c>
      <c r="CJ436">
        <v>1</v>
      </c>
      <c r="CK436">
        <v>21</v>
      </c>
      <c r="CL436" t="s">
        <v>87</v>
      </c>
    </row>
    <row r="437" spans="1:90" x14ac:dyDescent="0.3">
      <c r="A437" t="s">
        <v>72</v>
      </c>
      <c r="B437" t="s">
        <v>73</v>
      </c>
      <c r="C437" t="s">
        <v>74</v>
      </c>
      <c r="E437" t="str">
        <f>"080069655717"</f>
        <v>080069655717</v>
      </c>
      <c r="F437" s="3">
        <v>45994</v>
      </c>
      <c r="G437">
        <v>202609</v>
      </c>
      <c r="H437" t="s">
        <v>75</v>
      </c>
      <c r="I437" t="s">
        <v>76</v>
      </c>
      <c r="J437" t="s">
        <v>77</v>
      </c>
      <c r="K437" t="s">
        <v>78</v>
      </c>
      <c r="L437" t="s">
        <v>302</v>
      </c>
      <c r="M437" t="s">
        <v>303</v>
      </c>
      <c r="N437" t="s">
        <v>1114</v>
      </c>
      <c r="O437" t="s">
        <v>89</v>
      </c>
      <c r="P437" t="str">
        <f>"4170071677                    "</f>
        <v xml:space="preserve">4170071677                    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25.52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1</v>
      </c>
      <c r="BI437">
        <v>1</v>
      </c>
      <c r="BJ437">
        <v>0.2</v>
      </c>
      <c r="BK437">
        <v>1</v>
      </c>
      <c r="BL437">
        <v>76.06</v>
      </c>
      <c r="BM437">
        <v>11.41</v>
      </c>
      <c r="BN437">
        <v>87.47</v>
      </c>
      <c r="BO437">
        <v>87.47</v>
      </c>
      <c r="BQ437" t="s">
        <v>1115</v>
      </c>
      <c r="BR437" t="s">
        <v>82</v>
      </c>
      <c r="BS437" s="3">
        <v>45995</v>
      </c>
      <c r="BT437" s="4">
        <v>0.40208333333333335</v>
      </c>
      <c r="BU437" t="s">
        <v>1116</v>
      </c>
      <c r="BV437" t="s">
        <v>84</v>
      </c>
      <c r="BY437">
        <v>1200</v>
      </c>
      <c r="CA437">
        <v>9103185460089</v>
      </c>
      <c r="CC437" t="s">
        <v>303</v>
      </c>
      <c r="CD437" s="5" t="s">
        <v>433</v>
      </c>
      <c r="CE437" t="s">
        <v>134</v>
      </c>
      <c r="CF437" s="3">
        <v>45995</v>
      </c>
      <c r="CI437">
        <v>1</v>
      </c>
      <c r="CJ437">
        <v>1</v>
      </c>
      <c r="CK437">
        <v>21</v>
      </c>
      <c r="CL437" t="s">
        <v>87</v>
      </c>
    </row>
    <row r="438" spans="1:90" x14ac:dyDescent="0.3">
      <c r="A438" t="s">
        <v>72</v>
      </c>
      <c r="B438" t="s">
        <v>73</v>
      </c>
      <c r="C438" t="s">
        <v>74</v>
      </c>
      <c r="E438" t="str">
        <f>"080069655720"</f>
        <v>080069655720</v>
      </c>
      <c r="F438" s="3">
        <v>45994</v>
      </c>
      <c r="G438">
        <v>202609</v>
      </c>
      <c r="H438" t="s">
        <v>75</v>
      </c>
      <c r="I438" t="s">
        <v>76</v>
      </c>
      <c r="J438" t="s">
        <v>77</v>
      </c>
      <c r="K438" t="s">
        <v>78</v>
      </c>
      <c r="L438" t="s">
        <v>141</v>
      </c>
      <c r="M438" t="s">
        <v>142</v>
      </c>
      <c r="N438" t="s">
        <v>566</v>
      </c>
      <c r="O438" t="s">
        <v>89</v>
      </c>
      <c r="P438" t="str">
        <f>"4170071660                    "</f>
        <v xml:space="preserve">4170071660                    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25.52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1</v>
      </c>
      <c r="BI438">
        <v>1</v>
      </c>
      <c r="BJ438">
        <v>1.1000000000000001</v>
      </c>
      <c r="BK438">
        <v>1.5</v>
      </c>
      <c r="BL438">
        <v>76.06</v>
      </c>
      <c r="BM438">
        <v>11.41</v>
      </c>
      <c r="BN438">
        <v>87.47</v>
      </c>
      <c r="BO438">
        <v>87.47</v>
      </c>
      <c r="BQ438" t="s">
        <v>567</v>
      </c>
      <c r="BR438" t="s">
        <v>82</v>
      </c>
      <c r="BS438" s="3">
        <v>45995</v>
      </c>
      <c r="BT438" s="4">
        <v>0.44930555555555557</v>
      </c>
      <c r="BU438" t="s">
        <v>1117</v>
      </c>
      <c r="BV438" t="s">
        <v>87</v>
      </c>
      <c r="BY438">
        <v>5510</v>
      </c>
      <c r="CA438" t="s">
        <v>569</v>
      </c>
      <c r="CC438" t="s">
        <v>142</v>
      </c>
      <c r="CD438">
        <v>6056</v>
      </c>
      <c r="CE438" t="s">
        <v>86</v>
      </c>
      <c r="CF438" s="3">
        <v>45995</v>
      </c>
      <c r="CI438">
        <v>1</v>
      </c>
      <c r="CJ438">
        <v>1</v>
      </c>
      <c r="CK438">
        <v>21</v>
      </c>
      <c r="CL438" t="s">
        <v>87</v>
      </c>
    </row>
    <row r="439" spans="1:90" x14ac:dyDescent="0.3">
      <c r="A439" t="s">
        <v>72</v>
      </c>
      <c r="B439" t="s">
        <v>73</v>
      </c>
      <c r="C439" t="s">
        <v>74</v>
      </c>
      <c r="E439" t="str">
        <f>"080069655748"</f>
        <v>080069655748</v>
      </c>
      <c r="F439" s="3">
        <v>45994</v>
      </c>
      <c r="G439">
        <v>202609</v>
      </c>
      <c r="H439" t="s">
        <v>75</v>
      </c>
      <c r="I439" t="s">
        <v>76</v>
      </c>
      <c r="J439" t="s">
        <v>77</v>
      </c>
      <c r="K439" t="s">
        <v>78</v>
      </c>
      <c r="L439" t="s">
        <v>772</v>
      </c>
      <c r="M439" t="s">
        <v>773</v>
      </c>
      <c r="N439" t="s">
        <v>1118</v>
      </c>
      <c r="O439" t="s">
        <v>89</v>
      </c>
      <c r="P439" t="str">
        <f>"4170071664                    "</f>
        <v xml:space="preserve">4170071664                    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89.3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1</v>
      </c>
      <c r="BI439">
        <v>4</v>
      </c>
      <c r="BJ439">
        <v>6.8</v>
      </c>
      <c r="BK439">
        <v>7</v>
      </c>
      <c r="BL439">
        <v>266.14</v>
      </c>
      <c r="BM439">
        <v>39.92</v>
      </c>
      <c r="BN439">
        <v>306.06</v>
      </c>
      <c r="BO439">
        <v>306.06</v>
      </c>
      <c r="BQ439" t="s">
        <v>1119</v>
      </c>
      <c r="BR439" t="s">
        <v>82</v>
      </c>
      <c r="BS439" s="3">
        <v>45996</v>
      </c>
      <c r="BT439" s="4">
        <v>0.43125000000000002</v>
      </c>
      <c r="BU439" t="s">
        <v>1120</v>
      </c>
      <c r="BV439" t="s">
        <v>87</v>
      </c>
      <c r="BY439">
        <v>33920</v>
      </c>
      <c r="CA439" t="s">
        <v>623</v>
      </c>
      <c r="CC439" t="s">
        <v>773</v>
      </c>
      <c r="CD439">
        <v>4113</v>
      </c>
      <c r="CE439" t="s">
        <v>93</v>
      </c>
      <c r="CF439" s="3">
        <v>45997</v>
      </c>
      <c r="CI439">
        <v>1</v>
      </c>
      <c r="CJ439">
        <v>2</v>
      </c>
      <c r="CK439">
        <v>21</v>
      </c>
      <c r="CL439" t="s">
        <v>87</v>
      </c>
    </row>
    <row r="440" spans="1:90" x14ac:dyDescent="0.3">
      <c r="A440" t="s">
        <v>72</v>
      </c>
      <c r="B440" t="s">
        <v>73</v>
      </c>
      <c r="C440" t="s">
        <v>74</v>
      </c>
      <c r="E440" t="str">
        <f>"080069655820"</f>
        <v>080069655820</v>
      </c>
      <c r="F440" s="3">
        <v>45994</v>
      </c>
      <c r="G440">
        <v>202609</v>
      </c>
      <c r="H440" t="s">
        <v>75</v>
      </c>
      <c r="I440" t="s">
        <v>76</v>
      </c>
      <c r="J440" t="s">
        <v>77</v>
      </c>
      <c r="K440" t="s">
        <v>78</v>
      </c>
      <c r="L440" t="s">
        <v>772</v>
      </c>
      <c r="M440" t="s">
        <v>773</v>
      </c>
      <c r="N440" t="s">
        <v>1121</v>
      </c>
      <c r="O440" t="s">
        <v>89</v>
      </c>
      <c r="P440" t="str">
        <f>"4170071803                    "</f>
        <v xml:space="preserve">4170071803                    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51.04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1</v>
      </c>
      <c r="BI440">
        <v>4</v>
      </c>
      <c r="BJ440">
        <v>2.5</v>
      </c>
      <c r="BK440">
        <v>4</v>
      </c>
      <c r="BL440">
        <v>152.1</v>
      </c>
      <c r="BM440">
        <v>22.82</v>
      </c>
      <c r="BN440">
        <v>174.92</v>
      </c>
      <c r="BO440">
        <v>174.92</v>
      </c>
      <c r="BQ440" t="s">
        <v>1122</v>
      </c>
      <c r="BR440" t="s">
        <v>82</v>
      </c>
      <c r="BS440" s="3">
        <v>45995</v>
      </c>
      <c r="BT440" s="4">
        <v>0.63888888888888884</v>
      </c>
      <c r="BU440" t="s">
        <v>1123</v>
      </c>
      <c r="BV440" t="s">
        <v>87</v>
      </c>
      <c r="BY440">
        <v>12544</v>
      </c>
      <c r="CA440" t="s">
        <v>623</v>
      </c>
      <c r="CC440" t="s">
        <v>773</v>
      </c>
      <c r="CD440">
        <v>4133</v>
      </c>
      <c r="CE440" t="s">
        <v>93</v>
      </c>
      <c r="CF440" s="3">
        <v>45996</v>
      </c>
      <c r="CI440">
        <v>1</v>
      </c>
      <c r="CJ440">
        <v>1</v>
      </c>
      <c r="CK440">
        <v>21</v>
      </c>
      <c r="CL440" t="s">
        <v>87</v>
      </c>
    </row>
    <row r="441" spans="1:90" x14ac:dyDescent="0.3">
      <c r="A441" t="s">
        <v>72</v>
      </c>
      <c r="B441" t="s">
        <v>73</v>
      </c>
      <c r="C441" t="s">
        <v>74</v>
      </c>
      <c r="E441" t="str">
        <f>"080069656018"</f>
        <v>080069656018</v>
      </c>
      <c r="F441" s="3">
        <v>45994</v>
      </c>
      <c r="G441">
        <v>202609</v>
      </c>
      <c r="H441" t="s">
        <v>75</v>
      </c>
      <c r="I441" t="s">
        <v>76</v>
      </c>
      <c r="J441" t="s">
        <v>77</v>
      </c>
      <c r="K441" t="s">
        <v>78</v>
      </c>
      <c r="L441" t="s">
        <v>465</v>
      </c>
      <c r="M441" t="s">
        <v>466</v>
      </c>
      <c r="N441" t="s">
        <v>731</v>
      </c>
      <c r="O441" t="s">
        <v>89</v>
      </c>
      <c r="P441" t="str">
        <f>"4170071686                    "</f>
        <v xml:space="preserve">4170071686                    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19.940000000000001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1</v>
      </c>
      <c r="BI441">
        <v>1</v>
      </c>
      <c r="BJ441">
        <v>0.2</v>
      </c>
      <c r="BK441">
        <v>1</v>
      </c>
      <c r="BL441">
        <v>59.42</v>
      </c>
      <c r="BM441">
        <v>8.91</v>
      </c>
      <c r="BN441">
        <v>68.33</v>
      </c>
      <c r="BO441">
        <v>68.33</v>
      </c>
      <c r="BQ441" t="s">
        <v>732</v>
      </c>
      <c r="BR441" t="s">
        <v>82</v>
      </c>
      <c r="BS441" s="3">
        <v>45995</v>
      </c>
      <c r="BT441" s="4">
        <v>0.40972222222222221</v>
      </c>
      <c r="BU441" t="s">
        <v>996</v>
      </c>
      <c r="BV441" t="s">
        <v>84</v>
      </c>
      <c r="BY441">
        <v>1200</v>
      </c>
      <c r="CA441" t="s">
        <v>720</v>
      </c>
      <c r="CC441" t="s">
        <v>466</v>
      </c>
      <c r="CD441">
        <v>1428</v>
      </c>
      <c r="CE441" t="s">
        <v>134</v>
      </c>
      <c r="CF441" s="3">
        <v>45996</v>
      </c>
      <c r="CI441">
        <v>1</v>
      </c>
      <c r="CJ441">
        <v>1</v>
      </c>
      <c r="CK441">
        <v>22</v>
      </c>
      <c r="CL441" t="s">
        <v>87</v>
      </c>
    </row>
    <row r="442" spans="1:90" x14ac:dyDescent="0.3">
      <c r="A442" t="s">
        <v>72</v>
      </c>
      <c r="B442" t="s">
        <v>73</v>
      </c>
      <c r="C442" t="s">
        <v>74</v>
      </c>
      <c r="E442" t="str">
        <f>"080069656023"</f>
        <v>080069656023</v>
      </c>
      <c r="F442" s="3">
        <v>45994</v>
      </c>
      <c r="G442">
        <v>202609</v>
      </c>
      <c r="H442" t="s">
        <v>75</v>
      </c>
      <c r="I442" t="s">
        <v>76</v>
      </c>
      <c r="J442" t="s">
        <v>77</v>
      </c>
      <c r="K442" t="s">
        <v>78</v>
      </c>
      <c r="L442" t="s">
        <v>156</v>
      </c>
      <c r="M442" t="s">
        <v>157</v>
      </c>
      <c r="N442" t="s">
        <v>261</v>
      </c>
      <c r="O442" t="s">
        <v>89</v>
      </c>
      <c r="P442" t="str">
        <f>"4170071692                    "</f>
        <v xml:space="preserve">4170071692                    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38.28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1</v>
      </c>
      <c r="BI442">
        <v>3</v>
      </c>
      <c r="BJ442">
        <v>1.1000000000000001</v>
      </c>
      <c r="BK442">
        <v>3</v>
      </c>
      <c r="BL442">
        <v>114.08</v>
      </c>
      <c r="BM442">
        <v>17.11</v>
      </c>
      <c r="BN442">
        <v>131.19</v>
      </c>
      <c r="BO442">
        <v>131.19</v>
      </c>
      <c r="BQ442" t="s">
        <v>262</v>
      </c>
      <c r="BR442" t="s">
        <v>82</v>
      </c>
      <c r="BS442" s="3">
        <v>45995</v>
      </c>
      <c r="BT442" s="4">
        <v>0.40902777777777777</v>
      </c>
      <c r="BU442" t="s">
        <v>1109</v>
      </c>
      <c r="BV442" t="s">
        <v>84</v>
      </c>
      <c r="BY442">
        <v>5510</v>
      </c>
      <c r="BZ442" t="s">
        <v>271</v>
      </c>
      <c r="CA442" t="s">
        <v>264</v>
      </c>
      <c r="CC442" t="s">
        <v>157</v>
      </c>
      <c r="CD442">
        <v>7441</v>
      </c>
      <c r="CE442" t="s">
        <v>147</v>
      </c>
      <c r="CF442" s="3">
        <v>45996</v>
      </c>
      <c r="CI442">
        <v>1</v>
      </c>
      <c r="CJ442">
        <v>1</v>
      </c>
      <c r="CK442">
        <v>21</v>
      </c>
      <c r="CL442" t="s">
        <v>87</v>
      </c>
    </row>
    <row r="443" spans="1:90" x14ac:dyDescent="0.3">
      <c r="A443" t="s">
        <v>72</v>
      </c>
      <c r="B443" t="s">
        <v>73</v>
      </c>
      <c r="C443" t="s">
        <v>74</v>
      </c>
      <c r="E443" t="str">
        <f>"080069656056"</f>
        <v>080069656056</v>
      </c>
      <c r="F443" s="3">
        <v>45994</v>
      </c>
      <c r="G443">
        <v>202609</v>
      </c>
      <c r="H443" t="s">
        <v>75</v>
      </c>
      <c r="I443" t="s">
        <v>76</v>
      </c>
      <c r="J443" t="s">
        <v>77</v>
      </c>
      <c r="K443" t="s">
        <v>78</v>
      </c>
      <c r="L443" t="s">
        <v>94</v>
      </c>
      <c r="M443" t="s">
        <v>95</v>
      </c>
      <c r="N443" t="s">
        <v>230</v>
      </c>
      <c r="O443" t="s">
        <v>89</v>
      </c>
      <c r="P443" t="str">
        <f>"4170071666                    "</f>
        <v xml:space="preserve">4170071666                    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25.52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1</v>
      </c>
      <c r="BI443">
        <v>1</v>
      </c>
      <c r="BJ443">
        <v>0.2</v>
      </c>
      <c r="BK443">
        <v>1</v>
      </c>
      <c r="BL443">
        <v>76.06</v>
      </c>
      <c r="BM443">
        <v>11.41</v>
      </c>
      <c r="BN443">
        <v>87.47</v>
      </c>
      <c r="BO443">
        <v>87.47</v>
      </c>
      <c r="BQ443" t="s">
        <v>231</v>
      </c>
      <c r="BR443" t="s">
        <v>82</v>
      </c>
      <c r="BS443" s="3">
        <v>45995</v>
      </c>
      <c r="BT443" s="4">
        <v>0.40833333333333333</v>
      </c>
      <c r="BU443" t="s">
        <v>984</v>
      </c>
      <c r="BV443" t="s">
        <v>84</v>
      </c>
      <c r="BY443">
        <v>1200</v>
      </c>
      <c r="CA443" t="s">
        <v>99</v>
      </c>
      <c r="CC443" t="s">
        <v>95</v>
      </c>
      <c r="CD443">
        <v>3608</v>
      </c>
      <c r="CE443" t="s">
        <v>134</v>
      </c>
      <c r="CF443" s="3">
        <v>45995</v>
      </c>
      <c r="CI443">
        <v>1</v>
      </c>
      <c r="CJ443">
        <v>1</v>
      </c>
      <c r="CK443">
        <v>21</v>
      </c>
      <c r="CL443" t="s">
        <v>87</v>
      </c>
    </row>
    <row r="444" spans="1:90" x14ac:dyDescent="0.3">
      <c r="A444" t="s">
        <v>72</v>
      </c>
      <c r="B444" t="s">
        <v>73</v>
      </c>
      <c r="C444" t="s">
        <v>74</v>
      </c>
      <c r="E444" t="str">
        <f>"080069656070"</f>
        <v>080069656070</v>
      </c>
      <c r="F444" s="3">
        <v>45994</v>
      </c>
      <c r="G444">
        <v>202609</v>
      </c>
      <c r="H444" t="s">
        <v>75</v>
      </c>
      <c r="I444" t="s">
        <v>76</v>
      </c>
      <c r="J444" t="s">
        <v>77</v>
      </c>
      <c r="K444" t="s">
        <v>78</v>
      </c>
      <c r="L444" t="s">
        <v>272</v>
      </c>
      <c r="M444" t="s">
        <v>273</v>
      </c>
      <c r="N444" t="s">
        <v>923</v>
      </c>
      <c r="O444" t="s">
        <v>89</v>
      </c>
      <c r="P444" t="str">
        <f>"4170071709                    "</f>
        <v xml:space="preserve">4170071709                    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25.52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1</v>
      </c>
      <c r="BI444">
        <v>1</v>
      </c>
      <c r="BJ444">
        <v>1.1000000000000001</v>
      </c>
      <c r="BK444">
        <v>1.5</v>
      </c>
      <c r="BL444">
        <v>76.06</v>
      </c>
      <c r="BM444">
        <v>11.41</v>
      </c>
      <c r="BN444">
        <v>87.47</v>
      </c>
      <c r="BO444">
        <v>87.47</v>
      </c>
      <c r="BQ444" t="s">
        <v>924</v>
      </c>
      <c r="BR444" t="s">
        <v>82</v>
      </c>
      <c r="BS444" s="3">
        <v>45995</v>
      </c>
      <c r="BT444" s="4">
        <v>0.42708333333333331</v>
      </c>
      <c r="BU444" t="s">
        <v>925</v>
      </c>
      <c r="BV444" t="s">
        <v>84</v>
      </c>
      <c r="BY444">
        <v>5510</v>
      </c>
      <c r="CA444" t="s">
        <v>277</v>
      </c>
      <c r="CC444" t="s">
        <v>273</v>
      </c>
      <c r="CD444">
        <v>6220</v>
      </c>
      <c r="CE444" t="s">
        <v>86</v>
      </c>
      <c r="CF444" s="3">
        <v>45995</v>
      </c>
      <c r="CI444">
        <v>1</v>
      </c>
      <c r="CJ444">
        <v>1</v>
      </c>
      <c r="CK444">
        <v>21</v>
      </c>
      <c r="CL444" t="s">
        <v>87</v>
      </c>
    </row>
    <row r="445" spans="1:90" x14ac:dyDescent="0.3">
      <c r="A445" t="s">
        <v>72</v>
      </c>
      <c r="B445" t="s">
        <v>73</v>
      </c>
      <c r="C445" t="s">
        <v>74</v>
      </c>
      <c r="E445" t="str">
        <f>"080069656094"</f>
        <v>080069656094</v>
      </c>
      <c r="F445" s="3">
        <v>45994</v>
      </c>
      <c r="G445">
        <v>202609</v>
      </c>
      <c r="H445" t="s">
        <v>75</v>
      </c>
      <c r="I445" t="s">
        <v>76</v>
      </c>
      <c r="J445" t="s">
        <v>77</v>
      </c>
      <c r="K445" t="s">
        <v>78</v>
      </c>
      <c r="L445" t="s">
        <v>141</v>
      </c>
      <c r="M445" t="s">
        <v>142</v>
      </c>
      <c r="N445" t="s">
        <v>585</v>
      </c>
      <c r="O445" t="s">
        <v>89</v>
      </c>
      <c r="P445" t="str">
        <f>"4170071710                    "</f>
        <v xml:space="preserve">4170071710                    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25.52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1</v>
      </c>
      <c r="BI445">
        <v>1</v>
      </c>
      <c r="BJ445">
        <v>0.2</v>
      </c>
      <c r="BK445">
        <v>1</v>
      </c>
      <c r="BL445">
        <v>76.06</v>
      </c>
      <c r="BM445">
        <v>11.41</v>
      </c>
      <c r="BN445">
        <v>87.47</v>
      </c>
      <c r="BO445">
        <v>87.47</v>
      </c>
      <c r="BQ445" t="s">
        <v>586</v>
      </c>
      <c r="BR445" t="s">
        <v>82</v>
      </c>
      <c r="BS445" s="3">
        <v>45995</v>
      </c>
      <c r="BT445" s="4">
        <v>0.41388888888888886</v>
      </c>
      <c r="BU445" t="s">
        <v>1019</v>
      </c>
      <c r="BV445" t="s">
        <v>84</v>
      </c>
      <c r="BY445">
        <v>1200</v>
      </c>
      <c r="CA445" t="s">
        <v>1020</v>
      </c>
      <c r="CC445" t="s">
        <v>142</v>
      </c>
      <c r="CD445">
        <v>6001</v>
      </c>
      <c r="CE445" t="s">
        <v>134</v>
      </c>
      <c r="CF445" s="3">
        <v>45995</v>
      </c>
      <c r="CI445">
        <v>1</v>
      </c>
      <c r="CJ445">
        <v>1</v>
      </c>
      <c r="CK445">
        <v>21</v>
      </c>
      <c r="CL445" t="s">
        <v>87</v>
      </c>
    </row>
    <row r="446" spans="1:90" x14ac:dyDescent="0.3">
      <c r="A446" t="s">
        <v>72</v>
      </c>
      <c r="B446" t="s">
        <v>73</v>
      </c>
      <c r="C446" t="s">
        <v>74</v>
      </c>
      <c r="E446" t="str">
        <f>"080069656129"</f>
        <v>080069656129</v>
      </c>
      <c r="F446" s="3">
        <v>45994</v>
      </c>
      <c r="G446">
        <v>202609</v>
      </c>
      <c r="H446" t="s">
        <v>75</v>
      </c>
      <c r="I446" t="s">
        <v>76</v>
      </c>
      <c r="J446" t="s">
        <v>77</v>
      </c>
      <c r="K446" t="s">
        <v>78</v>
      </c>
      <c r="L446" t="s">
        <v>141</v>
      </c>
      <c r="M446" t="s">
        <v>142</v>
      </c>
      <c r="N446" t="s">
        <v>789</v>
      </c>
      <c r="O446" t="s">
        <v>89</v>
      </c>
      <c r="P446" t="str">
        <f>"4170071633                    "</f>
        <v xml:space="preserve">4170071633                    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89.3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1</v>
      </c>
      <c r="BI446">
        <v>7</v>
      </c>
      <c r="BJ446">
        <v>3.4</v>
      </c>
      <c r="BK446">
        <v>7</v>
      </c>
      <c r="BL446">
        <v>266.14</v>
      </c>
      <c r="BM446">
        <v>39.92</v>
      </c>
      <c r="BN446">
        <v>306.06</v>
      </c>
      <c r="BO446">
        <v>306.06</v>
      </c>
      <c r="BQ446" t="s">
        <v>790</v>
      </c>
      <c r="BR446" t="s">
        <v>82</v>
      </c>
      <c r="BS446" s="3">
        <v>45995</v>
      </c>
      <c r="BT446" s="4">
        <v>0.39652777777777776</v>
      </c>
      <c r="BU446" t="s">
        <v>836</v>
      </c>
      <c r="BV446" t="s">
        <v>84</v>
      </c>
      <c r="BY446">
        <v>16965</v>
      </c>
      <c r="CA446" t="s">
        <v>277</v>
      </c>
      <c r="CC446" t="s">
        <v>142</v>
      </c>
      <c r="CD446">
        <v>6001</v>
      </c>
      <c r="CE446" t="s">
        <v>86</v>
      </c>
      <c r="CF446" s="3">
        <v>45995</v>
      </c>
      <c r="CI446">
        <v>1</v>
      </c>
      <c r="CJ446">
        <v>1</v>
      </c>
      <c r="CK446">
        <v>21</v>
      </c>
      <c r="CL446" t="s">
        <v>87</v>
      </c>
    </row>
    <row r="447" spans="1:90" x14ac:dyDescent="0.3">
      <c r="A447" t="s">
        <v>72</v>
      </c>
      <c r="B447" t="s">
        <v>73</v>
      </c>
      <c r="C447" t="s">
        <v>74</v>
      </c>
      <c r="E447" t="str">
        <f>"080069656142"</f>
        <v>080069656142</v>
      </c>
      <c r="F447" s="3">
        <v>45994</v>
      </c>
      <c r="G447">
        <v>202609</v>
      </c>
      <c r="H447" t="s">
        <v>75</v>
      </c>
      <c r="I447" t="s">
        <v>76</v>
      </c>
      <c r="J447" t="s">
        <v>77</v>
      </c>
      <c r="K447" t="s">
        <v>78</v>
      </c>
      <c r="L447" t="s">
        <v>100</v>
      </c>
      <c r="M447" t="s">
        <v>101</v>
      </c>
      <c r="N447" t="s">
        <v>102</v>
      </c>
      <c r="O447" t="s">
        <v>89</v>
      </c>
      <c r="P447" t="str">
        <f>"4170071800                    "</f>
        <v xml:space="preserve">4170071800                    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25.52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1</v>
      </c>
      <c r="BI447">
        <v>1</v>
      </c>
      <c r="BJ447">
        <v>0.2</v>
      </c>
      <c r="BK447">
        <v>1</v>
      </c>
      <c r="BL447">
        <v>76.06</v>
      </c>
      <c r="BM447">
        <v>11.41</v>
      </c>
      <c r="BN447">
        <v>87.47</v>
      </c>
      <c r="BO447">
        <v>87.47</v>
      </c>
      <c r="BQ447" t="s">
        <v>103</v>
      </c>
      <c r="BR447" t="s">
        <v>82</v>
      </c>
      <c r="BS447" s="3">
        <v>45995</v>
      </c>
      <c r="BT447" s="4">
        <v>0.36458333333333331</v>
      </c>
      <c r="BU447" t="s">
        <v>398</v>
      </c>
      <c r="BV447" t="s">
        <v>84</v>
      </c>
      <c r="BY447">
        <v>1200</v>
      </c>
      <c r="BZ447" t="s">
        <v>271</v>
      </c>
      <c r="CA447" t="s">
        <v>107</v>
      </c>
      <c r="CC447" t="s">
        <v>101</v>
      </c>
      <c r="CD447">
        <v>4000</v>
      </c>
      <c r="CE447" t="s">
        <v>127</v>
      </c>
      <c r="CF447" s="3">
        <v>45995</v>
      </c>
      <c r="CI447">
        <v>1</v>
      </c>
      <c r="CJ447">
        <v>1</v>
      </c>
      <c r="CK447">
        <v>21</v>
      </c>
      <c r="CL447" t="s">
        <v>87</v>
      </c>
    </row>
    <row r="448" spans="1:90" x14ac:dyDescent="0.3">
      <c r="A448" t="s">
        <v>72</v>
      </c>
      <c r="B448" t="s">
        <v>73</v>
      </c>
      <c r="C448" t="s">
        <v>74</v>
      </c>
      <c r="E448" t="str">
        <f>"080069656197"</f>
        <v>080069656197</v>
      </c>
      <c r="F448" s="3">
        <v>45994</v>
      </c>
      <c r="G448">
        <v>202609</v>
      </c>
      <c r="H448" t="s">
        <v>75</v>
      </c>
      <c r="I448" t="s">
        <v>76</v>
      </c>
      <c r="J448" t="s">
        <v>77</v>
      </c>
      <c r="K448" t="s">
        <v>78</v>
      </c>
      <c r="L448" t="s">
        <v>156</v>
      </c>
      <c r="M448" t="s">
        <v>157</v>
      </c>
      <c r="N448" t="s">
        <v>904</v>
      </c>
      <c r="O448" t="s">
        <v>89</v>
      </c>
      <c r="P448" t="str">
        <f>"4170071683                    "</f>
        <v xml:space="preserve">4170071683                    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25.52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1</v>
      </c>
      <c r="BI448">
        <v>1</v>
      </c>
      <c r="BJ448">
        <v>1.1000000000000001</v>
      </c>
      <c r="BK448">
        <v>1.5</v>
      </c>
      <c r="BL448">
        <v>76.06</v>
      </c>
      <c r="BM448">
        <v>11.41</v>
      </c>
      <c r="BN448">
        <v>87.47</v>
      </c>
      <c r="BO448">
        <v>87.47</v>
      </c>
      <c r="BQ448" t="s">
        <v>905</v>
      </c>
      <c r="BR448" t="s">
        <v>82</v>
      </c>
      <c r="BS448" s="3">
        <v>45995</v>
      </c>
      <c r="BT448" s="4">
        <v>0.37847222222222221</v>
      </c>
      <c r="BU448" t="s">
        <v>967</v>
      </c>
      <c r="BV448" t="s">
        <v>84</v>
      </c>
      <c r="BY448">
        <v>5510</v>
      </c>
      <c r="BZ448" t="s">
        <v>271</v>
      </c>
      <c r="CA448" t="s">
        <v>264</v>
      </c>
      <c r="CC448" t="s">
        <v>157</v>
      </c>
      <c r="CD448">
        <v>7441</v>
      </c>
      <c r="CE448" t="s">
        <v>147</v>
      </c>
      <c r="CF448" s="3">
        <v>45996</v>
      </c>
      <c r="CI448">
        <v>1</v>
      </c>
      <c r="CJ448">
        <v>1</v>
      </c>
      <c r="CK448">
        <v>21</v>
      </c>
      <c r="CL448" t="s">
        <v>87</v>
      </c>
    </row>
    <row r="449" spans="1:90" x14ac:dyDescent="0.3">
      <c r="A449" t="s">
        <v>72</v>
      </c>
      <c r="B449" t="s">
        <v>73</v>
      </c>
      <c r="C449" t="s">
        <v>74</v>
      </c>
      <c r="E449" t="str">
        <f>"080069656202"</f>
        <v>080069656202</v>
      </c>
      <c r="F449" s="3">
        <v>45994</v>
      </c>
      <c r="G449">
        <v>202609</v>
      </c>
      <c r="H449" t="s">
        <v>75</v>
      </c>
      <c r="I449" t="s">
        <v>76</v>
      </c>
      <c r="J449" t="s">
        <v>77</v>
      </c>
      <c r="K449" t="s">
        <v>78</v>
      </c>
      <c r="L449" t="s">
        <v>533</v>
      </c>
      <c r="M449" t="s">
        <v>533</v>
      </c>
      <c r="N449" t="s">
        <v>1091</v>
      </c>
      <c r="O449" t="s">
        <v>89</v>
      </c>
      <c r="P449" t="str">
        <f>"4170071714                    "</f>
        <v xml:space="preserve">4170071714                    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49.45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1</v>
      </c>
      <c r="BI449">
        <v>1</v>
      </c>
      <c r="BJ449">
        <v>0.2</v>
      </c>
      <c r="BK449">
        <v>1</v>
      </c>
      <c r="BL449">
        <v>147.38</v>
      </c>
      <c r="BM449">
        <v>22.11</v>
      </c>
      <c r="BN449">
        <v>169.49</v>
      </c>
      <c r="BO449">
        <v>169.49</v>
      </c>
      <c r="BQ449" t="s">
        <v>1092</v>
      </c>
      <c r="BR449" t="s">
        <v>82</v>
      </c>
      <c r="BS449" s="3">
        <v>45995</v>
      </c>
      <c r="BT449" s="4">
        <v>0.79722222222222228</v>
      </c>
      <c r="BU449" t="s">
        <v>967</v>
      </c>
      <c r="BV449" t="s">
        <v>87</v>
      </c>
      <c r="BY449">
        <v>1200</v>
      </c>
      <c r="CA449" t="s">
        <v>537</v>
      </c>
      <c r="CC449" t="s">
        <v>533</v>
      </c>
      <c r="CD449">
        <v>7646</v>
      </c>
      <c r="CE449" t="s">
        <v>134</v>
      </c>
      <c r="CF449" s="3">
        <v>45996</v>
      </c>
      <c r="CI449">
        <v>1</v>
      </c>
      <c r="CJ449">
        <v>1</v>
      </c>
      <c r="CK449">
        <v>23</v>
      </c>
      <c r="CL449" t="s">
        <v>87</v>
      </c>
    </row>
    <row r="450" spans="1:90" x14ac:dyDescent="0.3">
      <c r="A450" t="s">
        <v>72</v>
      </c>
      <c r="B450" t="s">
        <v>73</v>
      </c>
      <c r="C450" t="s">
        <v>74</v>
      </c>
      <c r="E450" t="str">
        <f>"080069656247"</f>
        <v>080069656247</v>
      </c>
      <c r="F450" s="3">
        <v>45994</v>
      </c>
      <c r="G450">
        <v>202609</v>
      </c>
      <c r="H450" t="s">
        <v>75</v>
      </c>
      <c r="I450" t="s">
        <v>76</v>
      </c>
      <c r="J450" t="s">
        <v>77</v>
      </c>
      <c r="K450" t="s">
        <v>78</v>
      </c>
      <c r="L450" t="s">
        <v>546</v>
      </c>
      <c r="M450" t="s">
        <v>547</v>
      </c>
      <c r="N450" t="s">
        <v>570</v>
      </c>
      <c r="O450" t="s">
        <v>89</v>
      </c>
      <c r="P450" t="str">
        <f>"4170071732                    "</f>
        <v xml:space="preserve">4170071732                    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49.45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1</v>
      </c>
      <c r="BI450">
        <v>1</v>
      </c>
      <c r="BJ450">
        <v>0.2</v>
      </c>
      <c r="BK450">
        <v>1</v>
      </c>
      <c r="BL450">
        <v>147.38</v>
      </c>
      <c r="BM450">
        <v>22.11</v>
      </c>
      <c r="BN450">
        <v>169.49</v>
      </c>
      <c r="BO450">
        <v>169.49</v>
      </c>
      <c r="BQ450" t="s">
        <v>571</v>
      </c>
      <c r="BR450" t="s">
        <v>82</v>
      </c>
      <c r="BS450" s="3">
        <v>45995</v>
      </c>
      <c r="BT450" s="4">
        <v>0.42638888888888887</v>
      </c>
      <c r="BU450" t="s">
        <v>1124</v>
      </c>
      <c r="BV450" t="s">
        <v>84</v>
      </c>
      <c r="BY450">
        <v>1200</v>
      </c>
      <c r="CA450">
        <v>9703035538081</v>
      </c>
      <c r="CC450" t="s">
        <v>547</v>
      </c>
      <c r="CD450">
        <v>2302</v>
      </c>
      <c r="CE450" t="s">
        <v>134</v>
      </c>
      <c r="CF450" s="3">
        <v>45996</v>
      </c>
      <c r="CI450">
        <v>1</v>
      </c>
      <c r="CJ450">
        <v>1</v>
      </c>
      <c r="CK450">
        <v>23</v>
      </c>
      <c r="CL450" t="s">
        <v>87</v>
      </c>
    </row>
    <row r="451" spans="1:90" x14ac:dyDescent="0.3">
      <c r="A451" t="s">
        <v>72</v>
      </c>
      <c r="B451" t="s">
        <v>73</v>
      </c>
      <c r="C451" t="s">
        <v>74</v>
      </c>
      <c r="E451" t="str">
        <f>"080069656272"</f>
        <v>080069656272</v>
      </c>
      <c r="F451" s="3">
        <v>45994</v>
      </c>
      <c r="G451">
        <v>202609</v>
      </c>
      <c r="H451" t="s">
        <v>75</v>
      </c>
      <c r="I451" t="s">
        <v>76</v>
      </c>
      <c r="J451" t="s">
        <v>77</v>
      </c>
      <c r="K451" t="s">
        <v>78</v>
      </c>
      <c r="L451" t="s">
        <v>148</v>
      </c>
      <c r="M451" t="s">
        <v>149</v>
      </c>
      <c r="N451" t="s">
        <v>150</v>
      </c>
      <c r="O451" t="s">
        <v>89</v>
      </c>
      <c r="P451" t="str">
        <f>"4170071661                    "</f>
        <v xml:space="preserve">4170071661                    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71.790000000000006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1</v>
      </c>
      <c r="BI451">
        <v>3</v>
      </c>
      <c r="BJ451">
        <v>1.4</v>
      </c>
      <c r="BK451">
        <v>3</v>
      </c>
      <c r="BL451">
        <v>213.94</v>
      </c>
      <c r="BM451">
        <v>32.090000000000003</v>
      </c>
      <c r="BN451">
        <v>246.03</v>
      </c>
      <c r="BO451">
        <v>246.03</v>
      </c>
      <c r="BQ451" t="s">
        <v>151</v>
      </c>
      <c r="BR451" t="s">
        <v>82</v>
      </c>
      <c r="BS451" s="3">
        <v>45995</v>
      </c>
      <c r="BT451" s="4">
        <v>0.59861111111111109</v>
      </c>
      <c r="BU451" t="s">
        <v>152</v>
      </c>
      <c r="BV451" t="s">
        <v>84</v>
      </c>
      <c r="BY451">
        <v>7000</v>
      </c>
      <c r="CA451" t="s">
        <v>155</v>
      </c>
      <c r="CC451" t="s">
        <v>149</v>
      </c>
      <c r="CD451">
        <v>7300</v>
      </c>
      <c r="CE451" t="s">
        <v>86</v>
      </c>
      <c r="CF451" s="3">
        <v>45997</v>
      </c>
      <c r="CI451">
        <v>1</v>
      </c>
      <c r="CJ451">
        <v>1</v>
      </c>
      <c r="CK451">
        <v>23</v>
      </c>
      <c r="CL451" t="s">
        <v>87</v>
      </c>
    </row>
    <row r="452" spans="1:90" x14ac:dyDescent="0.3">
      <c r="A452" t="s">
        <v>72</v>
      </c>
      <c r="B452" t="s">
        <v>73</v>
      </c>
      <c r="C452" t="s">
        <v>74</v>
      </c>
      <c r="E452" t="str">
        <f>"080069656315"</f>
        <v>080069656315</v>
      </c>
      <c r="F452" s="3">
        <v>45994</v>
      </c>
      <c r="G452">
        <v>202609</v>
      </c>
      <c r="H452" t="s">
        <v>75</v>
      </c>
      <c r="I452" t="s">
        <v>76</v>
      </c>
      <c r="J452" t="s">
        <v>77</v>
      </c>
      <c r="K452" t="s">
        <v>78</v>
      </c>
      <c r="L452" t="s">
        <v>265</v>
      </c>
      <c r="M452" t="s">
        <v>266</v>
      </c>
      <c r="N452" t="s">
        <v>1125</v>
      </c>
      <c r="O452" t="s">
        <v>89</v>
      </c>
      <c r="P452" t="str">
        <f>"4170071676                    "</f>
        <v xml:space="preserve">4170071676                    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19.940000000000001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1</v>
      </c>
      <c r="BI452">
        <v>1</v>
      </c>
      <c r="BJ452">
        <v>0.2</v>
      </c>
      <c r="BK452">
        <v>1</v>
      </c>
      <c r="BL452">
        <v>59.42</v>
      </c>
      <c r="BM452">
        <v>8.91</v>
      </c>
      <c r="BN452">
        <v>68.33</v>
      </c>
      <c r="BO452">
        <v>68.33</v>
      </c>
      <c r="BQ452" t="s">
        <v>1126</v>
      </c>
      <c r="BR452" t="s">
        <v>82</v>
      </c>
      <c r="BS452" s="3">
        <v>45995</v>
      </c>
      <c r="BT452" s="4">
        <v>0.41736111111111113</v>
      </c>
      <c r="BU452" t="s">
        <v>1127</v>
      </c>
      <c r="BV452" t="s">
        <v>84</v>
      </c>
      <c r="BY452">
        <v>1200</v>
      </c>
      <c r="CA452" t="s">
        <v>417</v>
      </c>
      <c r="CC452" t="s">
        <v>266</v>
      </c>
      <c r="CD452">
        <v>1460</v>
      </c>
      <c r="CE452" t="s">
        <v>134</v>
      </c>
      <c r="CF452" s="3">
        <v>45996</v>
      </c>
      <c r="CI452">
        <v>1</v>
      </c>
      <c r="CJ452">
        <v>1</v>
      </c>
      <c r="CK452">
        <v>22</v>
      </c>
      <c r="CL452" t="s">
        <v>87</v>
      </c>
    </row>
    <row r="453" spans="1:90" x14ac:dyDescent="0.3">
      <c r="A453" t="s">
        <v>72</v>
      </c>
      <c r="B453" t="s">
        <v>73</v>
      </c>
      <c r="C453" t="s">
        <v>74</v>
      </c>
      <c r="E453" t="str">
        <f>"080069656341"</f>
        <v>080069656341</v>
      </c>
      <c r="F453" s="3">
        <v>45994</v>
      </c>
      <c r="G453">
        <v>202609</v>
      </c>
      <c r="H453" t="s">
        <v>75</v>
      </c>
      <c r="I453" t="s">
        <v>76</v>
      </c>
      <c r="J453" t="s">
        <v>77</v>
      </c>
      <c r="K453" t="s">
        <v>78</v>
      </c>
      <c r="L453" t="s">
        <v>502</v>
      </c>
      <c r="M453" t="s">
        <v>503</v>
      </c>
      <c r="N453" t="s">
        <v>1128</v>
      </c>
      <c r="O453" t="s">
        <v>340</v>
      </c>
      <c r="P453" t="str">
        <f>"4170071107                    "</f>
        <v xml:space="preserve">4170071107                    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19.940000000000001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1</v>
      </c>
      <c r="BI453">
        <v>4</v>
      </c>
      <c r="BJ453">
        <v>2</v>
      </c>
      <c r="BK453">
        <v>4</v>
      </c>
      <c r="BL453">
        <v>59.43</v>
      </c>
      <c r="BM453">
        <v>8.91</v>
      </c>
      <c r="BN453">
        <v>68.34</v>
      </c>
      <c r="BO453">
        <v>68.34</v>
      </c>
      <c r="BQ453" t="s">
        <v>1129</v>
      </c>
      <c r="BR453" t="s">
        <v>82</v>
      </c>
      <c r="BS453" s="3">
        <v>45995</v>
      </c>
      <c r="BT453" s="4">
        <v>0.38958333333333334</v>
      </c>
      <c r="BU453" t="s">
        <v>1130</v>
      </c>
      <c r="BV453" t="s">
        <v>84</v>
      </c>
      <c r="BY453">
        <v>9918</v>
      </c>
      <c r="BZ453" t="s">
        <v>724</v>
      </c>
      <c r="CA453" t="s">
        <v>507</v>
      </c>
      <c r="CC453" t="s">
        <v>503</v>
      </c>
      <c r="CD453">
        <v>1559</v>
      </c>
      <c r="CE453" t="s">
        <v>147</v>
      </c>
      <c r="CF453" s="3">
        <v>45995</v>
      </c>
      <c r="CI453">
        <v>1</v>
      </c>
      <c r="CJ453">
        <v>1</v>
      </c>
      <c r="CK453">
        <v>32</v>
      </c>
      <c r="CL453" t="s">
        <v>87</v>
      </c>
    </row>
    <row r="454" spans="1:90" x14ac:dyDescent="0.3">
      <c r="A454" t="s">
        <v>72</v>
      </c>
      <c r="B454" t="s">
        <v>73</v>
      </c>
      <c r="C454" t="s">
        <v>74</v>
      </c>
      <c r="E454" t="str">
        <f>"080069656439"</f>
        <v>080069656439</v>
      </c>
      <c r="F454" s="3">
        <v>45994</v>
      </c>
      <c r="G454">
        <v>202609</v>
      </c>
      <c r="H454" t="s">
        <v>75</v>
      </c>
      <c r="I454" t="s">
        <v>76</v>
      </c>
      <c r="J454" t="s">
        <v>77</v>
      </c>
      <c r="K454" t="s">
        <v>78</v>
      </c>
      <c r="L454" t="s">
        <v>141</v>
      </c>
      <c r="M454" t="s">
        <v>142</v>
      </c>
      <c r="N454" t="s">
        <v>668</v>
      </c>
      <c r="O454" t="s">
        <v>89</v>
      </c>
      <c r="P454" t="str">
        <f>"4170071748                    "</f>
        <v xml:space="preserve">4170071748                    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25.52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1</v>
      </c>
      <c r="BI454">
        <v>1</v>
      </c>
      <c r="BJ454">
        <v>0.2</v>
      </c>
      <c r="BK454">
        <v>1</v>
      </c>
      <c r="BL454">
        <v>76.06</v>
      </c>
      <c r="BM454">
        <v>11.41</v>
      </c>
      <c r="BN454">
        <v>87.47</v>
      </c>
      <c r="BO454">
        <v>87.47</v>
      </c>
      <c r="BQ454" t="s">
        <v>669</v>
      </c>
      <c r="BR454" t="s">
        <v>82</v>
      </c>
      <c r="BS454" s="3">
        <v>45995</v>
      </c>
      <c r="BT454" s="4">
        <v>0.42916666666666664</v>
      </c>
      <c r="BU454" t="s">
        <v>976</v>
      </c>
      <c r="BV454" t="s">
        <v>84</v>
      </c>
      <c r="BY454">
        <v>1200</v>
      </c>
      <c r="BZ454" t="s">
        <v>271</v>
      </c>
      <c r="CA454" t="s">
        <v>146</v>
      </c>
      <c r="CC454" t="s">
        <v>142</v>
      </c>
      <c r="CD454">
        <v>6001</v>
      </c>
      <c r="CE454" t="s">
        <v>127</v>
      </c>
      <c r="CF454" s="3">
        <v>45995</v>
      </c>
      <c r="CI454">
        <v>1</v>
      </c>
      <c r="CJ454">
        <v>1</v>
      </c>
      <c r="CK454">
        <v>21</v>
      </c>
      <c r="CL454" t="s">
        <v>87</v>
      </c>
    </row>
    <row r="455" spans="1:90" x14ac:dyDescent="0.3">
      <c r="A455" t="s">
        <v>72</v>
      </c>
      <c r="B455" t="s">
        <v>73</v>
      </c>
      <c r="C455" t="s">
        <v>74</v>
      </c>
      <c r="E455" t="str">
        <f>"080069656456"</f>
        <v>080069656456</v>
      </c>
      <c r="F455" s="3">
        <v>45994</v>
      </c>
      <c r="G455">
        <v>202609</v>
      </c>
      <c r="H455" t="s">
        <v>75</v>
      </c>
      <c r="I455" t="s">
        <v>76</v>
      </c>
      <c r="J455" t="s">
        <v>77</v>
      </c>
      <c r="K455" t="s">
        <v>78</v>
      </c>
      <c r="L455" t="s">
        <v>141</v>
      </c>
      <c r="M455" t="s">
        <v>142</v>
      </c>
      <c r="N455" t="s">
        <v>789</v>
      </c>
      <c r="O455" t="s">
        <v>80</v>
      </c>
      <c r="P455" t="str">
        <f>"4170071663                    "</f>
        <v xml:space="preserve">4170071663                    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133.01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2</v>
      </c>
      <c r="BI455">
        <v>56</v>
      </c>
      <c r="BJ455">
        <v>24.9</v>
      </c>
      <c r="BK455">
        <v>56</v>
      </c>
      <c r="BL455">
        <v>402.49</v>
      </c>
      <c r="BM455">
        <v>60.37</v>
      </c>
      <c r="BN455">
        <v>462.86</v>
      </c>
      <c r="BO455">
        <v>462.86</v>
      </c>
      <c r="BQ455" t="s">
        <v>790</v>
      </c>
      <c r="BR455" t="s">
        <v>82</v>
      </c>
      <c r="BS455" t="s">
        <v>500</v>
      </c>
      <c r="BY455">
        <v>62208</v>
      </c>
      <c r="CC455" t="s">
        <v>142</v>
      </c>
      <c r="CD455">
        <v>6001</v>
      </c>
      <c r="CE455" t="s">
        <v>877</v>
      </c>
      <c r="CI455">
        <v>3</v>
      </c>
      <c r="CJ455" t="s">
        <v>500</v>
      </c>
      <c r="CK455">
        <v>41</v>
      </c>
      <c r="CL455" t="s">
        <v>87</v>
      </c>
    </row>
    <row r="456" spans="1:90" x14ac:dyDescent="0.3">
      <c r="A456" t="s">
        <v>72</v>
      </c>
      <c r="B456" t="s">
        <v>73</v>
      </c>
      <c r="C456" t="s">
        <v>74</v>
      </c>
      <c r="E456" t="str">
        <f>"080069656474"</f>
        <v>080069656474</v>
      </c>
      <c r="F456" s="3">
        <v>45994</v>
      </c>
      <c r="G456">
        <v>202609</v>
      </c>
      <c r="H456" t="s">
        <v>75</v>
      </c>
      <c r="I456" t="s">
        <v>76</v>
      </c>
      <c r="J456" t="s">
        <v>77</v>
      </c>
      <c r="K456" t="s">
        <v>78</v>
      </c>
      <c r="L456" t="s">
        <v>156</v>
      </c>
      <c r="M456" t="s">
        <v>157</v>
      </c>
      <c r="N456" t="s">
        <v>261</v>
      </c>
      <c r="O456" t="s">
        <v>89</v>
      </c>
      <c r="P456" t="str">
        <f>"4170071678                    "</f>
        <v xml:space="preserve">4170071678                    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25.52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1</v>
      </c>
      <c r="BI456">
        <v>1</v>
      </c>
      <c r="BJ456">
        <v>0.2</v>
      </c>
      <c r="BK456">
        <v>1</v>
      </c>
      <c r="BL456">
        <v>76.06</v>
      </c>
      <c r="BM456">
        <v>11.41</v>
      </c>
      <c r="BN456">
        <v>87.47</v>
      </c>
      <c r="BO456">
        <v>87.47</v>
      </c>
      <c r="BQ456" t="s">
        <v>262</v>
      </c>
      <c r="BR456" t="s">
        <v>82</v>
      </c>
      <c r="BS456" s="3">
        <v>45995</v>
      </c>
      <c r="BT456" s="4">
        <v>0.40902777777777777</v>
      </c>
      <c r="BU456" t="s">
        <v>1109</v>
      </c>
      <c r="BV456" t="s">
        <v>84</v>
      </c>
      <c r="BY456">
        <v>1200</v>
      </c>
      <c r="BZ456" t="s">
        <v>271</v>
      </c>
      <c r="CA456" t="s">
        <v>264</v>
      </c>
      <c r="CC456" t="s">
        <v>157</v>
      </c>
      <c r="CD456">
        <v>7441</v>
      </c>
      <c r="CE456" t="s">
        <v>127</v>
      </c>
      <c r="CF456" s="3">
        <v>45996</v>
      </c>
      <c r="CI456">
        <v>1</v>
      </c>
      <c r="CJ456">
        <v>1</v>
      </c>
      <c r="CK456">
        <v>21</v>
      </c>
      <c r="CL456" t="s">
        <v>87</v>
      </c>
    </row>
    <row r="457" spans="1:90" x14ac:dyDescent="0.3">
      <c r="A457" t="s">
        <v>72</v>
      </c>
      <c r="B457" t="s">
        <v>73</v>
      </c>
      <c r="C457" t="s">
        <v>74</v>
      </c>
      <c r="E457" t="str">
        <f>"080069656526"</f>
        <v>080069656526</v>
      </c>
      <c r="F457" s="3">
        <v>45994</v>
      </c>
      <c r="G457">
        <v>202609</v>
      </c>
      <c r="H457" t="s">
        <v>75</v>
      </c>
      <c r="I457" t="s">
        <v>76</v>
      </c>
      <c r="J457" t="s">
        <v>77</v>
      </c>
      <c r="K457" t="s">
        <v>78</v>
      </c>
      <c r="L457" t="s">
        <v>141</v>
      </c>
      <c r="M457" t="s">
        <v>142</v>
      </c>
      <c r="N457" t="s">
        <v>1033</v>
      </c>
      <c r="O457" t="s">
        <v>89</v>
      </c>
      <c r="P457" t="str">
        <f>"4170071745                    "</f>
        <v xml:space="preserve">4170071745                    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25.52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1</v>
      </c>
      <c r="BI457">
        <v>1</v>
      </c>
      <c r="BJ457">
        <v>1.9</v>
      </c>
      <c r="BK457">
        <v>2</v>
      </c>
      <c r="BL457">
        <v>76.06</v>
      </c>
      <c r="BM457">
        <v>11.41</v>
      </c>
      <c r="BN457">
        <v>87.47</v>
      </c>
      <c r="BO457">
        <v>87.47</v>
      </c>
      <c r="BQ457" t="s">
        <v>1034</v>
      </c>
      <c r="BR457" t="s">
        <v>82</v>
      </c>
      <c r="BS457" s="3">
        <v>45995</v>
      </c>
      <c r="BT457" s="4">
        <v>0.42222222222222222</v>
      </c>
      <c r="BU457" t="s">
        <v>1035</v>
      </c>
      <c r="BV457" t="s">
        <v>84</v>
      </c>
      <c r="BY457">
        <v>9600</v>
      </c>
      <c r="BZ457" t="s">
        <v>271</v>
      </c>
      <c r="CA457" t="s">
        <v>146</v>
      </c>
      <c r="CC457" t="s">
        <v>142</v>
      </c>
      <c r="CD457">
        <v>6000</v>
      </c>
      <c r="CE457" t="s">
        <v>147</v>
      </c>
      <c r="CF457" s="3">
        <v>45995</v>
      </c>
      <c r="CI457">
        <v>1</v>
      </c>
      <c r="CJ457">
        <v>1</v>
      </c>
      <c r="CK457">
        <v>21</v>
      </c>
      <c r="CL457" t="s">
        <v>87</v>
      </c>
    </row>
    <row r="458" spans="1:90" x14ac:dyDescent="0.3">
      <c r="A458" t="s">
        <v>72</v>
      </c>
      <c r="B458" t="s">
        <v>73</v>
      </c>
      <c r="C458" t="s">
        <v>74</v>
      </c>
      <c r="E458" t="str">
        <f>"080069656533"</f>
        <v>080069656533</v>
      </c>
      <c r="F458" s="3">
        <v>45994</v>
      </c>
      <c r="G458">
        <v>202609</v>
      </c>
      <c r="H458" t="s">
        <v>75</v>
      </c>
      <c r="I458" t="s">
        <v>76</v>
      </c>
      <c r="J458" t="s">
        <v>77</v>
      </c>
      <c r="K458" t="s">
        <v>78</v>
      </c>
      <c r="L458" t="s">
        <v>141</v>
      </c>
      <c r="M458" t="s">
        <v>142</v>
      </c>
      <c r="N458" t="s">
        <v>844</v>
      </c>
      <c r="O458" t="s">
        <v>89</v>
      </c>
      <c r="P458" t="str">
        <f>"4170071779                    "</f>
        <v xml:space="preserve">4170071779                    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25.52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1</v>
      </c>
      <c r="BI458">
        <v>1</v>
      </c>
      <c r="BJ458">
        <v>0.2</v>
      </c>
      <c r="BK458">
        <v>1</v>
      </c>
      <c r="BL458">
        <v>76.06</v>
      </c>
      <c r="BM458">
        <v>11.41</v>
      </c>
      <c r="BN458">
        <v>87.47</v>
      </c>
      <c r="BO458">
        <v>87.47</v>
      </c>
      <c r="BQ458" t="s">
        <v>845</v>
      </c>
      <c r="BR458" t="s">
        <v>82</v>
      </c>
      <c r="BS458" s="3">
        <v>45995</v>
      </c>
      <c r="BT458" s="4">
        <v>0.42499999999999999</v>
      </c>
      <c r="BU458" t="s">
        <v>846</v>
      </c>
      <c r="BV458" t="s">
        <v>84</v>
      </c>
      <c r="BY458">
        <v>1200</v>
      </c>
      <c r="BZ458" t="s">
        <v>271</v>
      </c>
      <c r="CA458" t="s">
        <v>146</v>
      </c>
      <c r="CC458" t="s">
        <v>142</v>
      </c>
      <c r="CD458">
        <v>6000</v>
      </c>
      <c r="CE458" t="s">
        <v>127</v>
      </c>
      <c r="CF458" s="3">
        <v>45995</v>
      </c>
      <c r="CI458">
        <v>1</v>
      </c>
      <c r="CJ458">
        <v>1</v>
      </c>
      <c r="CK458">
        <v>21</v>
      </c>
      <c r="CL458" t="s">
        <v>87</v>
      </c>
    </row>
    <row r="459" spans="1:90" x14ac:dyDescent="0.3">
      <c r="A459" t="s">
        <v>72</v>
      </c>
      <c r="B459" t="s">
        <v>73</v>
      </c>
      <c r="C459" t="s">
        <v>74</v>
      </c>
      <c r="E459" t="str">
        <f>"080069656581"</f>
        <v>080069656581</v>
      </c>
      <c r="F459" s="3">
        <v>45994</v>
      </c>
      <c r="G459">
        <v>202609</v>
      </c>
      <c r="H459" t="s">
        <v>75</v>
      </c>
      <c r="I459" t="s">
        <v>76</v>
      </c>
      <c r="J459" t="s">
        <v>77</v>
      </c>
      <c r="K459" t="s">
        <v>78</v>
      </c>
      <c r="L459" t="s">
        <v>100</v>
      </c>
      <c r="M459" t="s">
        <v>101</v>
      </c>
      <c r="N459" t="s">
        <v>1131</v>
      </c>
      <c r="O459" t="s">
        <v>89</v>
      </c>
      <c r="P459" t="str">
        <f>"4170071637                    "</f>
        <v xml:space="preserve">4170071637                    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25.52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1</v>
      </c>
      <c r="BI459">
        <v>1</v>
      </c>
      <c r="BJ459">
        <v>0.2</v>
      </c>
      <c r="BK459">
        <v>1</v>
      </c>
      <c r="BL459">
        <v>76.06</v>
      </c>
      <c r="BM459">
        <v>11.41</v>
      </c>
      <c r="BN459">
        <v>87.47</v>
      </c>
      <c r="BO459">
        <v>87.47</v>
      </c>
      <c r="BQ459" t="s">
        <v>1132</v>
      </c>
      <c r="BR459" t="s">
        <v>82</v>
      </c>
      <c r="BS459" s="3">
        <v>45995</v>
      </c>
      <c r="BT459" s="4">
        <v>0.47916666666666669</v>
      </c>
      <c r="BU459" t="s">
        <v>1133</v>
      </c>
      <c r="BV459" t="s">
        <v>87</v>
      </c>
      <c r="BY459">
        <v>1200</v>
      </c>
      <c r="CA459" t="s">
        <v>1134</v>
      </c>
      <c r="CC459" t="s">
        <v>101</v>
      </c>
      <c r="CD459">
        <v>4052</v>
      </c>
      <c r="CE459" t="s">
        <v>134</v>
      </c>
      <c r="CF459" s="3">
        <v>45995</v>
      </c>
      <c r="CI459">
        <v>1</v>
      </c>
      <c r="CJ459">
        <v>1</v>
      </c>
      <c r="CK459">
        <v>21</v>
      </c>
      <c r="CL459" t="s">
        <v>87</v>
      </c>
    </row>
    <row r="460" spans="1:90" x14ac:dyDescent="0.3">
      <c r="A460" t="s">
        <v>72</v>
      </c>
      <c r="B460" t="s">
        <v>73</v>
      </c>
      <c r="C460" t="s">
        <v>74</v>
      </c>
      <c r="E460" t="str">
        <f>"080069656614"</f>
        <v>080069656614</v>
      </c>
      <c r="F460" s="3">
        <v>45994</v>
      </c>
      <c r="G460">
        <v>202609</v>
      </c>
      <c r="H460" t="s">
        <v>75</v>
      </c>
      <c r="I460" t="s">
        <v>76</v>
      </c>
      <c r="J460" t="s">
        <v>77</v>
      </c>
      <c r="K460" t="s">
        <v>78</v>
      </c>
      <c r="L460" t="s">
        <v>176</v>
      </c>
      <c r="M460" t="s">
        <v>177</v>
      </c>
      <c r="N460" t="s">
        <v>1135</v>
      </c>
      <c r="O460" t="s">
        <v>89</v>
      </c>
      <c r="P460" t="str">
        <f>"4170071671                    "</f>
        <v xml:space="preserve">4170071671                    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19.940000000000001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1</v>
      </c>
      <c r="BI460">
        <v>1</v>
      </c>
      <c r="BJ460">
        <v>0.2</v>
      </c>
      <c r="BK460">
        <v>1</v>
      </c>
      <c r="BL460">
        <v>59.42</v>
      </c>
      <c r="BM460">
        <v>8.91</v>
      </c>
      <c r="BN460">
        <v>68.33</v>
      </c>
      <c r="BO460">
        <v>68.33</v>
      </c>
      <c r="BQ460" t="s">
        <v>1136</v>
      </c>
      <c r="BR460" t="s">
        <v>82</v>
      </c>
      <c r="BS460" s="3">
        <v>45995</v>
      </c>
      <c r="BT460" s="4">
        <v>0.52569444444444446</v>
      </c>
      <c r="BU460" t="s">
        <v>1137</v>
      </c>
      <c r="BV460" t="s">
        <v>87</v>
      </c>
      <c r="BY460">
        <v>1200</v>
      </c>
      <c r="CA460" t="s">
        <v>1138</v>
      </c>
      <c r="CC460" t="s">
        <v>177</v>
      </c>
      <c r="CD460">
        <v>2040</v>
      </c>
      <c r="CE460" t="s">
        <v>134</v>
      </c>
      <c r="CF460" s="3">
        <v>45996</v>
      </c>
      <c r="CI460">
        <v>1</v>
      </c>
      <c r="CJ460">
        <v>1</v>
      </c>
      <c r="CK460">
        <v>22</v>
      </c>
      <c r="CL460" t="s">
        <v>87</v>
      </c>
    </row>
    <row r="461" spans="1:90" x14ac:dyDescent="0.3">
      <c r="A461" t="s">
        <v>72</v>
      </c>
      <c r="B461" t="s">
        <v>73</v>
      </c>
      <c r="C461" t="s">
        <v>74</v>
      </c>
      <c r="E461" t="str">
        <f>"080069656656"</f>
        <v>080069656656</v>
      </c>
      <c r="F461" s="3">
        <v>45994</v>
      </c>
      <c r="G461">
        <v>202609</v>
      </c>
      <c r="H461" t="s">
        <v>75</v>
      </c>
      <c r="I461" t="s">
        <v>76</v>
      </c>
      <c r="J461" t="s">
        <v>77</v>
      </c>
      <c r="K461" t="s">
        <v>78</v>
      </c>
      <c r="L461" t="s">
        <v>176</v>
      </c>
      <c r="M461" t="s">
        <v>177</v>
      </c>
      <c r="N461" t="s">
        <v>1139</v>
      </c>
      <c r="O461" t="s">
        <v>89</v>
      </c>
      <c r="P461" t="str">
        <f>"4170071702                    "</f>
        <v xml:space="preserve">4170071702                    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19.940000000000001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1</v>
      </c>
      <c r="BI461">
        <v>1</v>
      </c>
      <c r="BJ461">
        <v>0.2</v>
      </c>
      <c r="BK461">
        <v>1</v>
      </c>
      <c r="BL461">
        <v>59.42</v>
      </c>
      <c r="BM461">
        <v>8.91</v>
      </c>
      <c r="BN461">
        <v>68.33</v>
      </c>
      <c r="BO461">
        <v>68.33</v>
      </c>
      <c r="BQ461" t="s">
        <v>1140</v>
      </c>
      <c r="BR461" t="s">
        <v>82</v>
      </c>
      <c r="BS461" s="3">
        <v>45995</v>
      </c>
      <c r="BT461" s="4">
        <v>0.4201388888888889</v>
      </c>
      <c r="BU461" t="s">
        <v>1141</v>
      </c>
      <c r="BV461" t="s">
        <v>84</v>
      </c>
      <c r="BY461">
        <v>1200</v>
      </c>
      <c r="CA461" t="s">
        <v>409</v>
      </c>
      <c r="CC461" t="s">
        <v>177</v>
      </c>
      <c r="CD461">
        <v>2000</v>
      </c>
      <c r="CE461" t="s">
        <v>134</v>
      </c>
      <c r="CF461" s="3">
        <v>45996</v>
      </c>
      <c r="CI461">
        <v>1</v>
      </c>
      <c r="CJ461">
        <v>1</v>
      </c>
      <c r="CK461">
        <v>22</v>
      </c>
      <c r="CL461" t="s">
        <v>87</v>
      </c>
    </row>
    <row r="462" spans="1:90" x14ac:dyDescent="0.3">
      <c r="A462" t="s">
        <v>72</v>
      </c>
      <c r="B462" t="s">
        <v>73</v>
      </c>
      <c r="C462" t="s">
        <v>74</v>
      </c>
      <c r="E462" t="str">
        <f>"080069656668"</f>
        <v>080069656668</v>
      </c>
      <c r="F462" s="3">
        <v>45994</v>
      </c>
      <c r="G462">
        <v>202609</v>
      </c>
      <c r="H462" t="s">
        <v>75</v>
      </c>
      <c r="I462" t="s">
        <v>76</v>
      </c>
      <c r="J462" t="s">
        <v>77</v>
      </c>
      <c r="K462" t="s">
        <v>78</v>
      </c>
      <c r="L462" t="s">
        <v>75</v>
      </c>
      <c r="M462" t="s">
        <v>76</v>
      </c>
      <c r="N462" t="s">
        <v>1142</v>
      </c>
      <c r="O462" t="s">
        <v>89</v>
      </c>
      <c r="P462" t="str">
        <f>"4170071807                    "</f>
        <v xml:space="preserve">4170071807                    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19.940000000000001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1</v>
      </c>
      <c r="BI462">
        <v>1</v>
      </c>
      <c r="BJ462">
        <v>0.2</v>
      </c>
      <c r="BK462">
        <v>1</v>
      </c>
      <c r="BL462">
        <v>59.42</v>
      </c>
      <c r="BM462">
        <v>8.91</v>
      </c>
      <c r="BN462">
        <v>68.33</v>
      </c>
      <c r="BO462">
        <v>68.33</v>
      </c>
      <c r="BQ462" t="s">
        <v>1143</v>
      </c>
      <c r="BR462" t="s">
        <v>82</v>
      </c>
      <c r="BS462" s="3">
        <v>45995</v>
      </c>
      <c r="BT462" s="4">
        <v>0.29166666666666669</v>
      </c>
      <c r="BU462" t="s">
        <v>91</v>
      </c>
      <c r="BV462" t="s">
        <v>84</v>
      </c>
      <c r="BY462">
        <v>1200</v>
      </c>
      <c r="CA462" t="s">
        <v>92</v>
      </c>
      <c r="CC462" t="s">
        <v>76</v>
      </c>
      <c r="CD462">
        <v>1600</v>
      </c>
      <c r="CE462" t="s">
        <v>134</v>
      </c>
      <c r="CF462" s="3">
        <v>45996</v>
      </c>
      <c r="CI462">
        <v>1</v>
      </c>
      <c r="CJ462">
        <v>1</v>
      </c>
      <c r="CK462">
        <v>22</v>
      </c>
      <c r="CL462" t="s">
        <v>87</v>
      </c>
    </row>
    <row r="463" spans="1:90" x14ac:dyDescent="0.3">
      <c r="A463" t="s">
        <v>72</v>
      </c>
      <c r="B463" t="s">
        <v>73</v>
      </c>
      <c r="C463" t="s">
        <v>74</v>
      </c>
      <c r="E463" t="str">
        <f>"080069656678"</f>
        <v>080069656678</v>
      </c>
      <c r="F463" s="3">
        <v>45994</v>
      </c>
      <c r="G463">
        <v>202609</v>
      </c>
      <c r="H463" t="s">
        <v>75</v>
      </c>
      <c r="I463" t="s">
        <v>76</v>
      </c>
      <c r="J463" t="s">
        <v>77</v>
      </c>
      <c r="K463" t="s">
        <v>78</v>
      </c>
      <c r="L463" t="s">
        <v>141</v>
      </c>
      <c r="M463" t="s">
        <v>142</v>
      </c>
      <c r="N463" t="s">
        <v>731</v>
      </c>
      <c r="O463" t="s">
        <v>89</v>
      </c>
      <c r="P463" t="str">
        <f>"4170071652                    "</f>
        <v xml:space="preserve">4170071652                    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25.52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1</v>
      </c>
      <c r="BI463">
        <v>1</v>
      </c>
      <c r="BJ463">
        <v>0.2</v>
      </c>
      <c r="BK463">
        <v>1</v>
      </c>
      <c r="BL463">
        <v>76.06</v>
      </c>
      <c r="BM463">
        <v>11.41</v>
      </c>
      <c r="BN463">
        <v>87.47</v>
      </c>
      <c r="BO463">
        <v>87.47</v>
      </c>
      <c r="BQ463" t="s">
        <v>732</v>
      </c>
      <c r="BR463" t="s">
        <v>82</v>
      </c>
      <c r="BS463" s="3">
        <v>45995</v>
      </c>
      <c r="BT463" s="4">
        <v>0.40763888888888888</v>
      </c>
      <c r="BU463" t="s">
        <v>951</v>
      </c>
      <c r="BV463" t="s">
        <v>84</v>
      </c>
      <c r="BY463">
        <v>1200</v>
      </c>
      <c r="CA463" t="s">
        <v>277</v>
      </c>
      <c r="CC463" t="s">
        <v>142</v>
      </c>
      <c r="CD463">
        <v>6001</v>
      </c>
      <c r="CE463" t="s">
        <v>134</v>
      </c>
      <c r="CF463" s="3">
        <v>45995</v>
      </c>
      <c r="CI463">
        <v>1</v>
      </c>
      <c r="CJ463">
        <v>1</v>
      </c>
      <c r="CK463">
        <v>21</v>
      </c>
      <c r="CL463" t="s">
        <v>87</v>
      </c>
    </row>
    <row r="464" spans="1:90" x14ac:dyDescent="0.3">
      <c r="A464" t="s">
        <v>72</v>
      </c>
      <c r="B464" t="s">
        <v>73</v>
      </c>
      <c r="C464" t="s">
        <v>74</v>
      </c>
      <c r="E464" t="str">
        <f>"080069656687"</f>
        <v>080069656687</v>
      </c>
      <c r="F464" s="3">
        <v>45994</v>
      </c>
      <c r="G464">
        <v>202609</v>
      </c>
      <c r="H464" t="s">
        <v>75</v>
      </c>
      <c r="I464" t="s">
        <v>76</v>
      </c>
      <c r="J464" t="s">
        <v>77</v>
      </c>
      <c r="K464" t="s">
        <v>78</v>
      </c>
      <c r="L464" t="s">
        <v>332</v>
      </c>
      <c r="M464" t="s">
        <v>333</v>
      </c>
      <c r="N464" t="s">
        <v>334</v>
      </c>
      <c r="O464" t="s">
        <v>89</v>
      </c>
      <c r="P464" t="str">
        <f>"4170071756                    "</f>
        <v xml:space="preserve">4170071756                    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49.45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1</v>
      </c>
      <c r="BI464">
        <v>1</v>
      </c>
      <c r="BJ464">
        <v>0.2</v>
      </c>
      <c r="BK464">
        <v>1</v>
      </c>
      <c r="BL464">
        <v>147.38</v>
      </c>
      <c r="BM464">
        <v>22.11</v>
      </c>
      <c r="BN464">
        <v>169.49</v>
      </c>
      <c r="BO464">
        <v>169.49</v>
      </c>
      <c r="BQ464" t="s">
        <v>335</v>
      </c>
      <c r="BR464" t="s">
        <v>82</v>
      </c>
      <c r="BS464" s="3">
        <v>45995</v>
      </c>
      <c r="BT464" s="4">
        <v>0.64375000000000004</v>
      </c>
      <c r="BU464" t="s">
        <v>336</v>
      </c>
      <c r="BV464" t="s">
        <v>84</v>
      </c>
      <c r="BY464">
        <v>1200</v>
      </c>
      <c r="CC464" t="s">
        <v>333</v>
      </c>
      <c r="CD464">
        <v>6500</v>
      </c>
      <c r="CE464" t="s">
        <v>134</v>
      </c>
      <c r="CF464" s="3">
        <v>45996</v>
      </c>
      <c r="CI464">
        <v>1</v>
      </c>
      <c r="CJ464">
        <v>1</v>
      </c>
      <c r="CK464">
        <v>23</v>
      </c>
      <c r="CL464" t="s">
        <v>87</v>
      </c>
    </row>
    <row r="465" spans="1:90" x14ac:dyDescent="0.3">
      <c r="A465" t="s">
        <v>72</v>
      </c>
      <c r="B465" t="s">
        <v>73</v>
      </c>
      <c r="C465" t="s">
        <v>74</v>
      </c>
      <c r="E465" t="str">
        <f>"080069656695"</f>
        <v>080069656695</v>
      </c>
      <c r="F465" s="3">
        <v>45994</v>
      </c>
      <c r="G465">
        <v>202609</v>
      </c>
      <c r="H465" t="s">
        <v>75</v>
      </c>
      <c r="I465" t="s">
        <v>76</v>
      </c>
      <c r="J465" t="s">
        <v>77</v>
      </c>
      <c r="K465" t="s">
        <v>78</v>
      </c>
      <c r="L465" t="s">
        <v>100</v>
      </c>
      <c r="M465" t="s">
        <v>101</v>
      </c>
      <c r="N465" t="s">
        <v>102</v>
      </c>
      <c r="O465" t="s">
        <v>89</v>
      </c>
      <c r="P465" t="str">
        <f>"4170071786                    "</f>
        <v xml:space="preserve">4170071786                    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25.52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1</v>
      </c>
      <c r="BI465">
        <v>1</v>
      </c>
      <c r="BJ465">
        <v>0.2</v>
      </c>
      <c r="BK465">
        <v>1</v>
      </c>
      <c r="BL465">
        <v>76.06</v>
      </c>
      <c r="BM465">
        <v>11.41</v>
      </c>
      <c r="BN465">
        <v>87.47</v>
      </c>
      <c r="BO465">
        <v>87.47</v>
      </c>
      <c r="BQ465" t="s">
        <v>103</v>
      </c>
      <c r="BR465" t="s">
        <v>82</v>
      </c>
      <c r="BS465" s="3">
        <v>45995</v>
      </c>
      <c r="BT465" s="4">
        <v>0.36458333333333331</v>
      </c>
      <c r="BU465" t="s">
        <v>398</v>
      </c>
      <c r="BV465" t="s">
        <v>84</v>
      </c>
      <c r="BY465">
        <v>1200</v>
      </c>
      <c r="BZ465" t="s">
        <v>271</v>
      </c>
      <c r="CA465" t="s">
        <v>107</v>
      </c>
      <c r="CC465" t="s">
        <v>101</v>
      </c>
      <c r="CD465">
        <v>4000</v>
      </c>
      <c r="CE465" t="s">
        <v>127</v>
      </c>
      <c r="CF465" s="3">
        <v>45995</v>
      </c>
      <c r="CI465">
        <v>1</v>
      </c>
      <c r="CJ465">
        <v>1</v>
      </c>
      <c r="CK465">
        <v>21</v>
      </c>
      <c r="CL465" t="s">
        <v>87</v>
      </c>
    </row>
    <row r="466" spans="1:90" x14ac:dyDescent="0.3">
      <c r="A466" t="s">
        <v>72</v>
      </c>
      <c r="B466" t="s">
        <v>73</v>
      </c>
      <c r="C466" t="s">
        <v>74</v>
      </c>
      <c r="E466" t="str">
        <f>"080011698843"</f>
        <v>080011698843</v>
      </c>
      <c r="F466" s="3">
        <v>45995</v>
      </c>
      <c r="G466">
        <v>202609</v>
      </c>
      <c r="H466" t="s">
        <v>156</v>
      </c>
      <c r="I466" t="s">
        <v>157</v>
      </c>
      <c r="J466" t="s">
        <v>1144</v>
      </c>
      <c r="K466" t="s">
        <v>78</v>
      </c>
      <c r="L466" t="s">
        <v>75</v>
      </c>
      <c r="M466" t="s">
        <v>76</v>
      </c>
      <c r="N466" t="s">
        <v>598</v>
      </c>
      <c r="O466" t="s">
        <v>89</v>
      </c>
      <c r="P466" t="str">
        <f>"Neville 3 Dec                 "</f>
        <v xml:space="preserve">Neville 3 Dec                 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25.52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1</v>
      </c>
      <c r="BI466">
        <v>1</v>
      </c>
      <c r="BJ466">
        <v>0.2</v>
      </c>
      <c r="BK466">
        <v>1</v>
      </c>
      <c r="BL466">
        <v>76.06</v>
      </c>
      <c r="BM466">
        <v>11.41</v>
      </c>
      <c r="BN466">
        <v>87.47</v>
      </c>
      <c r="BO466">
        <v>87.47</v>
      </c>
      <c r="BQ466" t="s">
        <v>599</v>
      </c>
      <c r="BR466" t="s">
        <v>1109</v>
      </c>
      <c r="BS466" s="3">
        <v>45996</v>
      </c>
      <c r="BT466" s="4">
        <v>0.39374999999999999</v>
      </c>
      <c r="BU466" t="s">
        <v>601</v>
      </c>
      <c r="BV466" t="s">
        <v>84</v>
      </c>
      <c r="BY466">
        <v>1200</v>
      </c>
      <c r="BZ466" t="s">
        <v>271</v>
      </c>
      <c r="CA466" t="s">
        <v>602</v>
      </c>
      <c r="CC466" t="s">
        <v>76</v>
      </c>
      <c r="CD466">
        <v>1619</v>
      </c>
      <c r="CE466" t="s">
        <v>603</v>
      </c>
      <c r="CF466" s="3">
        <v>45996</v>
      </c>
      <c r="CI466">
        <v>1</v>
      </c>
      <c r="CJ466">
        <v>1</v>
      </c>
      <c r="CK466">
        <v>21</v>
      </c>
      <c r="CL466" t="s">
        <v>87</v>
      </c>
    </row>
    <row r="467" spans="1:90" x14ac:dyDescent="0.3">
      <c r="A467" t="s">
        <v>72</v>
      </c>
      <c r="B467" t="s">
        <v>73</v>
      </c>
      <c r="C467" t="s">
        <v>74</v>
      </c>
      <c r="E467" t="str">
        <f>"080069668869"</f>
        <v>080069668869</v>
      </c>
      <c r="F467" s="3">
        <v>45995</v>
      </c>
      <c r="G467">
        <v>202609</v>
      </c>
      <c r="H467" t="s">
        <v>75</v>
      </c>
      <c r="I467" t="s">
        <v>76</v>
      </c>
      <c r="J467" t="s">
        <v>77</v>
      </c>
      <c r="K467" t="s">
        <v>78</v>
      </c>
      <c r="L467" t="s">
        <v>75</v>
      </c>
      <c r="M467" t="s">
        <v>76</v>
      </c>
      <c r="N467" t="s">
        <v>1145</v>
      </c>
      <c r="O467" t="s">
        <v>89</v>
      </c>
      <c r="P467" t="str">
        <f>"4170070943                    "</f>
        <v xml:space="preserve">4170070943                    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19.940000000000001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1</v>
      </c>
      <c r="BI467">
        <v>1</v>
      </c>
      <c r="BJ467">
        <v>0.2</v>
      </c>
      <c r="BK467">
        <v>1</v>
      </c>
      <c r="BL467">
        <v>59.42</v>
      </c>
      <c r="BM467">
        <v>8.91</v>
      </c>
      <c r="BN467">
        <v>68.33</v>
      </c>
      <c r="BO467">
        <v>68.33</v>
      </c>
      <c r="BQ467" t="s">
        <v>1146</v>
      </c>
      <c r="BR467" t="s">
        <v>82</v>
      </c>
      <c r="BS467" s="3">
        <v>45996</v>
      </c>
      <c r="BT467" s="4">
        <v>0.40277777777777779</v>
      </c>
      <c r="BU467" t="s">
        <v>387</v>
      </c>
      <c r="BV467" t="s">
        <v>84</v>
      </c>
      <c r="BY467">
        <v>1200</v>
      </c>
      <c r="CA467" t="s">
        <v>92</v>
      </c>
      <c r="CC467" t="s">
        <v>76</v>
      </c>
      <c r="CD467">
        <v>1625</v>
      </c>
      <c r="CE467" t="s">
        <v>134</v>
      </c>
      <c r="CF467" s="3">
        <v>45997</v>
      </c>
      <c r="CI467">
        <v>1</v>
      </c>
      <c r="CJ467">
        <v>1</v>
      </c>
      <c r="CK467">
        <v>22</v>
      </c>
      <c r="CL467" t="s">
        <v>87</v>
      </c>
    </row>
    <row r="468" spans="1:90" x14ac:dyDescent="0.3">
      <c r="A468" t="s">
        <v>72</v>
      </c>
      <c r="B468" t="s">
        <v>73</v>
      </c>
      <c r="C468" t="s">
        <v>74</v>
      </c>
      <c r="E468" t="str">
        <f>"080069668933"</f>
        <v>080069668933</v>
      </c>
      <c r="F468" s="3">
        <v>45995</v>
      </c>
      <c r="G468">
        <v>202609</v>
      </c>
      <c r="H468" t="s">
        <v>75</v>
      </c>
      <c r="I468" t="s">
        <v>76</v>
      </c>
      <c r="J468" t="s">
        <v>77</v>
      </c>
      <c r="K468" t="s">
        <v>78</v>
      </c>
      <c r="L468" t="s">
        <v>156</v>
      </c>
      <c r="M468" t="s">
        <v>157</v>
      </c>
      <c r="N468" t="s">
        <v>943</v>
      </c>
      <c r="O468" t="s">
        <v>89</v>
      </c>
      <c r="P468" t="str">
        <f>"4170071517                    "</f>
        <v xml:space="preserve">4170071517                    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25.52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1</v>
      </c>
      <c r="BI468">
        <v>1</v>
      </c>
      <c r="BJ468">
        <v>0.2</v>
      </c>
      <c r="BK468">
        <v>1</v>
      </c>
      <c r="BL468">
        <v>76.06</v>
      </c>
      <c r="BM468">
        <v>11.41</v>
      </c>
      <c r="BN468">
        <v>87.47</v>
      </c>
      <c r="BO468">
        <v>87.47</v>
      </c>
      <c r="BQ468" t="s">
        <v>944</v>
      </c>
      <c r="BR468" t="s">
        <v>82</v>
      </c>
      <c r="BS468" s="3">
        <v>45996</v>
      </c>
      <c r="BT468" s="4">
        <v>0.41249999999999998</v>
      </c>
      <c r="BU468" t="s">
        <v>945</v>
      </c>
      <c r="BV468" t="s">
        <v>84</v>
      </c>
      <c r="BY468">
        <v>1200</v>
      </c>
      <c r="CA468" t="s">
        <v>346</v>
      </c>
      <c r="CC468" t="s">
        <v>157</v>
      </c>
      <c r="CD468">
        <v>7530</v>
      </c>
      <c r="CE468" t="s">
        <v>134</v>
      </c>
      <c r="CI468">
        <v>1</v>
      </c>
      <c r="CJ468">
        <v>1</v>
      </c>
      <c r="CK468">
        <v>21</v>
      </c>
      <c r="CL468" t="s">
        <v>87</v>
      </c>
    </row>
    <row r="469" spans="1:90" x14ac:dyDescent="0.3">
      <c r="A469" t="s">
        <v>72</v>
      </c>
      <c r="B469" t="s">
        <v>73</v>
      </c>
      <c r="C469" t="s">
        <v>74</v>
      </c>
      <c r="E469" t="str">
        <f>"080069668981"</f>
        <v>080069668981</v>
      </c>
      <c r="F469" s="3">
        <v>45995</v>
      </c>
      <c r="G469">
        <v>202609</v>
      </c>
      <c r="H469" t="s">
        <v>75</v>
      </c>
      <c r="I469" t="s">
        <v>76</v>
      </c>
      <c r="J469" t="s">
        <v>77</v>
      </c>
      <c r="K469" t="s">
        <v>78</v>
      </c>
      <c r="L469" t="s">
        <v>302</v>
      </c>
      <c r="M469" t="s">
        <v>303</v>
      </c>
      <c r="N469" t="s">
        <v>1147</v>
      </c>
      <c r="O469" t="s">
        <v>89</v>
      </c>
      <c r="P469" t="str">
        <f>"4170071703                    "</f>
        <v xml:space="preserve">4170071703                    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25.52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1</v>
      </c>
      <c r="BI469">
        <v>0.2</v>
      </c>
      <c r="BJ469">
        <v>0.5</v>
      </c>
      <c r="BK469">
        <v>0.5</v>
      </c>
      <c r="BL469">
        <v>76.06</v>
      </c>
      <c r="BM469">
        <v>11.41</v>
      </c>
      <c r="BN469">
        <v>87.47</v>
      </c>
      <c r="BO469">
        <v>87.47</v>
      </c>
      <c r="BQ469" t="s">
        <v>1148</v>
      </c>
      <c r="BR469" t="s">
        <v>82</v>
      </c>
      <c r="BS469" s="3">
        <v>45996</v>
      </c>
      <c r="BT469" s="4">
        <v>0.40972222222222221</v>
      </c>
      <c r="BU469" t="s">
        <v>1149</v>
      </c>
      <c r="BV469" t="s">
        <v>84</v>
      </c>
      <c r="BY469">
        <v>2507.96</v>
      </c>
      <c r="CA469">
        <v>8110305701087</v>
      </c>
      <c r="CC469" t="s">
        <v>303</v>
      </c>
      <c r="CD469" s="5" t="s">
        <v>916</v>
      </c>
      <c r="CE469" t="s">
        <v>134</v>
      </c>
      <c r="CF469" s="3">
        <v>45996</v>
      </c>
      <c r="CI469">
        <v>1</v>
      </c>
      <c r="CJ469">
        <v>1</v>
      </c>
      <c r="CK469">
        <v>21</v>
      </c>
      <c r="CL469" t="s">
        <v>87</v>
      </c>
    </row>
    <row r="470" spans="1:90" x14ac:dyDescent="0.3">
      <c r="A470" t="s">
        <v>72</v>
      </c>
      <c r="B470" t="s">
        <v>73</v>
      </c>
      <c r="C470" t="s">
        <v>74</v>
      </c>
      <c r="E470" t="str">
        <f>"080069669005"</f>
        <v>080069669005</v>
      </c>
      <c r="F470" s="3">
        <v>45995</v>
      </c>
      <c r="G470">
        <v>202609</v>
      </c>
      <c r="H470" t="s">
        <v>75</v>
      </c>
      <c r="I470" t="s">
        <v>76</v>
      </c>
      <c r="J470" t="s">
        <v>77</v>
      </c>
      <c r="K470" t="s">
        <v>78</v>
      </c>
      <c r="L470" t="s">
        <v>302</v>
      </c>
      <c r="M470" t="s">
        <v>303</v>
      </c>
      <c r="N470" t="s">
        <v>347</v>
      </c>
      <c r="O470" t="s">
        <v>80</v>
      </c>
      <c r="P470" t="str">
        <f>"4170071635                    "</f>
        <v xml:space="preserve">4170071635                    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49.36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1</v>
      </c>
      <c r="BI470">
        <v>3.7</v>
      </c>
      <c r="BJ470">
        <v>6.2</v>
      </c>
      <c r="BK470">
        <v>7</v>
      </c>
      <c r="BL470">
        <v>153.19999999999999</v>
      </c>
      <c r="BM470">
        <v>22.98</v>
      </c>
      <c r="BN470">
        <v>176.18</v>
      </c>
      <c r="BO470">
        <v>176.18</v>
      </c>
      <c r="BQ470" t="s">
        <v>348</v>
      </c>
      <c r="BR470" t="s">
        <v>82</v>
      </c>
      <c r="BS470" s="3">
        <v>45996</v>
      </c>
      <c r="BT470" s="4">
        <v>0.40138888888888891</v>
      </c>
      <c r="BU470" t="s">
        <v>903</v>
      </c>
      <c r="BV470" t="s">
        <v>84</v>
      </c>
      <c r="BY470">
        <v>31083.52</v>
      </c>
      <c r="CA470">
        <v>7709040539081</v>
      </c>
      <c r="CC470" t="s">
        <v>303</v>
      </c>
      <c r="CD470" s="5" t="s">
        <v>350</v>
      </c>
      <c r="CE470" t="s">
        <v>93</v>
      </c>
      <c r="CF470" s="3">
        <v>45996</v>
      </c>
      <c r="CI470">
        <v>1</v>
      </c>
      <c r="CJ470">
        <v>1</v>
      </c>
      <c r="CK470">
        <v>41</v>
      </c>
      <c r="CL470" t="s">
        <v>87</v>
      </c>
    </row>
    <row r="471" spans="1:90" x14ac:dyDescent="0.3">
      <c r="A471" t="s">
        <v>72</v>
      </c>
      <c r="B471" t="s">
        <v>73</v>
      </c>
      <c r="C471" t="s">
        <v>74</v>
      </c>
      <c r="E471" t="str">
        <f>"080069669028"</f>
        <v>080069669028</v>
      </c>
      <c r="F471" s="3">
        <v>45995</v>
      </c>
      <c r="G471">
        <v>202609</v>
      </c>
      <c r="H471" t="s">
        <v>75</v>
      </c>
      <c r="I471" t="s">
        <v>76</v>
      </c>
      <c r="J471" t="s">
        <v>77</v>
      </c>
      <c r="K471" t="s">
        <v>78</v>
      </c>
      <c r="L471" t="s">
        <v>141</v>
      </c>
      <c r="M471" t="s">
        <v>142</v>
      </c>
      <c r="N471" t="s">
        <v>566</v>
      </c>
      <c r="O471" t="s">
        <v>89</v>
      </c>
      <c r="P471" t="str">
        <f>"4170071717                    "</f>
        <v xml:space="preserve">4170071717                    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25.52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1</v>
      </c>
      <c r="BI471">
        <v>1</v>
      </c>
      <c r="BJ471">
        <v>0.2</v>
      </c>
      <c r="BK471">
        <v>1</v>
      </c>
      <c r="BL471">
        <v>76.06</v>
      </c>
      <c r="BM471">
        <v>11.41</v>
      </c>
      <c r="BN471">
        <v>87.47</v>
      </c>
      <c r="BO471">
        <v>87.47</v>
      </c>
      <c r="BQ471" t="s">
        <v>567</v>
      </c>
      <c r="BR471" t="s">
        <v>82</v>
      </c>
      <c r="BS471" s="3">
        <v>45996</v>
      </c>
      <c r="BT471" s="4">
        <v>0.43402777777777779</v>
      </c>
      <c r="BU471" t="s">
        <v>1150</v>
      </c>
      <c r="BV471" t="s">
        <v>84</v>
      </c>
      <c r="BY471">
        <v>1200</v>
      </c>
      <c r="CA471" t="s">
        <v>569</v>
      </c>
      <c r="CC471" t="s">
        <v>142</v>
      </c>
      <c r="CD471">
        <v>6056</v>
      </c>
      <c r="CE471" t="s">
        <v>134</v>
      </c>
      <c r="CF471" s="3">
        <v>45996</v>
      </c>
      <c r="CI471">
        <v>1</v>
      </c>
      <c r="CJ471">
        <v>1</v>
      </c>
      <c r="CK471">
        <v>21</v>
      </c>
      <c r="CL471" t="s">
        <v>87</v>
      </c>
    </row>
    <row r="472" spans="1:90" x14ac:dyDescent="0.3">
      <c r="A472" t="s">
        <v>72</v>
      </c>
      <c r="B472" t="s">
        <v>73</v>
      </c>
      <c r="C472" t="s">
        <v>74</v>
      </c>
      <c r="E472" t="str">
        <f>"080069669044"</f>
        <v>080069669044</v>
      </c>
      <c r="F472" s="3">
        <v>45995</v>
      </c>
      <c r="G472">
        <v>202609</v>
      </c>
      <c r="H472" t="s">
        <v>75</v>
      </c>
      <c r="I472" t="s">
        <v>76</v>
      </c>
      <c r="J472" t="s">
        <v>77</v>
      </c>
      <c r="K472" t="s">
        <v>78</v>
      </c>
      <c r="L472" t="s">
        <v>533</v>
      </c>
      <c r="M472" t="s">
        <v>533</v>
      </c>
      <c r="N472" t="s">
        <v>763</v>
      </c>
      <c r="O472" t="s">
        <v>89</v>
      </c>
      <c r="P472" t="str">
        <f>"4170071577                    "</f>
        <v xml:space="preserve">4170071577                    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49.45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1</v>
      </c>
      <c r="BI472">
        <v>1</v>
      </c>
      <c r="BJ472">
        <v>1.3</v>
      </c>
      <c r="BK472">
        <v>1.5</v>
      </c>
      <c r="BL472">
        <v>147.38</v>
      </c>
      <c r="BM472">
        <v>22.11</v>
      </c>
      <c r="BN472">
        <v>169.49</v>
      </c>
      <c r="BO472">
        <v>169.49</v>
      </c>
      <c r="BQ472" t="s">
        <v>764</v>
      </c>
      <c r="BR472" t="s">
        <v>82</v>
      </c>
      <c r="BS472" s="3">
        <v>45996</v>
      </c>
      <c r="BT472" s="4">
        <v>0.73888888888888893</v>
      </c>
      <c r="BU472" t="s">
        <v>1151</v>
      </c>
      <c r="BV472" t="s">
        <v>87</v>
      </c>
      <c r="BW472" t="s">
        <v>153</v>
      </c>
      <c r="BX472" t="s">
        <v>345</v>
      </c>
      <c r="BY472">
        <v>6612</v>
      </c>
      <c r="CA472" t="s">
        <v>537</v>
      </c>
      <c r="CC472" t="s">
        <v>533</v>
      </c>
      <c r="CD472">
        <v>7646</v>
      </c>
      <c r="CE472" t="s">
        <v>86</v>
      </c>
      <c r="CI472">
        <v>1</v>
      </c>
      <c r="CJ472">
        <v>1</v>
      </c>
      <c r="CK472">
        <v>23</v>
      </c>
      <c r="CL472" t="s">
        <v>87</v>
      </c>
    </row>
    <row r="473" spans="1:90" x14ac:dyDescent="0.3">
      <c r="A473" t="s">
        <v>72</v>
      </c>
      <c r="B473" t="s">
        <v>73</v>
      </c>
      <c r="C473" t="s">
        <v>74</v>
      </c>
      <c r="E473" t="str">
        <f>"080069669048"</f>
        <v>080069669048</v>
      </c>
      <c r="F473" s="3">
        <v>45995</v>
      </c>
      <c r="G473">
        <v>202609</v>
      </c>
      <c r="H473" t="s">
        <v>75</v>
      </c>
      <c r="I473" t="s">
        <v>76</v>
      </c>
      <c r="J473" t="s">
        <v>77</v>
      </c>
      <c r="K473" t="s">
        <v>78</v>
      </c>
      <c r="L473" t="s">
        <v>208</v>
      </c>
      <c r="M473" t="s">
        <v>209</v>
      </c>
      <c r="N473" t="s">
        <v>1152</v>
      </c>
      <c r="O473" t="s">
        <v>89</v>
      </c>
      <c r="P473" t="str">
        <f>"4170071656                    "</f>
        <v xml:space="preserve">4170071656                    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25.52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1</v>
      </c>
      <c r="BI473">
        <v>0.2</v>
      </c>
      <c r="BJ473">
        <v>0.2</v>
      </c>
      <c r="BK473">
        <v>0.5</v>
      </c>
      <c r="BL473">
        <v>76.06</v>
      </c>
      <c r="BM473">
        <v>11.41</v>
      </c>
      <c r="BN473">
        <v>87.47</v>
      </c>
      <c r="BO473">
        <v>87.47</v>
      </c>
      <c r="BQ473" t="s">
        <v>1153</v>
      </c>
      <c r="BR473" t="s">
        <v>82</v>
      </c>
      <c r="BS473" s="3">
        <v>45996</v>
      </c>
      <c r="BT473" s="4">
        <v>0.37708333333333333</v>
      </c>
      <c r="BU473" t="s">
        <v>1154</v>
      </c>
      <c r="BV473" t="s">
        <v>84</v>
      </c>
      <c r="BY473">
        <v>1214.52</v>
      </c>
      <c r="CA473">
        <v>7104145194083</v>
      </c>
      <c r="CC473" t="s">
        <v>209</v>
      </c>
      <c r="CD473" s="5" t="s">
        <v>213</v>
      </c>
      <c r="CE473" t="s">
        <v>134</v>
      </c>
      <c r="CF473" s="3">
        <v>45996</v>
      </c>
      <c r="CI473">
        <v>1</v>
      </c>
      <c r="CJ473">
        <v>1</v>
      </c>
      <c r="CK473">
        <v>21</v>
      </c>
      <c r="CL473" t="s">
        <v>87</v>
      </c>
    </row>
    <row r="474" spans="1:90" x14ac:dyDescent="0.3">
      <c r="A474" t="s">
        <v>72</v>
      </c>
      <c r="B474" t="s">
        <v>73</v>
      </c>
      <c r="C474" t="s">
        <v>74</v>
      </c>
      <c r="E474" t="str">
        <f>"080069669060"</f>
        <v>080069669060</v>
      </c>
      <c r="F474" s="3">
        <v>45995</v>
      </c>
      <c r="G474">
        <v>202609</v>
      </c>
      <c r="H474" t="s">
        <v>75</v>
      </c>
      <c r="I474" t="s">
        <v>76</v>
      </c>
      <c r="J474" t="s">
        <v>77</v>
      </c>
      <c r="K474" t="s">
        <v>78</v>
      </c>
      <c r="L474" t="s">
        <v>208</v>
      </c>
      <c r="M474" t="s">
        <v>209</v>
      </c>
      <c r="N474" t="s">
        <v>1152</v>
      </c>
      <c r="O474" t="s">
        <v>89</v>
      </c>
      <c r="P474" t="str">
        <f>"4170071645                    "</f>
        <v xml:space="preserve">4170071645                    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25.52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1</v>
      </c>
      <c r="BI474">
        <v>1</v>
      </c>
      <c r="BJ474">
        <v>0.2</v>
      </c>
      <c r="BK474">
        <v>1</v>
      </c>
      <c r="BL474">
        <v>76.06</v>
      </c>
      <c r="BM474">
        <v>11.41</v>
      </c>
      <c r="BN474">
        <v>87.47</v>
      </c>
      <c r="BO474">
        <v>87.47</v>
      </c>
      <c r="BQ474" t="s">
        <v>1153</v>
      </c>
      <c r="BR474" t="s">
        <v>82</v>
      </c>
      <c r="BS474" s="3">
        <v>45996</v>
      </c>
      <c r="BT474" s="4">
        <v>0.37708333333333333</v>
      </c>
      <c r="BU474" t="s">
        <v>1154</v>
      </c>
      <c r="BV474" t="s">
        <v>84</v>
      </c>
      <c r="BY474">
        <v>1200</v>
      </c>
      <c r="CA474">
        <v>7104145194083</v>
      </c>
      <c r="CC474" t="s">
        <v>209</v>
      </c>
      <c r="CD474" s="5" t="s">
        <v>213</v>
      </c>
      <c r="CE474" t="s">
        <v>134</v>
      </c>
      <c r="CF474" s="3">
        <v>45996</v>
      </c>
      <c r="CI474">
        <v>1</v>
      </c>
      <c r="CJ474">
        <v>1</v>
      </c>
      <c r="CK474">
        <v>21</v>
      </c>
      <c r="CL474" t="s">
        <v>87</v>
      </c>
    </row>
    <row r="475" spans="1:90" x14ac:dyDescent="0.3">
      <c r="A475" t="s">
        <v>72</v>
      </c>
      <c r="B475" t="s">
        <v>73</v>
      </c>
      <c r="C475" t="s">
        <v>74</v>
      </c>
      <c r="E475" t="str">
        <f>"080069669083"</f>
        <v>080069669083</v>
      </c>
      <c r="F475" s="3">
        <v>45995</v>
      </c>
      <c r="G475">
        <v>202609</v>
      </c>
      <c r="H475" t="s">
        <v>75</v>
      </c>
      <c r="I475" t="s">
        <v>76</v>
      </c>
      <c r="J475" t="s">
        <v>77</v>
      </c>
      <c r="K475" t="s">
        <v>78</v>
      </c>
      <c r="L475" t="s">
        <v>141</v>
      </c>
      <c r="M475" t="s">
        <v>142</v>
      </c>
      <c r="N475" t="s">
        <v>566</v>
      </c>
      <c r="O475" t="s">
        <v>89</v>
      </c>
      <c r="P475" t="str">
        <f>"4170071304                    "</f>
        <v xml:space="preserve">4170071304                    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51.04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1</v>
      </c>
      <c r="BI475">
        <v>2</v>
      </c>
      <c r="BJ475">
        <v>3.7</v>
      </c>
      <c r="BK475">
        <v>4</v>
      </c>
      <c r="BL475">
        <v>152.1</v>
      </c>
      <c r="BM475">
        <v>22.82</v>
      </c>
      <c r="BN475">
        <v>174.92</v>
      </c>
      <c r="BO475">
        <v>174.92</v>
      </c>
      <c r="BQ475" t="s">
        <v>567</v>
      </c>
      <c r="BR475" t="s">
        <v>82</v>
      </c>
      <c r="BS475" s="3">
        <v>45996</v>
      </c>
      <c r="BT475" s="4">
        <v>0.42708333333333331</v>
      </c>
      <c r="BU475" t="s">
        <v>1150</v>
      </c>
      <c r="BV475" t="s">
        <v>84</v>
      </c>
      <c r="BY475">
        <v>18304</v>
      </c>
      <c r="CA475" t="s">
        <v>569</v>
      </c>
      <c r="CC475" t="s">
        <v>142</v>
      </c>
      <c r="CD475">
        <v>6056</v>
      </c>
      <c r="CE475" t="s">
        <v>86</v>
      </c>
      <c r="CF475" s="3">
        <v>45996</v>
      </c>
      <c r="CI475">
        <v>1</v>
      </c>
      <c r="CJ475">
        <v>1</v>
      </c>
      <c r="CK475">
        <v>21</v>
      </c>
      <c r="CL475" t="s">
        <v>87</v>
      </c>
    </row>
    <row r="476" spans="1:90" x14ac:dyDescent="0.3">
      <c r="A476" t="s">
        <v>72</v>
      </c>
      <c r="B476" t="s">
        <v>73</v>
      </c>
      <c r="C476" t="s">
        <v>74</v>
      </c>
      <c r="E476" t="str">
        <f>"080069669089"</f>
        <v>080069669089</v>
      </c>
      <c r="F476" s="3">
        <v>45995</v>
      </c>
      <c r="G476">
        <v>202609</v>
      </c>
      <c r="H476" t="s">
        <v>75</v>
      </c>
      <c r="I476" t="s">
        <v>76</v>
      </c>
      <c r="J476" t="s">
        <v>77</v>
      </c>
      <c r="K476" t="s">
        <v>78</v>
      </c>
      <c r="L476" t="s">
        <v>100</v>
      </c>
      <c r="M476" t="s">
        <v>101</v>
      </c>
      <c r="N476" t="s">
        <v>1155</v>
      </c>
      <c r="O476" t="s">
        <v>89</v>
      </c>
      <c r="P476" t="str">
        <f>"4170071680                    "</f>
        <v xml:space="preserve">4170071680                    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25.52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1</v>
      </c>
      <c r="BI476">
        <v>1</v>
      </c>
      <c r="BJ476">
        <v>0.2</v>
      </c>
      <c r="BK476">
        <v>1</v>
      </c>
      <c r="BL476">
        <v>76.06</v>
      </c>
      <c r="BM476">
        <v>11.41</v>
      </c>
      <c r="BN476">
        <v>87.47</v>
      </c>
      <c r="BO476">
        <v>87.47</v>
      </c>
      <c r="BQ476" t="s">
        <v>1156</v>
      </c>
      <c r="BR476" t="s">
        <v>82</v>
      </c>
      <c r="BS476" s="3">
        <v>45996</v>
      </c>
      <c r="BT476" s="4">
        <v>0.39166666666666666</v>
      </c>
      <c r="BU476" t="s">
        <v>1157</v>
      </c>
      <c r="BV476" t="s">
        <v>84</v>
      </c>
      <c r="BY476">
        <v>1200</v>
      </c>
      <c r="CA476" t="s">
        <v>1158</v>
      </c>
      <c r="CC476" t="s">
        <v>101</v>
      </c>
      <c r="CD476">
        <v>4001</v>
      </c>
      <c r="CE476" t="s">
        <v>134</v>
      </c>
      <c r="CF476" s="3">
        <v>45997</v>
      </c>
      <c r="CI476">
        <v>1</v>
      </c>
      <c r="CJ476">
        <v>1</v>
      </c>
      <c r="CK476">
        <v>21</v>
      </c>
      <c r="CL476" t="s">
        <v>87</v>
      </c>
    </row>
    <row r="477" spans="1:90" x14ac:dyDescent="0.3">
      <c r="A477" t="s">
        <v>72</v>
      </c>
      <c r="B477" t="s">
        <v>73</v>
      </c>
      <c r="C477" t="s">
        <v>74</v>
      </c>
      <c r="E477" t="str">
        <f>"080069669130"</f>
        <v>080069669130</v>
      </c>
      <c r="F477" s="3">
        <v>45995</v>
      </c>
      <c r="G477">
        <v>202609</v>
      </c>
      <c r="H477" t="s">
        <v>75</v>
      </c>
      <c r="I477" t="s">
        <v>76</v>
      </c>
      <c r="J477" t="s">
        <v>77</v>
      </c>
      <c r="K477" t="s">
        <v>78</v>
      </c>
      <c r="L477" t="s">
        <v>1159</v>
      </c>
      <c r="M477" t="s">
        <v>1160</v>
      </c>
      <c r="N477" t="s">
        <v>1161</v>
      </c>
      <c r="O477" t="s">
        <v>89</v>
      </c>
      <c r="P477" t="str">
        <f>"4170071613                    "</f>
        <v xml:space="preserve">4170071613                    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49.45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1</v>
      </c>
      <c r="BI477">
        <v>0.8</v>
      </c>
      <c r="BJ477">
        <v>1.9</v>
      </c>
      <c r="BK477">
        <v>2</v>
      </c>
      <c r="BL477">
        <v>147.38</v>
      </c>
      <c r="BM477">
        <v>22.11</v>
      </c>
      <c r="BN477">
        <v>169.49</v>
      </c>
      <c r="BO477">
        <v>169.49</v>
      </c>
      <c r="BQ477" t="s">
        <v>1162</v>
      </c>
      <c r="BR477" t="s">
        <v>82</v>
      </c>
      <c r="BS477" t="s">
        <v>500</v>
      </c>
      <c r="BY477">
        <v>9343.8799999999992</v>
      </c>
      <c r="CC477" t="s">
        <v>1160</v>
      </c>
      <c r="CD477">
        <v>2309</v>
      </c>
      <c r="CE477" t="s">
        <v>93</v>
      </c>
      <c r="CI477">
        <v>1</v>
      </c>
      <c r="CJ477" t="s">
        <v>500</v>
      </c>
      <c r="CK477">
        <v>23</v>
      </c>
      <c r="CL477" t="s">
        <v>87</v>
      </c>
    </row>
    <row r="478" spans="1:90" x14ac:dyDescent="0.3">
      <c r="A478" t="s">
        <v>72</v>
      </c>
      <c r="B478" t="s">
        <v>73</v>
      </c>
      <c r="C478" t="s">
        <v>74</v>
      </c>
      <c r="E478" t="str">
        <f>"080069669206"</f>
        <v>080069669206</v>
      </c>
      <c r="F478" s="3">
        <v>45995</v>
      </c>
      <c r="G478">
        <v>202609</v>
      </c>
      <c r="H478" t="s">
        <v>75</v>
      </c>
      <c r="I478" t="s">
        <v>76</v>
      </c>
      <c r="J478" t="s">
        <v>77</v>
      </c>
      <c r="K478" t="s">
        <v>78</v>
      </c>
      <c r="L478" t="s">
        <v>94</v>
      </c>
      <c r="M478" t="s">
        <v>95</v>
      </c>
      <c r="N478" t="s">
        <v>1163</v>
      </c>
      <c r="O478" t="s">
        <v>89</v>
      </c>
      <c r="P478" t="str">
        <f>"4170071706                    "</f>
        <v xml:space="preserve">4170071706                    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25.52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1</v>
      </c>
      <c r="BI478">
        <v>1</v>
      </c>
      <c r="BJ478">
        <v>1.1000000000000001</v>
      </c>
      <c r="BK478">
        <v>1.5</v>
      </c>
      <c r="BL478">
        <v>76.06</v>
      </c>
      <c r="BM478">
        <v>11.41</v>
      </c>
      <c r="BN478">
        <v>87.47</v>
      </c>
      <c r="BO478">
        <v>87.47</v>
      </c>
      <c r="BQ478" t="s">
        <v>1164</v>
      </c>
      <c r="BR478" t="s">
        <v>82</v>
      </c>
      <c r="BS478" s="3">
        <v>45996</v>
      </c>
      <c r="BT478" s="4">
        <v>0.46666666666666667</v>
      </c>
      <c r="BU478" t="s">
        <v>1165</v>
      </c>
      <c r="BV478" t="s">
        <v>84</v>
      </c>
      <c r="BY478">
        <v>5510</v>
      </c>
      <c r="CA478" t="s">
        <v>1166</v>
      </c>
      <c r="CC478" t="s">
        <v>95</v>
      </c>
      <c r="CD478">
        <v>3610</v>
      </c>
      <c r="CE478" t="s">
        <v>86</v>
      </c>
      <c r="CF478" s="3">
        <v>45997</v>
      </c>
      <c r="CI478">
        <v>1</v>
      </c>
      <c r="CJ478">
        <v>1</v>
      </c>
      <c r="CK478">
        <v>21</v>
      </c>
      <c r="CL478" t="s">
        <v>87</v>
      </c>
    </row>
    <row r="479" spans="1:90" x14ac:dyDescent="0.3">
      <c r="A479" t="s">
        <v>72</v>
      </c>
      <c r="B479" t="s">
        <v>73</v>
      </c>
      <c r="C479" t="s">
        <v>74</v>
      </c>
      <c r="E479" t="str">
        <f>"080069669348"</f>
        <v>080069669348</v>
      </c>
      <c r="F479" s="3">
        <v>45995</v>
      </c>
      <c r="G479">
        <v>202609</v>
      </c>
      <c r="H479" t="s">
        <v>75</v>
      </c>
      <c r="I479" t="s">
        <v>76</v>
      </c>
      <c r="J479" t="s">
        <v>77</v>
      </c>
      <c r="K479" t="s">
        <v>78</v>
      </c>
      <c r="L479" t="s">
        <v>141</v>
      </c>
      <c r="M479" t="s">
        <v>142</v>
      </c>
      <c r="N479" t="s">
        <v>614</v>
      </c>
      <c r="O479" t="s">
        <v>89</v>
      </c>
      <c r="P479" t="str">
        <f>"4170071658                    "</f>
        <v xml:space="preserve">4170071658                    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121.19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1</v>
      </c>
      <c r="BI479">
        <v>8</v>
      </c>
      <c r="BJ479">
        <v>9.1</v>
      </c>
      <c r="BK479">
        <v>9.5</v>
      </c>
      <c r="BL479">
        <v>361.18</v>
      </c>
      <c r="BM479">
        <v>54.18</v>
      </c>
      <c r="BN479">
        <v>415.36</v>
      </c>
      <c r="BO479">
        <v>415.36</v>
      </c>
      <c r="BQ479" t="s">
        <v>615</v>
      </c>
      <c r="BR479" t="s">
        <v>82</v>
      </c>
      <c r="BS479" s="3">
        <v>45996</v>
      </c>
      <c r="BT479" s="4">
        <v>0.4284722222222222</v>
      </c>
      <c r="BU479" t="s">
        <v>1167</v>
      </c>
      <c r="BV479" t="s">
        <v>84</v>
      </c>
      <c r="BY479">
        <v>45632</v>
      </c>
      <c r="CA479" t="s">
        <v>277</v>
      </c>
      <c r="CC479" t="s">
        <v>142</v>
      </c>
      <c r="CD479">
        <v>6001</v>
      </c>
      <c r="CE479" t="s">
        <v>86</v>
      </c>
      <c r="CF479" s="3">
        <v>45996</v>
      </c>
      <c r="CI479">
        <v>1</v>
      </c>
      <c r="CJ479">
        <v>1</v>
      </c>
      <c r="CK479">
        <v>21</v>
      </c>
      <c r="CL479" t="s">
        <v>87</v>
      </c>
    </row>
    <row r="480" spans="1:90" x14ac:dyDescent="0.3">
      <c r="A480" t="s">
        <v>72</v>
      </c>
      <c r="B480" t="s">
        <v>73</v>
      </c>
      <c r="C480" t="s">
        <v>74</v>
      </c>
      <c r="E480" t="str">
        <f>"080069669373"</f>
        <v>080069669373</v>
      </c>
      <c r="F480" s="3">
        <v>45995</v>
      </c>
      <c r="G480">
        <v>202609</v>
      </c>
      <c r="H480" t="s">
        <v>75</v>
      </c>
      <c r="I480" t="s">
        <v>76</v>
      </c>
      <c r="J480" t="s">
        <v>77</v>
      </c>
      <c r="K480" t="s">
        <v>78</v>
      </c>
      <c r="L480" t="s">
        <v>882</v>
      </c>
      <c r="M480" t="s">
        <v>883</v>
      </c>
      <c r="N480" t="s">
        <v>884</v>
      </c>
      <c r="O480" t="s">
        <v>89</v>
      </c>
      <c r="P480" t="str">
        <f>"4170071696                    "</f>
        <v xml:space="preserve">4170071696                    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149.54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1</v>
      </c>
      <c r="BI480">
        <v>2.9</v>
      </c>
      <c r="BJ480">
        <v>8.1</v>
      </c>
      <c r="BK480">
        <v>8.5</v>
      </c>
      <c r="BL480">
        <v>445.65</v>
      </c>
      <c r="BM480">
        <v>66.849999999999994</v>
      </c>
      <c r="BN480">
        <v>512.5</v>
      </c>
      <c r="BO480">
        <v>512.5</v>
      </c>
      <c r="BQ480" t="s">
        <v>885</v>
      </c>
      <c r="BR480" t="s">
        <v>82</v>
      </c>
      <c r="BS480" s="3">
        <v>45996</v>
      </c>
      <c r="BT480" s="4">
        <v>0.41458333333333336</v>
      </c>
      <c r="BU480" t="s">
        <v>886</v>
      </c>
      <c r="BV480" t="s">
        <v>84</v>
      </c>
      <c r="BY480">
        <v>40680</v>
      </c>
      <c r="CA480" t="s">
        <v>887</v>
      </c>
      <c r="CC480" t="s">
        <v>883</v>
      </c>
      <c r="CD480">
        <v>2410</v>
      </c>
      <c r="CE480" t="s">
        <v>93</v>
      </c>
      <c r="CF480" s="3">
        <v>45997</v>
      </c>
      <c r="CI480">
        <v>1</v>
      </c>
      <c r="CJ480">
        <v>1</v>
      </c>
      <c r="CK480">
        <v>24</v>
      </c>
      <c r="CL480" t="s">
        <v>87</v>
      </c>
    </row>
    <row r="481" spans="1:90" x14ac:dyDescent="0.3">
      <c r="A481" t="s">
        <v>72</v>
      </c>
      <c r="B481" t="s">
        <v>73</v>
      </c>
      <c r="C481" t="s">
        <v>74</v>
      </c>
      <c r="E481" t="str">
        <f>"080069669410"</f>
        <v>080069669410</v>
      </c>
      <c r="F481" s="3">
        <v>45995</v>
      </c>
      <c r="G481">
        <v>202609</v>
      </c>
      <c r="H481" t="s">
        <v>75</v>
      </c>
      <c r="I481" t="s">
        <v>76</v>
      </c>
      <c r="J481" t="s">
        <v>77</v>
      </c>
      <c r="K481" t="s">
        <v>78</v>
      </c>
      <c r="L481" t="s">
        <v>156</v>
      </c>
      <c r="M481" t="s">
        <v>157</v>
      </c>
      <c r="N481" t="s">
        <v>434</v>
      </c>
      <c r="O481" t="s">
        <v>89</v>
      </c>
      <c r="P481" t="str">
        <f>"4170071705                    "</f>
        <v xml:space="preserve">4170071705                    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63.79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1</v>
      </c>
      <c r="BI481">
        <v>5</v>
      </c>
      <c r="BJ481">
        <v>3.4</v>
      </c>
      <c r="BK481">
        <v>5</v>
      </c>
      <c r="BL481">
        <v>190.11</v>
      </c>
      <c r="BM481">
        <v>28.52</v>
      </c>
      <c r="BN481">
        <v>218.63</v>
      </c>
      <c r="BO481">
        <v>218.63</v>
      </c>
      <c r="BQ481" t="s">
        <v>435</v>
      </c>
      <c r="BR481" t="s">
        <v>82</v>
      </c>
      <c r="BS481" s="3">
        <v>45996</v>
      </c>
      <c r="BT481" s="4">
        <v>0.39583333333333331</v>
      </c>
      <c r="BU481" t="s">
        <v>1168</v>
      </c>
      <c r="BV481" t="s">
        <v>84</v>
      </c>
      <c r="BY481">
        <v>17028</v>
      </c>
      <c r="CA481" t="s">
        <v>264</v>
      </c>
      <c r="CC481" t="s">
        <v>157</v>
      </c>
      <c r="CD481">
        <v>7441</v>
      </c>
      <c r="CE481" t="s">
        <v>93</v>
      </c>
      <c r="CF481" s="3">
        <v>45999</v>
      </c>
      <c r="CI481">
        <v>1</v>
      </c>
      <c r="CJ481">
        <v>1</v>
      </c>
      <c r="CK481">
        <v>21</v>
      </c>
      <c r="CL481" t="s">
        <v>87</v>
      </c>
    </row>
    <row r="482" spans="1:90" x14ac:dyDescent="0.3">
      <c r="A482" t="s">
        <v>72</v>
      </c>
      <c r="B482" t="s">
        <v>73</v>
      </c>
      <c r="C482" t="s">
        <v>74</v>
      </c>
      <c r="E482" t="str">
        <f>"080069669442"</f>
        <v>080069669442</v>
      </c>
      <c r="F482" s="3">
        <v>45995</v>
      </c>
      <c r="G482">
        <v>202609</v>
      </c>
      <c r="H482" t="s">
        <v>75</v>
      </c>
      <c r="I482" t="s">
        <v>76</v>
      </c>
      <c r="J482" t="s">
        <v>77</v>
      </c>
      <c r="K482" t="s">
        <v>78</v>
      </c>
      <c r="L482" t="s">
        <v>156</v>
      </c>
      <c r="M482" t="s">
        <v>157</v>
      </c>
      <c r="N482" t="s">
        <v>443</v>
      </c>
      <c r="O482" t="s">
        <v>89</v>
      </c>
      <c r="P482" t="str">
        <f>"4170071662                    "</f>
        <v xml:space="preserve">4170071662                    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38.28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1</v>
      </c>
      <c r="BI482">
        <v>3</v>
      </c>
      <c r="BJ482">
        <v>2.7</v>
      </c>
      <c r="BK482">
        <v>3</v>
      </c>
      <c r="BL482">
        <v>114.08</v>
      </c>
      <c r="BM482">
        <v>17.11</v>
      </c>
      <c r="BN482">
        <v>131.19</v>
      </c>
      <c r="BO482">
        <v>131.19</v>
      </c>
      <c r="BQ482" t="s">
        <v>444</v>
      </c>
      <c r="BR482" t="s">
        <v>82</v>
      </c>
      <c r="BS482" s="3">
        <v>45996</v>
      </c>
      <c r="BT482" s="4">
        <v>0.40277777777777779</v>
      </c>
      <c r="BU482" t="s">
        <v>1169</v>
      </c>
      <c r="BV482" t="s">
        <v>84</v>
      </c>
      <c r="BY482">
        <v>13442</v>
      </c>
      <c r="CA482" t="s">
        <v>346</v>
      </c>
      <c r="CC482" t="s">
        <v>157</v>
      </c>
      <c r="CD482">
        <v>7530</v>
      </c>
      <c r="CE482" t="s">
        <v>93</v>
      </c>
      <c r="CI482">
        <v>1</v>
      </c>
      <c r="CJ482">
        <v>1</v>
      </c>
      <c r="CK482">
        <v>21</v>
      </c>
      <c r="CL482" t="s">
        <v>87</v>
      </c>
    </row>
    <row r="483" spans="1:90" x14ac:dyDescent="0.3">
      <c r="A483" t="s">
        <v>72</v>
      </c>
      <c r="B483" t="s">
        <v>73</v>
      </c>
      <c r="C483" t="s">
        <v>74</v>
      </c>
      <c r="E483" t="str">
        <f>"080069669508"</f>
        <v>080069669508</v>
      </c>
      <c r="F483" s="3">
        <v>45995</v>
      </c>
      <c r="G483">
        <v>202609</v>
      </c>
      <c r="H483" t="s">
        <v>75</v>
      </c>
      <c r="I483" t="s">
        <v>76</v>
      </c>
      <c r="J483" t="s">
        <v>77</v>
      </c>
      <c r="K483" t="s">
        <v>78</v>
      </c>
      <c r="L483" t="s">
        <v>302</v>
      </c>
      <c r="M483" t="s">
        <v>303</v>
      </c>
      <c r="N483" t="s">
        <v>644</v>
      </c>
      <c r="O483" t="s">
        <v>89</v>
      </c>
      <c r="P483" t="str">
        <f>"4170071713                    "</f>
        <v xml:space="preserve">4170071713                    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25.52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1</v>
      </c>
      <c r="BI483">
        <v>1</v>
      </c>
      <c r="BJ483">
        <v>0.9</v>
      </c>
      <c r="BK483">
        <v>1</v>
      </c>
      <c r="BL483">
        <v>76.06</v>
      </c>
      <c r="BM483">
        <v>11.41</v>
      </c>
      <c r="BN483">
        <v>87.47</v>
      </c>
      <c r="BO483">
        <v>87.47</v>
      </c>
      <c r="BQ483" t="s">
        <v>645</v>
      </c>
      <c r="BR483" t="s">
        <v>82</v>
      </c>
      <c r="BS483" s="3">
        <v>45996</v>
      </c>
      <c r="BT483" s="4">
        <v>0.40555555555555556</v>
      </c>
      <c r="BU483" t="s">
        <v>646</v>
      </c>
      <c r="BV483" t="s">
        <v>84</v>
      </c>
      <c r="BY483">
        <v>4275</v>
      </c>
      <c r="CA483">
        <v>8303236124087</v>
      </c>
      <c r="CC483" t="s">
        <v>303</v>
      </c>
      <c r="CD483" s="5" t="s">
        <v>307</v>
      </c>
      <c r="CE483" t="s">
        <v>86</v>
      </c>
      <c r="CF483" s="3">
        <v>45996</v>
      </c>
      <c r="CI483">
        <v>1</v>
      </c>
      <c r="CJ483">
        <v>1</v>
      </c>
      <c r="CK483">
        <v>21</v>
      </c>
      <c r="CL483" t="s">
        <v>87</v>
      </c>
    </row>
    <row r="484" spans="1:90" x14ac:dyDescent="0.3">
      <c r="A484" t="s">
        <v>72</v>
      </c>
      <c r="B484" t="s">
        <v>73</v>
      </c>
      <c r="C484" t="s">
        <v>74</v>
      </c>
      <c r="E484" t="str">
        <f>"080069670948"</f>
        <v>080069670948</v>
      </c>
      <c r="F484" s="3">
        <v>45995</v>
      </c>
      <c r="G484">
        <v>202609</v>
      </c>
      <c r="H484" t="s">
        <v>75</v>
      </c>
      <c r="I484" t="s">
        <v>76</v>
      </c>
      <c r="J484" t="s">
        <v>77</v>
      </c>
      <c r="K484" t="s">
        <v>78</v>
      </c>
      <c r="L484" t="s">
        <v>265</v>
      </c>
      <c r="M484" t="s">
        <v>266</v>
      </c>
      <c r="N484" t="s">
        <v>1125</v>
      </c>
      <c r="O484" t="s">
        <v>89</v>
      </c>
      <c r="P484" t="str">
        <f>"4170071905                    "</f>
        <v xml:space="preserve">4170071905                    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19.940000000000001</v>
      </c>
      <c r="AR484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1</v>
      </c>
      <c r="BI484">
        <v>0.2</v>
      </c>
      <c r="BJ484">
        <v>1.5</v>
      </c>
      <c r="BK484">
        <v>2</v>
      </c>
      <c r="BL484">
        <v>59.42</v>
      </c>
      <c r="BM484">
        <v>8.91</v>
      </c>
      <c r="BN484">
        <v>68.33</v>
      </c>
      <c r="BO484">
        <v>68.33</v>
      </c>
      <c r="BQ484" t="s">
        <v>1126</v>
      </c>
      <c r="BR484" t="s">
        <v>82</v>
      </c>
      <c r="BS484" s="3">
        <v>45996</v>
      </c>
      <c r="BT484" s="4">
        <v>0.32708333333333334</v>
      </c>
      <c r="BU484" t="s">
        <v>1170</v>
      </c>
      <c r="BV484" t="s">
        <v>84</v>
      </c>
      <c r="BY484">
        <v>7331.25</v>
      </c>
      <c r="CA484" t="s">
        <v>417</v>
      </c>
      <c r="CC484" t="s">
        <v>266</v>
      </c>
      <c r="CD484">
        <v>1460</v>
      </c>
      <c r="CE484" t="s">
        <v>134</v>
      </c>
      <c r="CF484" s="3">
        <v>45996</v>
      </c>
      <c r="CI484">
        <v>1</v>
      </c>
      <c r="CJ484">
        <v>1</v>
      </c>
      <c r="CK484">
        <v>22</v>
      </c>
      <c r="CL484" t="s">
        <v>87</v>
      </c>
    </row>
    <row r="485" spans="1:90" x14ac:dyDescent="0.3">
      <c r="A485" t="s">
        <v>72</v>
      </c>
      <c r="B485" t="s">
        <v>73</v>
      </c>
      <c r="C485" t="s">
        <v>74</v>
      </c>
      <c r="E485" t="str">
        <f>"080069670977"</f>
        <v>080069670977</v>
      </c>
      <c r="F485" s="3">
        <v>45995</v>
      </c>
      <c r="G485">
        <v>202609</v>
      </c>
      <c r="H485" t="s">
        <v>75</v>
      </c>
      <c r="I485" t="s">
        <v>76</v>
      </c>
      <c r="J485" t="s">
        <v>77</v>
      </c>
      <c r="K485" t="s">
        <v>78</v>
      </c>
      <c r="L485" t="s">
        <v>141</v>
      </c>
      <c r="M485" t="s">
        <v>142</v>
      </c>
      <c r="N485" t="s">
        <v>486</v>
      </c>
      <c r="O485" t="s">
        <v>89</v>
      </c>
      <c r="P485" t="str">
        <f>"4170071762                    "</f>
        <v xml:space="preserve">4170071762                    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25.52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1</v>
      </c>
      <c r="BI485">
        <v>1</v>
      </c>
      <c r="BJ485">
        <v>0.2</v>
      </c>
      <c r="BK485">
        <v>1</v>
      </c>
      <c r="BL485">
        <v>76.06</v>
      </c>
      <c r="BM485">
        <v>11.41</v>
      </c>
      <c r="BN485">
        <v>87.47</v>
      </c>
      <c r="BO485">
        <v>87.47</v>
      </c>
      <c r="BQ485" t="s">
        <v>487</v>
      </c>
      <c r="BR485" t="s">
        <v>82</v>
      </c>
      <c r="BS485" t="s">
        <v>500</v>
      </c>
      <c r="BY485">
        <v>1200</v>
      </c>
      <c r="CC485" t="s">
        <v>142</v>
      </c>
      <c r="CD485">
        <v>6012</v>
      </c>
      <c r="CE485" t="s">
        <v>134</v>
      </c>
      <c r="CI485">
        <v>1</v>
      </c>
      <c r="CJ485" t="s">
        <v>500</v>
      </c>
      <c r="CK485">
        <v>21</v>
      </c>
      <c r="CL485" t="s">
        <v>87</v>
      </c>
    </row>
    <row r="486" spans="1:90" x14ac:dyDescent="0.3">
      <c r="A486" t="s">
        <v>72</v>
      </c>
      <c r="B486" t="s">
        <v>73</v>
      </c>
      <c r="C486" t="s">
        <v>74</v>
      </c>
      <c r="E486" t="str">
        <f>"080069671001"</f>
        <v>080069671001</v>
      </c>
      <c r="F486" s="3">
        <v>45995</v>
      </c>
      <c r="G486">
        <v>202609</v>
      </c>
      <c r="H486" t="s">
        <v>75</v>
      </c>
      <c r="I486" t="s">
        <v>76</v>
      </c>
      <c r="J486" t="s">
        <v>77</v>
      </c>
      <c r="K486" t="s">
        <v>78</v>
      </c>
      <c r="L486" t="s">
        <v>94</v>
      </c>
      <c r="M486" t="s">
        <v>95</v>
      </c>
      <c r="N486" t="s">
        <v>1059</v>
      </c>
      <c r="O486" t="s">
        <v>89</v>
      </c>
      <c r="P486" t="str">
        <f>"4170071689                    "</f>
        <v xml:space="preserve">4170071689                    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165.84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1</v>
      </c>
      <c r="BI486">
        <v>13</v>
      </c>
      <c r="BJ486">
        <v>1.8</v>
      </c>
      <c r="BK486">
        <v>13</v>
      </c>
      <c r="BL486">
        <v>494.24</v>
      </c>
      <c r="BM486">
        <v>74.14</v>
      </c>
      <c r="BN486">
        <v>568.38</v>
      </c>
      <c r="BO486">
        <v>568.38</v>
      </c>
      <c r="BQ486" t="s">
        <v>1060</v>
      </c>
      <c r="BR486" t="s">
        <v>82</v>
      </c>
      <c r="BS486" s="3">
        <v>45996</v>
      </c>
      <c r="BT486" s="4">
        <v>0.42499999999999999</v>
      </c>
      <c r="BU486" t="s">
        <v>1061</v>
      </c>
      <c r="BV486" t="s">
        <v>84</v>
      </c>
      <c r="BY486">
        <v>8816</v>
      </c>
      <c r="CA486" t="s">
        <v>99</v>
      </c>
      <c r="CC486" t="s">
        <v>95</v>
      </c>
      <c r="CD486">
        <v>3600</v>
      </c>
      <c r="CE486" t="s">
        <v>86</v>
      </c>
      <c r="CF486" s="3">
        <v>45996</v>
      </c>
      <c r="CI486">
        <v>1</v>
      </c>
      <c r="CJ486">
        <v>1</v>
      </c>
      <c r="CK486">
        <v>21</v>
      </c>
      <c r="CL486" t="s">
        <v>87</v>
      </c>
    </row>
    <row r="487" spans="1:90" x14ac:dyDescent="0.3">
      <c r="A487" t="s">
        <v>72</v>
      </c>
      <c r="B487" t="s">
        <v>73</v>
      </c>
      <c r="C487" t="s">
        <v>74</v>
      </c>
      <c r="E487" t="str">
        <f>"080069671017"</f>
        <v>080069671017</v>
      </c>
      <c r="F487" s="3">
        <v>45995</v>
      </c>
      <c r="G487">
        <v>202609</v>
      </c>
      <c r="H487" t="s">
        <v>75</v>
      </c>
      <c r="I487" t="s">
        <v>76</v>
      </c>
      <c r="J487" t="s">
        <v>77</v>
      </c>
      <c r="K487" t="s">
        <v>78</v>
      </c>
      <c r="L487" t="s">
        <v>141</v>
      </c>
      <c r="M487" t="s">
        <v>142</v>
      </c>
      <c r="N487" t="s">
        <v>1171</v>
      </c>
      <c r="O487" t="s">
        <v>89</v>
      </c>
      <c r="P487" t="str">
        <f>"4170071746                    "</f>
        <v xml:space="preserve">4170071746                    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25.52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1</v>
      </c>
      <c r="BI487">
        <v>1</v>
      </c>
      <c r="BJ487">
        <v>0.2</v>
      </c>
      <c r="BK487">
        <v>1</v>
      </c>
      <c r="BL487">
        <v>76.06</v>
      </c>
      <c r="BM487">
        <v>11.41</v>
      </c>
      <c r="BN487">
        <v>87.47</v>
      </c>
      <c r="BO487">
        <v>87.47</v>
      </c>
      <c r="BQ487" t="s">
        <v>1172</v>
      </c>
      <c r="BR487" t="s">
        <v>82</v>
      </c>
      <c r="BS487" s="3">
        <v>45996</v>
      </c>
      <c r="BT487" s="4">
        <v>0.40416666666666667</v>
      </c>
      <c r="BU487" t="s">
        <v>1173</v>
      </c>
      <c r="BV487" t="s">
        <v>84</v>
      </c>
      <c r="BY487">
        <v>1200</v>
      </c>
      <c r="CA487" t="s">
        <v>569</v>
      </c>
      <c r="CC487" t="s">
        <v>142</v>
      </c>
      <c r="CD487">
        <v>6001</v>
      </c>
      <c r="CE487" t="s">
        <v>134</v>
      </c>
      <c r="CF487" s="3">
        <v>45996</v>
      </c>
      <c r="CI487">
        <v>1</v>
      </c>
      <c r="CJ487">
        <v>1</v>
      </c>
      <c r="CK487">
        <v>21</v>
      </c>
      <c r="CL487" t="s">
        <v>87</v>
      </c>
    </row>
    <row r="488" spans="1:90" x14ac:dyDescent="0.3">
      <c r="A488" t="s">
        <v>72</v>
      </c>
      <c r="B488" t="s">
        <v>73</v>
      </c>
      <c r="C488" t="s">
        <v>74</v>
      </c>
      <c r="E488" t="str">
        <f>"080069671061"</f>
        <v>080069671061</v>
      </c>
      <c r="F488" s="3">
        <v>45995</v>
      </c>
      <c r="G488">
        <v>202609</v>
      </c>
      <c r="H488" t="s">
        <v>75</v>
      </c>
      <c r="I488" t="s">
        <v>76</v>
      </c>
      <c r="J488" t="s">
        <v>77</v>
      </c>
      <c r="K488" t="s">
        <v>78</v>
      </c>
      <c r="L488" t="s">
        <v>94</v>
      </c>
      <c r="M488" t="s">
        <v>95</v>
      </c>
      <c r="N488" t="s">
        <v>1174</v>
      </c>
      <c r="O488" t="s">
        <v>89</v>
      </c>
      <c r="P488" t="str">
        <f>"4170071740                    "</f>
        <v xml:space="preserve">4170071740                    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25.52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1</v>
      </c>
      <c r="BI488">
        <v>1</v>
      </c>
      <c r="BJ488">
        <v>0.2</v>
      </c>
      <c r="BK488">
        <v>1</v>
      </c>
      <c r="BL488">
        <v>76.06</v>
      </c>
      <c r="BM488">
        <v>11.41</v>
      </c>
      <c r="BN488">
        <v>87.47</v>
      </c>
      <c r="BO488">
        <v>87.47</v>
      </c>
      <c r="BQ488" t="s">
        <v>1175</v>
      </c>
      <c r="BR488" t="s">
        <v>82</v>
      </c>
      <c r="BS488" s="3">
        <v>45996</v>
      </c>
      <c r="BT488" s="4">
        <v>0.51041666666666663</v>
      </c>
      <c r="BU488" t="s">
        <v>1176</v>
      </c>
      <c r="BV488" t="s">
        <v>87</v>
      </c>
      <c r="BW488" t="s">
        <v>246</v>
      </c>
      <c r="BX488" t="s">
        <v>294</v>
      </c>
      <c r="BY488">
        <v>1200</v>
      </c>
      <c r="CA488" t="s">
        <v>1177</v>
      </c>
      <c r="CC488" t="s">
        <v>95</v>
      </c>
      <c r="CD488">
        <v>4037</v>
      </c>
      <c r="CE488" t="s">
        <v>134</v>
      </c>
      <c r="CF488" s="3">
        <v>45996</v>
      </c>
      <c r="CI488">
        <v>1</v>
      </c>
      <c r="CJ488">
        <v>1</v>
      </c>
      <c r="CK488">
        <v>21</v>
      </c>
      <c r="CL488" t="s">
        <v>87</v>
      </c>
    </row>
    <row r="489" spans="1:90" x14ac:dyDescent="0.3">
      <c r="A489" t="s">
        <v>72</v>
      </c>
      <c r="B489" t="s">
        <v>73</v>
      </c>
      <c r="C489" t="s">
        <v>74</v>
      </c>
      <c r="E489" t="str">
        <f>"080069671091"</f>
        <v>080069671091</v>
      </c>
      <c r="F489" s="3">
        <v>45995</v>
      </c>
      <c r="G489">
        <v>202609</v>
      </c>
      <c r="H489" t="s">
        <v>75</v>
      </c>
      <c r="I489" t="s">
        <v>76</v>
      </c>
      <c r="J489" t="s">
        <v>77</v>
      </c>
      <c r="K489" t="s">
        <v>78</v>
      </c>
      <c r="L489" t="s">
        <v>546</v>
      </c>
      <c r="M489" t="s">
        <v>547</v>
      </c>
      <c r="N489" t="s">
        <v>570</v>
      </c>
      <c r="O489" t="s">
        <v>89</v>
      </c>
      <c r="P489" t="str">
        <f>"4170071784                    "</f>
        <v xml:space="preserve">4170071784                    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49.45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1</v>
      </c>
      <c r="BI489">
        <v>0.2</v>
      </c>
      <c r="BJ489">
        <v>0.7</v>
      </c>
      <c r="BK489">
        <v>1</v>
      </c>
      <c r="BL489">
        <v>147.38</v>
      </c>
      <c r="BM489">
        <v>22.11</v>
      </c>
      <c r="BN489">
        <v>169.49</v>
      </c>
      <c r="BO489">
        <v>169.49</v>
      </c>
      <c r="BQ489" t="s">
        <v>571</v>
      </c>
      <c r="BR489" t="s">
        <v>82</v>
      </c>
      <c r="BS489" s="3">
        <v>45996</v>
      </c>
      <c r="BT489" s="4">
        <v>0.43680555555555556</v>
      </c>
      <c r="BU489" t="s">
        <v>572</v>
      </c>
      <c r="BV489" t="s">
        <v>84</v>
      </c>
      <c r="BY489">
        <v>3423.7</v>
      </c>
      <c r="CA489">
        <v>9703035538081</v>
      </c>
      <c r="CC489" t="s">
        <v>547</v>
      </c>
      <c r="CD489">
        <v>2302</v>
      </c>
      <c r="CE489" t="s">
        <v>134</v>
      </c>
      <c r="CI489">
        <v>1</v>
      </c>
      <c r="CJ489">
        <v>1</v>
      </c>
      <c r="CK489">
        <v>23</v>
      </c>
      <c r="CL489" t="s">
        <v>87</v>
      </c>
    </row>
    <row r="490" spans="1:90" x14ac:dyDescent="0.3">
      <c r="A490" t="s">
        <v>72</v>
      </c>
      <c r="B490" t="s">
        <v>73</v>
      </c>
      <c r="C490" t="s">
        <v>74</v>
      </c>
      <c r="E490" t="str">
        <f>"080069671103"</f>
        <v>080069671103</v>
      </c>
      <c r="F490" s="3">
        <v>45995</v>
      </c>
      <c r="G490">
        <v>202609</v>
      </c>
      <c r="H490" t="s">
        <v>75</v>
      </c>
      <c r="I490" t="s">
        <v>76</v>
      </c>
      <c r="J490" t="s">
        <v>77</v>
      </c>
      <c r="K490" t="s">
        <v>78</v>
      </c>
      <c r="L490" t="s">
        <v>465</v>
      </c>
      <c r="M490" t="s">
        <v>466</v>
      </c>
      <c r="N490" t="s">
        <v>1178</v>
      </c>
      <c r="O490" t="s">
        <v>89</v>
      </c>
      <c r="P490" t="str">
        <f>"4170071700                    "</f>
        <v xml:space="preserve">4170071700                    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19.940000000000001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1</v>
      </c>
      <c r="BI490">
        <v>2</v>
      </c>
      <c r="BJ490">
        <v>1.8</v>
      </c>
      <c r="BK490">
        <v>2</v>
      </c>
      <c r="BL490">
        <v>59.42</v>
      </c>
      <c r="BM490">
        <v>8.91</v>
      </c>
      <c r="BN490">
        <v>68.33</v>
      </c>
      <c r="BO490">
        <v>68.33</v>
      </c>
      <c r="BQ490" t="s">
        <v>1179</v>
      </c>
      <c r="BR490" t="s">
        <v>82</v>
      </c>
      <c r="BS490" s="3">
        <v>45996</v>
      </c>
      <c r="BT490" s="4">
        <v>0.38541666666666669</v>
      </c>
      <c r="BU490" t="s">
        <v>1180</v>
      </c>
      <c r="BV490" t="s">
        <v>84</v>
      </c>
      <c r="BY490">
        <v>8816</v>
      </c>
      <c r="CA490" t="s">
        <v>720</v>
      </c>
      <c r="CC490" t="s">
        <v>466</v>
      </c>
      <c r="CD490">
        <v>1422</v>
      </c>
      <c r="CE490" t="s">
        <v>86</v>
      </c>
      <c r="CF490" s="3">
        <v>45997</v>
      </c>
      <c r="CI490">
        <v>1</v>
      </c>
      <c r="CJ490">
        <v>1</v>
      </c>
      <c r="CK490">
        <v>22</v>
      </c>
      <c r="CL490" t="s">
        <v>87</v>
      </c>
    </row>
    <row r="491" spans="1:90" x14ac:dyDescent="0.3">
      <c r="A491" t="s">
        <v>72</v>
      </c>
      <c r="B491" t="s">
        <v>73</v>
      </c>
      <c r="C491" t="s">
        <v>74</v>
      </c>
      <c r="E491" t="str">
        <f>"080069671146"</f>
        <v>080069671146</v>
      </c>
      <c r="F491" s="3">
        <v>45995</v>
      </c>
      <c r="G491">
        <v>202609</v>
      </c>
      <c r="H491" t="s">
        <v>75</v>
      </c>
      <c r="I491" t="s">
        <v>76</v>
      </c>
      <c r="J491" t="s">
        <v>77</v>
      </c>
      <c r="K491" t="s">
        <v>78</v>
      </c>
      <c r="L491" t="s">
        <v>156</v>
      </c>
      <c r="M491" t="s">
        <v>157</v>
      </c>
      <c r="N491" t="s">
        <v>742</v>
      </c>
      <c r="O491" t="s">
        <v>89</v>
      </c>
      <c r="P491" t="str">
        <f>"4170071877                    "</f>
        <v xml:space="preserve">4170071877                    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25.52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1</v>
      </c>
      <c r="BI491">
        <v>1</v>
      </c>
      <c r="BJ491">
        <v>0.2</v>
      </c>
      <c r="BK491">
        <v>1</v>
      </c>
      <c r="BL491">
        <v>76.06</v>
      </c>
      <c r="BM491">
        <v>11.41</v>
      </c>
      <c r="BN491">
        <v>87.47</v>
      </c>
      <c r="BO491">
        <v>87.47</v>
      </c>
      <c r="BQ491" t="s">
        <v>743</v>
      </c>
      <c r="BR491" t="s">
        <v>82</v>
      </c>
      <c r="BS491" s="3">
        <v>45996</v>
      </c>
      <c r="BT491" s="4">
        <v>0.43402777777777779</v>
      </c>
      <c r="BU491" t="s">
        <v>981</v>
      </c>
      <c r="BV491" t="s">
        <v>84</v>
      </c>
      <c r="BY491">
        <v>1200</v>
      </c>
      <c r="CA491" t="s">
        <v>264</v>
      </c>
      <c r="CC491" t="s">
        <v>157</v>
      </c>
      <c r="CD491">
        <v>8001</v>
      </c>
      <c r="CE491" t="s">
        <v>134</v>
      </c>
      <c r="CF491" s="3">
        <v>45999</v>
      </c>
      <c r="CI491">
        <v>1</v>
      </c>
      <c r="CJ491">
        <v>1</v>
      </c>
      <c r="CK491">
        <v>21</v>
      </c>
      <c r="CL491" t="s">
        <v>87</v>
      </c>
    </row>
    <row r="492" spans="1:90" x14ac:dyDescent="0.3">
      <c r="A492" t="s">
        <v>72</v>
      </c>
      <c r="B492" t="s">
        <v>73</v>
      </c>
      <c r="C492" t="s">
        <v>74</v>
      </c>
      <c r="E492" t="str">
        <f>"080069671171"</f>
        <v>080069671171</v>
      </c>
      <c r="F492" s="3">
        <v>45995</v>
      </c>
      <c r="G492">
        <v>202609</v>
      </c>
      <c r="H492" t="s">
        <v>75</v>
      </c>
      <c r="I492" t="s">
        <v>76</v>
      </c>
      <c r="J492" t="s">
        <v>77</v>
      </c>
      <c r="K492" t="s">
        <v>78</v>
      </c>
      <c r="L492" t="s">
        <v>120</v>
      </c>
      <c r="M492" t="s">
        <v>121</v>
      </c>
      <c r="N492" t="s">
        <v>163</v>
      </c>
      <c r="O492" t="s">
        <v>89</v>
      </c>
      <c r="P492" t="str">
        <f>"4170071767                    "</f>
        <v xml:space="preserve">4170071767                    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25.52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1</v>
      </c>
      <c r="BI492">
        <v>1</v>
      </c>
      <c r="BJ492">
        <v>0.2</v>
      </c>
      <c r="BK492">
        <v>1</v>
      </c>
      <c r="BL492">
        <v>76.06</v>
      </c>
      <c r="BM492">
        <v>11.41</v>
      </c>
      <c r="BN492">
        <v>87.47</v>
      </c>
      <c r="BO492">
        <v>87.47</v>
      </c>
      <c r="BQ492" t="s">
        <v>164</v>
      </c>
      <c r="BR492" t="s">
        <v>82</v>
      </c>
      <c r="BS492" s="3">
        <v>45996</v>
      </c>
      <c r="BT492" s="4">
        <v>0.39930555555555558</v>
      </c>
      <c r="BU492" t="s">
        <v>165</v>
      </c>
      <c r="BV492" t="s">
        <v>84</v>
      </c>
      <c r="BY492">
        <v>1200</v>
      </c>
      <c r="CA492" t="s">
        <v>126</v>
      </c>
      <c r="CC492" t="s">
        <v>121</v>
      </c>
      <c r="CD492">
        <v>6230</v>
      </c>
      <c r="CE492" t="s">
        <v>134</v>
      </c>
      <c r="CF492" s="3">
        <v>45996</v>
      </c>
      <c r="CI492">
        <v>1</v>
      </c>
      <c r="CJ492">
        <v>1</v>
      </c>
      <c r="CK492">
        <v>21</v>
      </c>
      <c r="CL492" t="s">
        <v>87</v>
      </c>
    </row>
    <row r="493" spans="1:90" x14ac:dyDescent="0.3">
      <c r="A493" t="s">
        <v>72</v>
      </c>
      <c r="B493" t="s">
        <v>73</v>
      </c>
      <c r="C493" t="s">
        <v>74</v>
      </c>
      <c r="E493" t="str">
        <f>"080069671173"</f>
        <v>080069671173</v>
      </c>
      <c r="F493" s="3">
        <v>45995</v>
      </c>
      <c r="G493">
        <v>202609</v>
      </c>
      <c r="H493" t="s">
        <v>75</v>
      </c>
      <c r="I493" t="s">
        <v>76</v>
      </c>
      <c r="J493" t="s">
        <v>77</v>
      </c>
      <c r="K493" t="s">
        <v>78</v>
      </c>
      <c r="L493" t="s">
        <v>156</v>
      </c>
      <c r="M493" t="s">
        <v>157</v>
      </c>
      <c r="N493" t="s">
        <v>1181</v>
      </c>
      <c r="O493" t="s">
        <v>89</v>
      </c>
      <c r="P493" t="str">
        <f>"4170071262                    "</f>
        <v xml:space="preserve">4170071262                    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31.9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1</v>
      </c>
      <c r="BI493">
        <v>1</v>
      </c>
      <c r="BJ493">
        <v>2.4</v>
      </c>
      <c r="BK493">
        <v>2.5</v>
      </c>
      <c r="BL493">
        <v>95.07</v>
      </c>
      <c r="BM493">
        <v>14.26</v>
      </c>
      <c r="BN493">
        <v>109.33</v>
      </c>
      <c r="BO493">
        <v>109.33</v>
      </c>
      <c r="BQ493" t="s">
        <v>1182</v>
      </c>
      <c r="BR493" t="s">
        <v>82</v>
      </c>
      <c r="BS493" s="3">
        <v>45996</v>
      </c>
      <c r="BT493" s="4">
        <v>0.47916666666666669</v>
      </c>
      <c r="BU493" t="s">
        <v>1183</v>
      </c>
      <c r="BV493" t="s">
        <v>84</v>
      </c>
      <c r="BY493">
        <v>12012</v>
      </c>
      <c r="CA493" t="s">
        <v>1184</v>
      </c>
      <c r="CC493" t="s">
        <v>157</v>
      </c>
      <c r="CD493">
        <v>7945</v>
      </c>
      <c r="CE493" t="s">
        <v>93</v>
      </c>
      <c r="CF493" s="3">
        <v>45999</v>
      </c>
      <c r="CI493">
        <v>1</v>
      </c>
      <c r="CJ493">
        <v>1</v>
      </c>
      <c r="CK493">
        <v>21</v>
      </c>
      <c r="CL493" t="s">
        <v>87</v>
      </c>
    </row>
    <row r="494" spans="1:90" x14ac:dyDescent="0.3">
      <c r="A494" t="s">
        <v>72</v>
      </c>
      <c r="B494" t="s">
        <v>73</v>
      </c>
      <c r="C494" t="s">
        <v>74</v>
      </c>
      <c r="E494" t="str">
        <f>"080069671204"</f>
        <v>080069671204</v>
      </c>
      <c r="F494" s="3">
        <v>45995</v>
      </c>
      <c r="G494">
        <v>202609</v>
      </c>
      <c r="H494" t="s">
        <v>75</v>
      </c>
      <c r="I494" t="s">
        <v>76</v>
      </c>
      <c r="J494" t="s">
        <v>77</v>
      </c>
      <c r="K494" t="s">
        <v>78</v>
      </c>
      <c r="L494" t="s">
        <v>75</v>
      </c>
      <c r="M494" t="s">
        <v>76</v>
      </c>
      <c r="N494" t="s">
        <v>854</v>
      </c>
      <c r="O494" t="s">
        <v>89</v>
      </c>
      <c r="P494" t="str">
        <f>"4170071369                    "</f>
        <v xml:space="preserve">4170071369                    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19.940000000000001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1</v>
      </c>
      <c r="BI494">
        <v>2</v>
      </c>
      <c r="BJ494">
        <v>1.9</v>
      </c>
      <c r="BK494">
        <v>2</v>
      </c>
      <c r="BL494">
        <v>59.42</v>
      </c>
      <c r="BM494">
        <v>8.91</v>
      </c>
      <c r="BN494">
        <v>68.33</v>
      </c>
      <c r="BO494">
        <v>68.33</v>
      </c>
      <c r="BQ494" t="s">
        <v>855</v>
      </c>
      <c r="BR494" t="s">
        <v>82</v>
      </c>
      <c r="BS494" s="3">
        <v>45996</v>
      </c>
      <c r="BT494" s="4">
        <v>0.40277777777777779</v>
      </c>
      <c r="BU494" t="s">
        <v>1185</v>
      </c>
      <c r="BV494" t="s">
        <v>84</v>
      </c>
      <c r="BY494">
        <v>9600</v>
      </c>
      <c r="CA494" t="s">
        <v>92</v>
      </c>
      <c r="CC494" t="s">
        <v>76</v>
      </c>
      <c r="CD494">
        <v>1618</v>
      </c>
      <c r="CE494" t="s">
        <v>86</v>
      </c>
      <c r="CF494" s="3">
        <v>45997</v>
      </c>
      <c r="CI494">
        <v>1</v>
      </c>
      <c r="CJ494">
        <v>1</v>
      </c>
      <c r="CK494">
        <v>22</v>
      </c>
      <c r="CL494" t="s">
        <v>87</v>
      </c>
    </row>
    <row r="495" spans="1:90" x14ac:dyDescent="0.3">
      <c r="A495" t="s">
        <v>72</v>
      </c>
      <c r="B495" t="s">
        <v>73</v>
      </c>
      <c r="C495" t="s">
        <v>74</v>
      </c>
      <c r="E495" t="str">
        <f>"080069671387"</f>
        <v>080069671387</v>
      </c>
      <c r="F495" s="3">
        <v>45995</v>
      </c>
      <c r="G495">
        <v>202609</v>
      </c>
      <c r="H495" t="s">
        <v>75</v>
      </c>
      <c r="I495" t="s">
        <v>76</v>
      </c>
      <c r="J495" t="s">
        <v>77</v>
      </c>
      <c r="K495" t="s">
        <v>78</v>
      </c>
      <c r="L495" t="s">
        <v>533</v>
      </c>
      <c r="M495" t="s">
        <v>533</v>
      </c>
      <c r="N495" t="s">
        <v>1091</v>
      </c>
      <c r="O495" t="s">
        <v>89</v>
      </c>
      <c r="P495" t="str">
        <f>"4170071895                    "</f>
        <v xml:space="preserve">4170071895                    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49.45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1</v>
      </c>
      <c r="BI495">
        <v>1</v>
      </c>
      <c r="BJ495">
        <v>0.2</v>
      </c>
      <c r="BK495">
        <v>1</v>
      </c>
      <c r="BL495">
        <v>147.38</v>
      </c>
      <c r="BM495">
        <v>22.11</v>
      </c>
      <c r="BN495">
        <v>169.49</v>
      </c>
      <c r="BO495">
        <v>169.49</v>
      </c>
      <c r="BQ495" t="s">
        <v>1092</v>
      </c>
      <c r="BR495" t="s">
        <v>82</v>
      </c>
      <c r="BS495" s="3">
        <v>45996</v>
      </c>
      <c r="BT495" s="4">
        <v>0.73888888888888893</v>
      </c>
      <c r="BU495" t="s">
        <v>765</v>
      </c>
      <c r="BV495" t="s">
        <v>87</v>
      </c>
      <c r="BW495" t="s">
        <v>153</v>
      </c>
      <c r="BX495" t="s">
        <v>345</v>
      </c>
      <c r="BY495">
        <v>1200</v>
      </c>
      <c r="CA495" t="s">
        <v>537</v>
      </c>
      <c r="CC495" t="s">
        <v>533</v>
      </c>
      <c r="CD495">
        <v>7646</v>
      </c>
      <c r="CE495" t="s">
        <v>134</v>
      </c>
      <c r="CI495">
        <v>1</v>
      </c>
      <c r="CJ495">
        <v>1</v>
      </c>
      <c r="CK495">
        <v>23</v>
      </c>
      <c r="CL495" t="s">
        <v>87</v>
      </c>
    </row>
    <row r="496" spans="1:90" x14ac:dyDescent="0.3">
      <c r="A496" t="s">
        <v>72</v>
      </c>
      <c r="B496" t="s">
        <v>73</v>
      </c>
      <c r="C496" t="s">
        <v>74</v>
      </c>
      <c r="E496" t="str">
        <f>"080069671392"</f>
        <v>080069671392</v>
      </c>
      <c r="F496" s="3">
        <v>45995</v>
      </c>
      <c r="G496">
        <v>202609</v>
      </c>
      <c r="H496" t="s">
        <v>75</v>
      </c>
      <c r="I496" t="s">
        <v>76</v>
      </c>
      <c r="J496" t="s">
        <v>77</v>
      </c>
      <c r="K496" t="s">
        <v>78</v>
      </c>
      <c r="L496" t="s">
        <v>100</v>
      </c>
      <c r="M496" t="s">
        <v>101</v>
      </c>
      <c r="N496" t="s">
        <v>102</v>
      </c>
      <c r="O496" t="s">
        <v>89</v>
      </c>
      <c r="P496" t="str">
        <f>"4170071799                    "</f>
        <v xml:space="preserve">4170071799                    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25.52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1</v>
      </c>
      <c r="BI496">
        <v>2</v>
      </c>
      <c r="BJ496">
        <v>1.7</v>
      </c>
      <c r="BK496">
        <v>2</v>
      </c>
      <c r="BL496">
        <v>76.06</v>
      </c>
      <c r="BM496">
        <v>11.41</v>
      </c>
      <c r="BN496">
        <v>87.47</v>
      </c>
      <c r="BO496">
        <v>87.47</v>
      </c>
      <c r="BQ496" t="s">
        <v>103</v>
      </c>
      <c r="BR496" t="s">
        <v>82</v>
      </c>
      <c r="BS496" s="3">
        <v>45996</v>
      </c>
      <c r="BT496" s="4">
        <v>0.35347222222222224</v>
      </c>
      <c r="BU496" t="s">
        <v>1186</v>
      </c>
      <c r="BV496" t="s">
        <v>84</v>
      </c>
      <c r="BY496">
        <v>8640</v>
      </c>
      <c r="CA496" t="s">
        <v>107</v>
      </c>
      <c r="CC496" t="s">
        <v>101</v>
      </c>
      <c r="CD496">
        <v>4051</v>
      </c>
      <c r="CE496" t="s">
        <v>93</v>
      </c>
      <c r="CF496" s="3">
        <v>45996</v>
      </c>
      <c r="CI496">
        <v>1</v>
      </c>
      <c r="CJ496">
        <v>1</v>
      </c>
      <c r="CK496">
        <v>21</v>
      </c>
      <c r="CL496" t="s">
        <v>87</v>
      </c>
    </row>
    <row r="497" spans="1:90" x14ac:dyDescent="0.3">
      <c r="A497" t="s">
        <v>72</v>
      </c>
      <c r="B497" t="s">
        <v>73</v>
      </c>
      <c r="C497" t="s">
        <v>74</v>
      </c>
      <c r="E497" t="str">
        <f>"080069671481"</f>
        <v>080069671481</v>
      </c>
      <c r="F497" s="3">
        <v>45995</v>
      </c>
      <c r="G497">
        <v>202609</v>
      </c>
      <c r="H497" t="s">
        <v>75</v>
      </c>
      <c r="I497" t="s">
        <v>76</v>
      </c>
      <c r="J497" t="s">
        <v>77</v>
      </c>
      <c r="K497" t="s">
        <v>78</v>
      </c>
      <c r="L497" t="s">
        <v>302</v>
      </c>
      <c r="M497" t="s">
        <v>303</v>
      </c>
      <c r="N497" t="s">
        <v>1187</v>
      </c>
      <c r="O497" t="s">
        <v>89</v>
      </c>
      <c r="P497" t="str">
        <f>"4170071764                    "</f>
        <v xml:space="preserve">4170071764                    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25.52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1</v>
      </c>
      <c r="BI497">
        <v>0.2</v>
      </c>
      <c r="BJ497">
        <v>0.9</v>
      </c>
      <c r="BK497">
        <v>1</v>
      </c>
      <c r="BL497">
        <v>76.06</v>
      </c>
      <c r="BM497">
        <v>11.41</v>
      </c>
      <c r="BN497">
        <v>87.47</v>
      </c>
      <c r="BO497">
        <v>87.47</v>
      </c>
      <c r="BQ497" t="s">
        <v>1188</v>
      </c>
      <c r="BR497" t="s">
        <v>82</v>
      </c>
      <c r="BS497" s="3">
        <v>45996</v>
      </c>
      <c r="BT497" s="4">
        <v>0.36388888888888887</v>
      </c>
      <c r="BU497" t="s">
        <v>1189</v>
      </c>
      <c r="BV497" t="s">
        <v>84</v>
      </c>
      <c r="BY497">
        <v>4579.5</v>
      </c>
      <c r="CA497">
        <v>9103185460089</v>
      </c>
      <c r="CC497" t="s">
        <v>303</v>
      </c>
      <c r="CD497" s="5" t="s">
        <v>1190</v>
      </c>
      <c r="CE497" t="s">
        <v>134</v>
      </c>
      <c r="CF497" s="3">
        <v>45996</v>
      </c>
      <c r="CI497">
        <v>1</v>
      </c>
      <c r="CJ497">
        <v>1</v>
      </c>
      <c r="CK497">
        <v>21</v>
      </c>
      <c r="CL497" t="s">
        <v>87</v>
      </c>
    </row>
    <row r="498" spans="1:90" x14ac:dyDescent="0.3">
      <c r="A498" t="s">
        <v>72</v>
      </c>
      <c r="B498" t="s">
        <v>73</v>
      </c>
      <c r="C498" t="s">
        <v>74</v>
      </c>
      <c r="E498" t="str">
        <f>"080069671495"</f>
        <v>080069671495</v>
      </c>
      <c r="F498" s="3">
        <v>45995</v>
      </c>
      <c r="G498">
        <v>202609</v>
      </c>
      <c r="H498" t="s">
        <v>75</v>
      </c>
      <c r="I498" t="s">
        <v>76</v>
      </c>
      <c r="J498" t="s">
        <v>77</v>
      </c>
      <c r="K498" t="s">
        <v>78</v>
      </c>
      <c r="L498" t="s">
        <v>482</v>
      </c>
      <c r="M498" t="s">
        <v>483</v>
      </c>
      <c r="N498" t="s">
        <v>1069</v>
      </c>
      <c r="O498" t="s">
        <v>89</v>
      </c>
      <c r="P498" t="str">
        <f>"4170071915                    "</f>
        <v xml:space="preserve">4170071915                    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94.12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1</v>
      </c>
      <c r="BI498">
        <v>2.2999999999999998</v>
      </c>
      <c r="BJ498">
        <v>3.7</v>
      </c>
      <c r="BK498">
        <v>4</v>
      </c>
      <c r="BL498">
        <v>280.49</v>
      </c>
      <c r="BM498">
        <v>42.07</v>
      </c>
      <c r="BN498">
        <v>322.56</v>
      </c>
      <c r="BO498">
        <v>322.56</v>
      </c>
      <c r="BQ498" t="s">
        <v>1070</v>
      </c>
      <c r="BR498" t="s">
        <v>82</v>
      </c>
      <c r="BS498" t="s">
        <v>500</v>
      </c>
      <c r="BY498">
        <v>18276.16</v>
      </c>
      <c r="CC498" t="s">
        <v>483</v>
      </c>
      <c r="CD498">
        <v>1871</v>
      </c>
      <c r="CE498" t="s">
        <v>86</v>
      </c>
      <c r="CI498">
        <v>1</v>
      </c>
      <c r="CJ498" t="s">
        <v>500</v>
      </c>
      <c r="CK498">
        <v>23</v>
      </c>
      <c r="CL498" t="s">
        <v>87</v>
      </c>
    </row>
    <row r="499" spans="1:90" x14ac:dyDescent="0.3">
      <c r="A499" t="s">
        <v>72</v>
      </c>
      <c r="B499" t="s">
        <v>73</v>
      </c>
      <c r="C499" t="s">
        <v>74</v>
      </c>
      <c r="E499" t="str">
        <f>"080069671599"</f>
        <v>080069671599</v>
      </c>
      <c r="F499" s="3">
        <v>45995</v>
      </c>
      <c r="G499">
        <v>202609</v>
      </c>
      <c r="H499" t="s">
        <v>75</v>
      </c>
      <c r="I499" t="s">
        <v>76</v>
      </c>
      <c r="J499" t="s">
        <v>77</v>
      </c>
      <c r="K499" t="s">
        <v>78</v>
      </c>
      <c r="L499" t="s">
        <v>156</v>
      </c>
      <c r="M499" t="s">
        <v>157</v>
      </c>
      <c r="N499" t="s">
        <v>446</v>
      </c>
      <c r="O499" t="s">
        <v>89</v>
      </c>
      <c r="P499" t="str">
        <f>"4170071908                    "</f>
        <v xml:space="preserve">4170071908                    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25.52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1</v>
      </c>
      <c r="BI499">
        <v>1</v>
      </c>
      <c r="BJ499">
        <v>0.2</v>
      </c>
      <c r="BK499">
        <v>1</v>
      </c>
      <c r="BL499">
        <v>76.06</v>
      </c>
      <c r="BM499">
        <v>11.41</v>
      </c>
      <c r="BN499">
        <v>87.47</v>
      </c>
      <c r="BO499">
        <v>87.47</v>
      </c>
      <c r="BQ499" t="s">
        <v>447</v>
      </c>
      <c r="BR499" t="s">
        <v>82</v>
      </c>
      <c r="BS499" s="3">
        <v>45996</v>
      </c>
      <c r="BT499" s="4">
        <v>0.56527777777777777</v>
      </c>
      <c r="BU499" t="s">
        <v>1191</v>
      </c>
      <c r="BV499" t="s">
        <v>87</v>
      </c>
      <c r="BW499" t="s">
        <v>153</v>
      </c>
      <c r="BX499" t="s">
        <v>979</v>
      </c>
      <c r="BY499">
        <v>1200</v>
      </c>
      <c r="CA499" t="s">
        <v>1192</v>
      </c>
      <c r="CC499" t="s">
        <v>157</v>
      </c>
      <c r="CD499">
        <v>7530</v>
      </c>
      <c r="CE499" t="s">
        <v>134</v>
      </c>
      <c r="CI499">
        <v>1</v>
      </c>
      <c r="CJ499">
        <v>1</v>
      </c>
      <c r="CK499">
        <v>21</v>
      </c>
      <c r="CL499" t="s">
        <v>87</v>
      </c>
    </row>
    <row r="500" spans="1:90" x14ac:dyDescent="0.3">
      <c r="A500" t="s">
        <v>72</v>
      </c>
      <c r="B500" t="s">
        <v>73</v>
      </c>
      <c r="C500" t="s">
        <v>74</v>
      </c>
      <c r="E500" t="str">
        <f>"080069671768"</f>
        <v>080069671768</v>
      </c>
      <c r="F500" s="3">
        <v>45995</v>
      </c>
      <c r="G500">
        <v>202609</v>
      </c>
      <c r="H500" t="s">
        <v>75</v>
      </c>
      <c r="I500" t="s">
        <v>76</v>
      </c>
      <c r="J500" t="s">
        <v>77</v>
      </c>
      <c r="K500" t="s">
        <v>78</v>
      </c>
      <c r="L500" t="s">
        <v>202</v>
      </c>
      <c r="M500" t="s">
        <v>203</v>
      </c>
      <c r="N500" t="s">
        <v>204</v>
      </c>
      <c r="O500" t="s">
        <v>89</v>
      </c>
      <c r="P500" t="str">
        <f>"4170071902                    "</f>
        <v xml:space="preserve">4170071902                    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60.62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1</v>
      </c>
      <c r="BI500">
        <v>1.5</v>
      </c>
      <c r="BJ500">
        <v>2.2999999999999998</v>
      </c>
      <c r="BK500">
        <v>2.5</v>
      </c>
      <c r="BL500">
        <v>180.66</v>
      </c>
      <c r="BM500">
        <v>27.1</v>
      </c>
      <c r="BN500">
        <v>207.76</v>
      </c>
      <c r="BO500">
        <v>207.76</v>
      </c>
      <c r="BQ500" t="s">
        <v>205</v>
      </c>
      <c r="BR500" t="s">
        <v>82</v>
      </c>
      <c r="BS500" s="3">
        <v>45996</v>
      </c>
      <c r="BT500" s="4">
        <v>0.40347222222222223</v>
      </c>
      <c r="BU500" t="s">
        <v>1193</v>
      </c>
      <c r="BV500" t="s">
        <v>84</v>
      </c>
      <c r="BY500">
        <v>11298.42</v>
      </c>
      <c r="CA500">
        <v>7908245451080</v>
      </c>
      <c r="CC500" t="s">
        <v>203</v>
      </c>
      <c r="CD500">
        <v>2531</v>
      </c>
      <c r="CE500" t="s">
        <v>134</v>
      </c>
      <c r="CI500">
        <v>1</v>
      </c>
      <c r="CJ500">
        <v>1</v>
      </c>
      <c r="CK500">
        <v>23</v>
      </c>
      <c r="CL500" t="s">
        <v>87</v>
      </c>
    </row>
    <row r="501" spans="1:90" x14ac:dyDescent="0.3">
      <c r="A501" t="s">
        <v>72</v>
      </c>
      <c r="B501" t="s">
        <v>73</v>
      </c>
      <c r="C501" t="s">
        <v>74</v>
      </c>
      <c r="E501" t="str">
        <f>"080069671790"</f>
        <v>080069671790</v>
      </c>
      <c r="F501" s="3">
        <v>45995</v>
      </c>
      <c r="G501">
        <v>202609</v>
      </c>
      <c r="H501" t="s">
        <v>75</v>
      </c>
      <c r="I501" t="s">
        <v>76</v>
      </c>
      <c r="J501" t="s">
        <v>77</v>
      </c>
      <c r="K501" t="s">
        <v>78</v>
      </c>
      <c r="L501" t="s">
        <v>332</v>
      </c>
      <c r="M501" t="s">
        <v>333</v>
      </c>
      <c r="N501" t="s">
        <v>334</v>
      </c>
      <c r="O501" t="s">
        <v>89</v>
      </c>
      <c r="P501" t="str">
        <f>"4170071771                    "</f>
        <v xml:space="preserve">4170071771                    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49.45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1</v>
      </c>
      <c r="BI501">
        <v>1</v>
      </c>
      <c r="BJ501">
        <v>1.1000000000000001</v>
      </c>
      <c r="BK501">
        <v>1.5</v>
      </c>
      <c r="BL501">
        <v>147.38</v>
      </c>
      <c r="BM501">
        <v>22.11</v>
      </c>
      <c r="BN501">
        <v>169.49</v>
      </c>
      <c r="BO501">
        <v>169.49</v>
      </c>
      <c r="BQ501" t="s">
        <v>335</v>
      </c>
      <c r="BR501" t="s">
        <v>82</v>
      </c>
      <c r="BS501" s="3">
        <v>45996</v>
      </c>
      <c r="BT501" s="4">
        <v>0.59097222222222223</v>
      </c>
      <c r="BU501" t="s">
        <v>1194</v>
      </c>
      <c r="BV501" t="s">
        <v>84</v>
      </c>
      <c r="BY501">
        <v>5510</v>
      </c>
      <c r="CA501">
        <v>9512195092080</v>
      </c>
      <c r="CC501" t="s">
        <v>333</v>
      </c>
      <c r="CD501">
        <v>6500</v>
      </c>
      <c r="CE501" t="s">
        <v>86</v>
      </c>
      <c r="CI501">
        <v>1</v>
      </c>
      <c r="CJ501">
        <v>1</v>
      </c>
      <c r="CK501">
        <v>23</v>
      </c>
      <c r="CL501" t="s">
        <v>87</v>
      </c>
    </row>
    <row r="502" spans="1:90" x14ac:dyDescent="0.3">
      <c r="A502" t="s">
        <v>72</v>
      </c>
      <c r="B502" t="s">
        <v>73</v>
      </c>
      <c r="C502" t="s">
        <v>74</v>
      </c>
      <c r="E502" t="str">
        <f>"080069671830"</f>
        <v>080069671830</v>
      </c>
      <c r="F502" s="3">
        <v>45995</v>
      </c>
      <c r="G502">
        <v>202609</v>
      </c>
      <c r="H502" t="s">
        <v>75</v>
      </c>
      <c r="I502" t="s">
        <v>76</v>
      </c>
      <c r="J502" t="s">
        <v>77</v>
      </c>
      <c r="K502" t="s">
        <v>78</v>
      </c>
      <c r="L502" t="s">
        <v>265</v>
      </c>
      <c r="M502" t="s">
        <v>266</v>
      </c>
      <c r="N502" t="s">
        <v>1195</v>
      </c>
      <c r="O502" t="s">
        <v>89</v>
      </c>
      <c r="P502" t="str">
        <f>"4170071742                    "</f>
        <v xml:space="preserve">4170071742                    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19.940000000000001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1</v>
      </c>
      <c r="BI502">
        <v>1</v>
      </c>
      <c r="BJ502">
        <v>0.2</v>
      </c>
      <c r="BK502">
        <v>1</v>
      </c>
      <c r="BL502">
        <v>59.42</v>
      </c>
      <c r="BM502">
        <v>8.91</v>
      </c>
      <c r="BN502">
        <v>68.33</v>
      </c>
      <c r="BO502">
        <v>68.33</v>
      </c>
      <c r="BQ502" t="s">
        <v>1196</v>
      </c>
      <c r="BR502" t="s">
        <v>82</v>
      </c>
      <c r="BS502" t="s">
        <v>500</v>
      </c>
      <c r="BY502">
        <v>1200</v>
      </c>
      <c r="CC502" t="s">
        <v>266</v>
      </c>
      <c r="CD502">
        <v>1459</v>
      </c>
      <c r="CE502" t="s">
        <v>134</v>
      </c>
      <c r="CI502">
        <v>1</v>
      </c>
      <c r="CJ502" t="s">
        <v>500</v>
      </c>
      <c r="CK502">
        <v>22</v>
      </c>
      <c r="CL502" t="s">
        <v>87</v>
      </c>
    </row>
    <row r="503" spans="1:90" x14ac:dyDescent="0.3">
      <c r="A503" t="s">
        <v>72</v>
      </c>
      <c r="B503" t="s">
        <v>73</v>
      </c>
      <c r="C503" t="s">
        <v>74</v>
      </c>
      <c r="E503" t="str">
        <f>"080069671858"</f>
        <v>080069671858</v>
      </c>
      <c r="F503" s="3">
        <v>45995</v>
      </c>
      <c r="G503">
        <v>202609</v>
      </c>
      <c r="H503" t="s">
        <v>75</v>
      </c>
      <c r="I503" t="s">
        <v>76</v>
      </c>
      <c r="J503" t="s">
        <v>77</v>
      </c>
      <c r="K503" t="s">
        <v>78</v>
      </c>
      <c r="L503" t="s">
        <v>502</v>
      </c>
      <c r="M503" t="s">
        <v>503</v>
      </c>
      <c r="N503" t="s">
        <v>671</v>
      </c>
      <c r="O503" t="s">
        <v>89</v>
      </c>
      <c r="P503" t="str">
        <f>"4170071744                    "</f>
        <v xml:space="preserve">4170071744                    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19.940000000000001</v>
      </c>
      <c r="AR503">
        <v>0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0</v>
      </c>
      <c r="AY503">
        <v>0</v>
      </c>
      <c r="AZ503">
        <v>0</v>
      </c>
      <c r="BA503">
        <v>0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1</v>
      </c>
      <c r="BI503">
        <v>1</v>
      </c>
      <c r="BJ503">
        <v>1.1000000000000001</v>
      </c>
      <c r="BK503">
        <v>2</v>
      </c>
      <c r="BL503">
        <v>59.42</v>
      </c>
      <c r="BM503">
        <v>8.91</v>
      </c>
      <c r="BN503">
        <v>68.33</v>
      </c>
      <c r="BO503">
        <v>68.33</v>
      </c>
      <c r="BQ503" t="s">
        <v>1197</v>
      </c>
      <c r="BR503" t="s">
        <v>82</v>
      </c>
      <c r="BS503" s="3">
        <v>45996</v>
      </c>
      <c r="BT503" s="4">
        <v>0.39583333333333331</v>
      </c>
      <c r="BU503" t="s">
        <v>1198</v>
      </c>
      <c r="BV503" t="s">
        <v>84</v>
      </c>
      <c r="BY503">
        <v>5510</v>
      </c>
      <c r="CA503" t="s">
        <v>507</v>
      </c>
      <c r="CC503" t="s">
        <v>503</v>
      </c>
      <c r="CD503">
        <v>1559</v>
      </c>
      <c r="CE503" t="s">
        <v>86</v>
      </c>
      <c r="CF503" s="3">
        <v>45996</v>
      </c>
      <c r="CI503">
        <v>1</v>
      </c>
      <c r="CJ503">
        <v>1</v>
      </c>
      <c r="CK503">
        <v>22</v>
      </c>
      <c r="CL503" t="s">
        <v>87</v>
      </c>
    </row>
    <row r="504" spans="1:90" x14ac:dyDescent="0.3">
      <c r="A504" t="s">
        <v>72</v>
      </c>
      <c r="B504" t="s">
        <v>73</v>
      </c>
      <c r="C504" t="s">
        <v>74</v>
      </c>
      <c r="E504" t="str">
        <f>"080069672074"</f>
        <v>080069672074</v>
      </c>
      <c r="F504" s="3">
        <v>45995</v>
      </c>
      <c r="G504">
        <v>202609</v>
      </c>
      <c r="H504" t="s">
        <v>75</v>
      </c>
      <c r="I504" t="s">
        <v>76</v>
      </c>
      <c r="J504" t="s">
        <v>77</v>
      </c>
      <c r="K504" t="s">
        <v>78</v>
      </c>
      <c r="L504" t="s">
        <v>100</v>
      </c>
      <c r="M504" t="s">
        <v>101</v>
      </c>
      <c r="N504" t="s">
        <v>102</v>
      </c>
      <c r="O504" t="s">
        <v>89</v>
      </c>
      <c r="P504" t="str">
        <f>"4170071882                    "</f>
        <v xml:space="preserve">4170071882                    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25.52</v>
      </c>
      <c r="AR504">
        <v>0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0</v>
      </c>
      <c r="AY504">
        <v>0</v>
      </c>
      <c r="AZ504">
        <v>0</v>
      </c>
      <c r="BA504">
        <v>0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1</v>
      </c>
      <c r="BI504">
        <v>2</v>
      </c>
      <c r="BJ504">
        <v>1.8</v>
      </c>
      <c r="BK504">
        <v>2</v>
      </c>
      <c r="BL504">
        <v>76.06</v>
      </c>
      <c r="BM504">
        <v>11.41</v>
      </c>
      <c r="BN504">
        <v>87.47</v>
      </c>
      <c r="BO504">
        <v>87.47</v>
      </c>
      <c r="BQ504" t="s">
        <v>103</v>
      </c>
      <c r="BR504" t="s">
        <v>82</v>
      </c>
      <c r="BS504" s="3">
        <v>45996</v>
      </c>
      <c r="BT504" s="4">
        <v>0.35347222222222224</v>
      </c>
      <c r="BU504" t="s">
        <v>1186</v>
      </c>
      <c r="BV504" t="s">
        <v>84</v>
      </c>
      <c r="BY504">
        <v>8816</v>
      </c>
      <c r="CA504" t="s">
        <v>107</v>
      </c>
      <c r="CC504" t="s">
        <v>101</v>
      </c>
      <c r="CD504">
        <v>4051</v>
      </c>
      <c r="CE504" t="s">
        <v>86</v>
      </c>
      <c r="CF504" s="3">
        <v>45996</v>
      </c>
      <c r="CI504">
        <v>1</v>
      </c>
      <c r="CJ504">
        <v>1</v>
      </c>
      <c r="CK504">
        <v>21</v>
      </c>
      <c r="CL504" t="s">
        <v>87</v>
      </c>
    </row>
    <row r="505" spans="1:90" x14ac:dyDescent="0.3">
      <c r="A505" t="s">
        <v>72</v>
      </c>
      <c r="B505" t="s">
        <v>73</v>
      </c>
      <c r="C505" t="s">
        <v>74</v>
      </c>
      <c r="E505" t="str">
        <f>"080069672166"</f>
        <v>080069672166</v>
      </c>
      <c r="F505" s="3">
        <v>45995</v>
      </c>
      <c r="G505">
        <v>202609</v>
      </c>
      <c r="H505" t="s">
        <v>75</v>
      </c>
      <c r="I505" t="s">
        <v>76</v>
      </c>
      <c r="J505" t="s">
        <v>77</v>
      </c>
      <c r="K505" t="s">
        <v>78</v>
      </c>
      <c r="L505" t="s">
        <v>156</v>
      </c>
      <c r="M505" t="s">
        <v>157</v>
      </c>
      <c r="N505" t="s">
        <v>261</v>
      </c>
      <c r="O505" t="s">
        <v>89</v>
      </c>
      <c r="P505" t="str">
        <f>"4170071755                    "</f>
        <v xml:space="preserve">4170071755                    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63.79</v>
      </c>
      <c r="AR505">
        <v>0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0</v>
      </c>
      <c r="AZ505">
        <v>0</v>
      </c>
      <c r="BA505">
        <v>0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1</v>
      </c>
      <c r="BI505">
        <v>5</v>
      </c>
      <c r="BJ505">
        <v>1.8</v>
      </c>
      <c r="BK505">
        <v>5</v>
      </c>
      <c r="BL505">
        <v>190.11</v>
      </c>
      <c r="BM505">
        <v>28.52</v>
      </c>
      <c r="BN505">
        <v>218.63</v>
      </c>
      <c r="BO505">
        <v>218.63</v>
      </c>
      <c r="BQ505" t="s">
        <v>262</v>
      </c>
      <c r="BR505" t="s">
        <v>82</v>
      </c>
      <c r="BS505" s="3">
        <v>45996</v>
      </c>
      <c r="BT505" s="4">
        <v>0.39861111111111114</v>
      </c>
      <c r="BU505" t="s">
        <v>263</v>
      </c>
      <c r="BV505" t="s">
        <v>84</v>
      </c>
      <c r="BY505">
        <v>8816</v>
      </c>
      <c r="CA505" t="s">
        <v>264</v>
      </c>
      <c r="CC505" t="s">
        <v>157</v>
      </c>
      <c r="CD505">
        <v>7441</v>
      </c>
      <c r="CE505" t="s">
        <v>86</v>
      </c>
      <c r="CF505" s="3">
        <v>45999</v>
      </c>
      <c r="CI505">
        <v>1</v>
      </c>
      <c r="CJ505">
        <v>1</v>
      </c>
      <c r="CK505">
        <v>21</v>
      </c>
      <c r="CL505" t="s">
        <v>87</v>
      </c>
    </row>
    <row r="506" spans="1:90" x14ac:dyDescent="0.3">
      <c r="A506" t="s">
        <v>72</v>
      </c>
      <c r="B506" t="s">
        <v>73</v>
      </c>
      <c r="C506" t="s">
        <v>74</v>
      </c>
      <c r="E506" t="str">
        <f>"080069672236"</f>
        <v>080069672236</v>
      </c>
      <c r="F506" s="3">
        <v>45995</v>
      </c>
      <c r="G506">
        <v>202609</v>
      </c>
      <c r="H506" t="s">
        <v>75</v>
      </c>
      <c r="I506" t="s">
        <v>76</v>
      </c>
      <c r="J506" t="s">
        <v>77</v>
      </c>
      <c r="K506" t="s">
        <v>78</v>
      </c>
      <c r="L506" t="s">
        <v>241</v>
      </c>
      <c r="M506" t="s">
        <v>242</v>
      </c>
      <c r="N506" t="s">
        <v>1079</v>
      </c>
      <c r="O506" t="s">
        <v>89</v>
      </c>
      <c r="P506" t="str">
        <f>"4170071802                    "</f>
        <v xml:space="preserve">4170071802                    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25.52</v>
      </c>
      <c r="AR506">
        <v>0</v>
      </c>
      <c r="AS506">
        <v>0</v>
      </c>
      <c r="AT506">
        <v>0</v>
      </c>
      <c r="AU506">
        <v>0</v>
      </c>
      <c r="AV506">
        <v>0</v>
      </c>
      <c r="AW506">
        <v>0</v>
      </c>
      <c r="AX506">
        <v>0</v>
      </c>
      <c r="AY506">
        <v>0</v>
      </c>
      <c r="AZ506">
        <v>0</v>
      </c>
      <c r="BA506">
        <v>0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1</v>
      </c>
      <c r="BI506">
        <v>1</v>
      </c>
      <c r="BJ506">
        <v>1.1000000000000001</v>
      </c>
      <c r="BK506">
        <v>1.5</v>
      </c>
      <c r="BL506">
        <v>76.06</v>
      </c>
      <c r="BM506">
        <v>11.41</v>
      </c>
      <c r="BN506">
        <v>87.47</v>
      </c>
      <c r="BO506">
        <v>87.47</v>
      </c>
      <c r="BQ506" t="s">
        <v>1080</v>
      </c>
      <c r="BR506" t="s">
        <v>82</v>
      </c>
      <c r="BS506" s="3">
        <v>45996</v>
      </c>
      <c r="BT506" s="4">
        <v>0.42291666666666666</v>
      </c>
      <c r="BU506" t="s">
        <v>1199</v>
      </c>
      <c r="BV506" t="s">
        <v>84</v>
      </c>
      <c r="BY506">
        <v>5510</v>
      </c>
      <c r="CA506" t="s">
        <v>1200</v>
      </c>
      <c r="CC506" t="s">
        <v>242</v>
      </c>
      <c r="CD506">
        <v>4302</v>
      </c>
      <c r="CE506" t="s">
        <v>86</v>
      </c>
      <c r="CF506" s="3">
        <v>45997</v>
      </c>
      <c r="CI506">
        <v>1</v>
      </c>
      <c r="CJ506">
        <v>1</v>
      </c>
      <c r="CK506">
        <v>21</v>
      </c>
      <c r="CL506" t="s">
        <v>87</v>
      </c>
    </row>
    <row r="507" spans="1:90" x14ac:dyDescent="0.3">
      <c r="A507" t="s">
        <v>72</v>
      </c>
      <c r="B507" t="s">
        <v>73</v>
      </c>
      <c r="C507" t="s">
        <v>74</v>
      </c>
      <c r="E507" t="str">
        <f>"080069672255"</f>
        <v>080069672255</v>
      </c>
      <c r="F507" s="3">
        <v>45995</v>
      </c>
      <c r="G507">
        <v>202609</v>
      </c>
      <c r="H507" t="s">
        <v>75</v>
      </c>
      <c r="I507" t="s">
        <v>76</v>
      </c>
      <c r="J507" t="s">
        <v>77</v>
      </c>
      <c r="K507" t="s">
        <v>78</v>
      </c>
      <c r="L507" t="s">
        <v>265</v>
      </c>
      <c r="M507" t="s">
        <v>266</v>
      </c>
      <c r="N507" t="s">
        <v>1195</v>
      </c>
      <c r="O507" t="s">
        <v>89</v>
      </c>
      <c r="P507" t="str">
        <f>"4170071742                    "</f>
        <v xml:space="preserve">4170071742                    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19.940000000000001</v>
      </c>
      <c r="AR507">
        <v>0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0</v>
      </c>
      <c r="AY507">
        <v>0</v>
      </c>
      <c r="AZ507">
        <v>0</v>
      </c>
      <c r="BA507">
        <v>0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1</v>
      </c>
      <c r="BI507">
        <v>0.2</v>
      </c>
      <c r="BJ507">
        <v>4.5999999999999996</v>
      </c>
      <c r="BK507">
        <v>5</v>
      </c>
      <c r="BL507">
        <v>59.42</v>
      </c>
      <c r="BM507">
        <v>8.91</v>
      </c>
      <c r="BN507">
        <v>68.33</v>
      </c>
      <c r="BO507">
        <v>68.33</v>
      </c>
      <c r="BQ507" t="s">
        <v>1196</v>
      </c>
      <c r="BR507" t="s">
        <v>82</v>
      </c>
      <c r="BS507" s="3">
        <v>45996</v>
      </c>
      <c r="BT507" s="4">
        <v>0.43541666666666667</v>
      </c>
      <c r="BU507" t="s">
        <v>1201</v>
      </c>
      <c r="BV507" t="s">
        <v>84</v>
      </c>
      <c r="BY507">
        <v>22835.119999999999</v>
      </c>
      <c r="CA507" t="s">
        <v>319</v>
      </c>
      <c r="CC507" t="s">
        <v>266</v>
      </c>
      <c r="CD507">
        <v>1459</v>
      </c>
      <c r="CE507" t="s">
        <v>134</v>
      </c>
      <c r="CF507" s="3">
        <v>45996</v>
      </c>
      <c r="CI507">
        <v>1</v>
      </c>
      <c r="CJ507">
        <v>1</v>
      </c>
      <c r="CK507">
        <v>22</v>
      </c>
      <c r="CL507" t="s">
        <v>87</v>
      </c>
    </row>
    <row r="508" spans="1:90" x14ac:dyDescent="0.3">
      <c r="A508" t="s">
        <v>72</v>
      </c>
      <c r="B508" t="s">
        <v>73</v>
      </c>
      <c r="C508" t="s">
        <v>74</v>
      </c>
      <c r="E508" t="str">
        <f>"080069672271"</f>
        <v>080069672271</v>
      </c>
      <c r="F508" s="3">
        <v>45995</v>
      </c>
      <c r="G508">
        <v>202609</v>
      </c>
      <c r="H508" t="s">
        <v>75</v>
      </c>
      <c r="I508" t="s">
        <v>76</v>
      </c>
      <c r="J508" t="s">
        <v>77</v>
      </c>
      <c r="K508" t="s">
        <v>78</v>
      </c>
      <c r="L508" t="s">
        <v>156</v>
      </c>
      <c r="M508" t="s">
        <v>157</v>
      </c>
      <c r="N508" t="s">
        <v>261</v>
      </c>
      <c r="O508" t="s">
        <v>89</v>
      </c>
      <c r="P508" t="str">
        <f>"4170071751                    "</f>
        <v xml:space="preserve">4170071751                    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25.52</v>
      </c>
      <c r="AR508">
        <v>0</v>
      </c>
      <c r="AS508">
        <v>0</v>
      </c>
      <c r="AT508">
        <v>0</v>
      </c>
      <c r="AU508">
        <v>0</v>
      </c>
      <c r="AV508">
        <v>0</v>
      </c>
      <c r="AW508">
        <v>0</v>
      </c>
      <c r="AX508">
        <v>0</v>
      </c>
      <c r="AY508">
        <v>0</v>
      </c>
      <c r="AZ508">
        <v>0</v>
      </c>
      <c r="BA508">
        <v>0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1</v>
      </c>
      <c r="BI508">
        <v>1</v>
      </c>
      <c r="BJ508">
        <v>0.2</v>
      </c>
      <c r="BK508">
        <v>1</v>
      </c>
      <c r="BL508">
        <v>76.06</v>
      </c>
      <c r="BM508">
        <v>11.41</v>
      </c>
      <c r="BN508">
        <v>87.47</v>
      </c>
      <c r="BO508">
        <v>87.47</v>
      </c>
      <c r="BQ508" t="s">
        <v>262</v>
      </c>
      <c r="BR508" t="s">
        <v>82</v>
      </c>
      <c r="BS508" s="3">
        <v>45996</v>
      </c>
      <c r="BT508" s="4">
        <v>0.39861111111111114</v>
      </c>
      <c r="BU508" t="s">
        <v>263</v>
      </c>
      <c r="BV508" t="s">
        <v>84</v>
      </c>
      <c r="BY508">
        <v>1200</v>
      </c>
      <c r="CA508" t="s">
        <v>264</v>
      </c>
      <c r="CC508" t="s">
        <v>157</v>
      </c>
      <c r="CD508">
        <v>7441</v>
      </c>
      <c r="CE508" t="s">
        <v>134</v>
      </c>
      <c r="CF508" s="3">
        <v>45999</v>
      </c>
      <c r="CI508">
        <v>1</v>
      </c>
      <c r="CJ508">
        <v>1</v>
      </c>
      <c r="CK508">
        <v>21</v>
      </c>
      <c r="CL508" t="s">
        <v>87</v>
      </c>
    </row>
    <row r="509" spans="1:90" x14ac:dyDescent="0.3">
      <c r="A509" t="s">
        <v>72</v>
      </c>
      <c r="B509" t="s">
        <v>73</v>
      </c>
      <c r="C509" t="s">
        <v>74</v>
      </c>
      <c r="E509" t="str">
        <f>"080069672302"</f>
        <v>080069672302</v>
      </c>
      <c r="F509" s="3">
        <v>45995</v>
      </c>
      <c r="G509">
        <v>202609</v>
      </c>
      <c r="H509" t="s">
        <v>75</v>
      </c>
      <c r="I509" t="s">
        <v>76</v>
      </c>
      <c r="J509" t="s">
        <v>77</v>
      </c>
      <c r="K509" t="s">
        <v>78</v>
      </c>
      <c r="L509" t="s">
        <v>141</v>
      </c>
      <c r="M509" t="s">
        <v>142</v>
      </c>
      <c r="N509" t="s">
        <v>486</v>
      </c>
      <c r="O509" t="s">
        <v>89</v>
      </c>
      <c r="P509" t="str">
        <f>"4170071763                    "</f>
        <v xml:space="preserve">4170071763                    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25.52</v>
      </c>
      <c r="AR509">
        <v>0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0</v>
      </c>
      <c r="AY509">
        <v>0</v>
      </c>
      <c r="AZ509">
        <v>0</v>
      </c>
      <c r="BA509">
        <v>0</v>
      </c>
      <c r="BB509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1</v>
      </c>
      <c r="BI509">
        <v>1</v>
      </c>
      <c r="BJ509">
        <v>0.2</v>
      </c>
      <c r="BK509">
        <v>1</v>
      </c>
      <c r="BL509">
        <v>76.06</v>
      </c>
      <c r="BM509">
        <v>11.41</v>
      </c>
      <c r="BN509">
        <v>87.47</v>
      </c>
      <c r="BO509">
        <v>87.47</v>
      </c>
      <c r="BQ509" t="s">
        <v>487</v>
      </c>
      <c r="BR509" t="s">
        <v>82</v>
      </c>
      <c r="BS509" t="s">
        <v>500</v>
      </c>
      <c r="BY509">
        <v>1200</v>
      </c>
      <c r="CC509" t="s">
        <v>142</v>
      </c>
      <c r="CD509">
        <v>6012</v>
      </c>
      <c r="CE509" t="s">
        <v>134</v>
      </c>
      <c r="CI509">
        <v>1</v>
      </c>
      <c r="CJ509" t="s">
        <v>500</v>
      </c>
      <c r="CK509">
        <v>21</v>
      </c>
      <c r="CL509" t="s">
        <v>87</v>
      </c>
    </row>
    <row r="510" spans="1:90" x14ac:dyDescent="0.3">
      <c r="A510" t="s">
        <v>72</v>
      </c>
      <c r="B510" t="s">
        <v>73</v>
      </c>
      <c r="C510" t="s">
        <v>74</v>
      </c>
      <c r="E510" t="str">
        <f>"080069672319"</f>
        <v>080069672319</v>
      </c>
      <c r="F510" s="3">
        <v>45995</v>
      </c>
      <c r="G510">
        <v>202609</v>
      </c>
      <c r="H510" t="s">
        <v>75</v>
      </c>
      <c r="I510" t="s">
        <v>76</v>
      </c>
      <c r="J510" t="s">
        <v>77</v>
      </c>
      <c r="K510" t="s">
        <v>78</v>
      </c>
      <c r="L510" t="s">
        <v>120</v>
      </c>
      <c r="M510" t="s">
        <v>121</v>
      </c>
      <c r="N510" t="s">
        <v>163</v>
      </c>
      <c r="O510" t="s">
        <v>89</v>
      </c>
      <c r="P510" t="str">
        <f>"4170071912                    "</f>
        <v xml:space="preserve">4170071912                    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25.52</v>
      </c>
      <c r="AR510">
        <v>0</v>
      </c>
      <c r="AS510">
        <v>0</v>
      </c>
      <c r="AT510">
        <v>0</v>
      </c>
      <c r="AU510">
        <v>0</v>
      </c>
      <c r="AV510">
        <v>0</v>
      </c>
      <c r="AW510">
        <v>0</v>
      </c>
      <c r="AX510">
        <v>0</v>
      </c>
      <c r="AY510">
        <v>0</v>
      </c>
      <c r="AZ510">
        <v>0</v>
      </c>
      <c r="BA510">
        <v>0</v>
      </c>
      <c r="BB510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1</v>
      </c>
      <c r="BI510">
        <v>1</v>
      </c>
      <c r="BJ510">
        <v>0.2</v>
      </c>
      <c r="BK510">
        <v>1</v>
      </c>
      <c r="BL510">
        <v>76.06</v>
      </c>
      <c r="BM510">
        <v>11.41</v>
      </c>
      <c r="BN510">
        <v>87.47</v>
      </c>
      <c r="BO510">
        <v>87.47</v>
      </c>
      <c r="BQ510" t="s">
        <v>164</v>
      </c>
      <c r="BR510" t="s">
        <v>82</v>
      </c>
      <c r="BS510" s="3">
        <v>45996</v>
      </c>
      <c r="BT510" s="4">
        <v>0.4</v>
      </c>
      <c r="BU510" t="s">
        <v>165</v>
      </c>
      <c r="BV510" t="s">
        <v>84</v>
      </c>
      <c r="BY510">
        <v>1200</v>
      </c>
      <c r="CA510" t="s">
        <v>126</v>
      </c>
      <c r="CC510" t="s">
        <v>121</v>
      </c>
      <c r="CD510">
        <v>6230</v>
      </c>
      <c r="CE510" t="s">
        <v>134</v>
      </c>
      <c r="CF510" s="3">
        <v>45996</v>
      </c>
      <c r="CI510">
        <v>1</v>
      </c>
      <c r="CJ510">
        <v>1</v>
      </c>
      <c r="CK510">
        <v>21</v>
      </c>
      <c r="CL510" t="s">
        <v>87</v>
      </c>
    </row>
    <row r="511" spans="1:90" x14ac:dyDescent="0.3">
      <c r="A511" t="s">
        <v>72</v>
      </c>
      <c r="B511" t="s">
        <v>73</v>
      </c>
      <c r="C511" t="s">
        <v>74</v>
      </c>
      <c r="E511" t="str">
        <f>"080069672343"</f>
        <v>080069672343</v>
      </c>
      <c r="F511" s="3">
        <v>45995</v>
      </c>
      <c r="G511">
        <v>202609</v>
      </c>
      <c r="H511" t="s">
        <v>75</v>
      </c>
      <c r="I511" t="s">
        <v>76</v>
      </c>
      <c r="J511" t="s">
        <v>77</v>
      </c>
      <c r="K511" t="s">
        <v>78</v>
      </c>
      <c r="L511" t="s">
        <v>141</v>
      </c>
      <c r="M511" t="s">
        <v>142</v>
      </c>
      <c r="N511" t="s">
        <v>791</v>
      </c>
      <c r="O511" t="s">
        <v>89</v>
      </c>
      <c r="P511" t="str">
        <f>"4170071825                    "</f>
        <v xml:space="preserve">4170071825                    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25.52</v>
      </c>
      <c r="AR511">
        <v>0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>
        <v>0</v>
      </c>
      <c r="AZ511">
        <v>0</v>
      </c>
      <c r="BA511">
        <v>0</v>
      </c>
      <c r="BB511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1</v>
      </c>
      <c r="BI511">
        <v>1</v>
      </c>
      <c r="BJ511">
        <v>0.2</v>
      </c>
      <c r="BK511">
        <v>1</v>
      </c>
      <c r="BL511">
        <v>76.06</v>
      </c>
      <c r="BM511">
        <v>11.41</v>
      </c>
      <c r="BN511">
        <v>87.47</v>
      </c>
      <c r="BO511">
        <v>87.47</v>
      </c>
      <c r="BQ511" t="s">
        <v>792</v>
      </c>
      <c r="BR511" t="s">
        <v>82</v>
      </c>
      <c r="BS511" s="3">
        <v>45996</v>
      </c>
      <c r="BT511" s="4">
        <v>0.42708333333333331</v>
      </c>
      <c r="BU511" t="s">
        <v>1202</v>
      </c>
      <c r="BV511" t="s">
        <v>84</v>
      </c>
      <c r="BY511">
        <v>1200</v>
      </c>
      <c r="CA511" t="s">
        <v>1203</v>
      </c>
      <c r="CC511" t="s">
        <v>142</v>
      </c>
      <c r="CD511">
        <v>6001</v>
      </c>
      <c r="CE511" t="s">
        <v>134</v>
      </c>
      <c r="CF511" s="3">
        <v>45996</v>
      </c>
      <c r="CI511">
        <v>1</v>
      </c>
      <c r="CJ511">
        <v>1</v>
      </c>
      <c r="CK511">
        <v>21</v>
      </c>
      <c r="CL511" t="s">
        <v>87</v>
      </c>
    </row>
    <row r="512" spans="1:90" x14ac:dyDescent="0.3">
      <c r="A512" t="s">
        <v>72</v>
      </c>
      <c r="B512" t="s">
        <v>73</v>
      </c>
      <c r="C512" t="s">
        <v>74</v>
      </c>
      <c r="E512" t="str">
        <f>"080069672383"</f>
        <v>080069672383</v>
      </c>
      <c r="F512" s="3">
        <v>45995</v>
      </c>
      <c r="G512">
        <v>202609</v>
      </c>
      <c r="H512" t="s">
        <v>75</v>
      </c>
      <c r="I512" t="s">
        <v>76</v>
      </c>
      <c r="J512" t="s">
        <v>77</v>
      </c>
      <c r="K512" t="s">
        <v>78</v>
      </c>
      <c r="L512" t="s">
        <v>283</v>
      </c>
      <c r="M512" t="s">
        <v>284</v>
      </c>
      <c r="N512" t="s">
        <v>285</v>
      </c>
      <c r="O512" t="s">
        <v>89</v>
      </c>
      <c r="P512" t="str">
        <f>"4170071747                    "</f>
        <v xml:space="preserve">4170071747                    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49.45</v>
      </c>
      <c r="AR512">
        <v>0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1</v>
      </c>
      <c r="BI512">
        <v>1</v>
      </c>
      <c r="BJ512">
        <v>0.2</v>
      </c>
      <c r="BK512">
        <v>1</v>
      </c>
      <c r="BL512">
        <v>147.38</v>
      </c>
      <c r="BM512">
        <v>22.11</v>
      </c>
      <c r="BN512">
        <v>169.49</v>
      </c>
      <c r="BO512">
        <v>169.49</v>
      </c>
      <c r="BQ512" t="s">
        <v>286</v>
      </c>
      <c r="BR512" t="s">
        <v>82</v>
      </c>
      <c r="BS512" s="3">
        <v>45996</v>
      </c>
      <c r="BT512" s="4">
        <v>0.33750000000000002</v>
      </c>
      <c r="BU512" t="s">
        <v>287</v>
      </c>
      <c r="BV512" t="s">
        <v>84</v>
      </c>
      <c r="BY512">
        <v>1200</v>
      </c>
      <c r="CA512">
        <v>6805135560080</v>
      </c>
      <c r="CC512" t="s">
        <v>284</v>
      </c>
      <c r="CD512">
        <v>1947</v>
      </c>
      <c r="CE512" t="s">
        <v>134</v>
      </c>
      <c r="CI512">
        <v>1</v>
      </c>
      <c r="CJ512">
        <v>1</v>
      </c>
      <c r="CK512">
        <v>23</v>
      </c>
      <c r="CL512" t="s">
        <v>87</v>
      </c>
    </row>
    <row r="513" spans="1:90" x14ac:dyDescent="0.3">
      <c r="A513" t="s">
        <v>72</v>
      </c>
      <c r="B513" t="s">
        <v>73</v>
      </c>
      <c r="C513" t="s">
        <v>74</v>
      </c>
      <c r="E513" t="str">
        <f>"080069672379"</f>
        <v>080069672379</v>
      </c>
      <c r="F513" s="3">
        <v>45995</v>
      </c>
      <c r="G513">
        <v>202609</v>
      </c>
      <c r="H513" t="s">
        <v>75</v>
      </c>
      <c r="I513" t="s">
        <v>76</v>
      </c>
      <c r="J513" t="s">
        <v>77</v>
      </c>
      <c r="K513" t="s">
        <v>78</v>
      </c>
      <c r="L513" t="s">
        <v>128</v>
      </c>
      <c r="M513" t="s">
        <v>129</v>
      </c>
      <c r="N513" t="s">
        <v>383</v>
      </c>
      <c r="O513" t="s">
        <v>80</v>
      </c>
      <c r="P513" t="str">
        <f>"4170071765                    "</f>
        <v xml:space="preserve">4170071765                    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55.48</v>
      </c>
      <c r="AR513">
        <v>0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0</v>
      </c>
      <c r="AY513">
        <v>0</v>
      </c>
      <c r="AZ513">
        <v>0</v>
      </c>
      <c r="BA513">
        <v>0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1</v>
      </c>
      <c r="BI513">
        <v>10</v>
      </c>
      <c r="BJ513">
        <v>17.7</v>
      </c>
      <c r="BK513">
        <v>18</v>
      </c>
      <c r="BL513">
        <v>171.44</v>
      </c>
      <c r="BM513">
        <v>25.72</v>
      </c>
      <c r="BN513">
        <v>197.16</v>
      </c>
      <c r="BO513">
        <v>197.16</v>
      </c>
      <c r="BQ513" t="s">
        <v>384</v>
      </c>
      <c r="BR513" t="s">
        <v>82</v>
      </c>
      <c r="BS513" t="s">
        <v>500</v>
      </c>
      <c r="BY513">
        <v>88320</v>
      </c>
      <c r="CC513" t="s">
        <v>129</v>
      </c>
      <c r="CD513">
        <v>5201</v>
      </c>
      <c r="CE513" t="s">
        <v>86</v>
      </c>
      <c r="CI513">
        <v>3</v>
      </c>
      <c r="CJ513" t="s">
        <v>500</v>
      </c>
      <c r="CK513">
        <v>41</v>
      </c>
      <c r="CL513" t="s">
        <v>87</v>
      </c>
    </row>
    <row r="514" spans="1:90" x14ac:dyDescent="0.3">
      <c r="A514" t="s">
        <v>72</v>
      </c>
      <c r="B514" t="s">
        <v>73</v>
      </c>
      <c r="C514" t="s">
        <v>74</v>
      </c>
      <c r="E514" t="str">
        <f>"080069672476"</f>
        <v>080069672476</v>
      </c>
      <c r="F514" s="3">
        <v>45995</v>
      </c>
      <c r="G514">
        <v>202609</v>
      </c>
      <c r="H514" t="s">
        <v>75</v>
      </c>
      <c r="I514" t="s">
        <v>76</v>
      </c>
      <c r="J514" t="s">
        <v>77</v>
      </c>
      <c r="K514" t="s">
        <v>78</v>
      </c>
      <c r="L514" t="s">
        <v>302</v>
      </c>
      <c r="M514" t="s">
        <v>303</v>
      </c>
      <c r="N514" t="s">
        <v>671</v>
      </c>
      <c r="O514" t="s">
        <v>89</v>
      </c>
      <c r="P514" t="str">
        <f>"4170071888                    "</f>
        <v xml:space="preserve">4170071888                    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25.52</v>
      </c>
      <c r="AR514">
        <v>0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>
        <v>0</v>
      </c>
      <c r="AZ514">
        <v>0</v>
      </c>
      <c r="BA514">
        <v>0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1</v>
      </c>
      <c r="BI514">
        <v>1</v>
      </c>
      <c r="BJ514">
        <v>0.2</v>
      </c>
      <c r="BK514">
        <v>1</v>
      </c>
      <c r="BL514">
        <v>76.06</v>
      </c>
      <c r="BM514">
        <v>11.41</v>
      </c>
      <c r="BN514">
        <v>87.47</v>
      </c>
      <c r="BO514">
        <v>87.47</v>
      </c>
      <c r="BQ514" t="s">
        <v>1197</v>
      </c>
      <c r="BR514" t="s">
        <v>82</v>
      </c>
      <c r="BS514" s="3">
        <v>45996</v>
      </c>
      <c r="BT514" s="4">
        <v>0.43611111111111112</v>
      </c>
      <c r="BU514" t="s">
        <v>1204</v>
      </c>
      <c r="BV514" t="s">
        <v>84</v>
      </c>
      <c r="BY514">
        <v>1200</v>
      </c>
      <c r="CA514">
        <v>8303236124087</v>
      </c>
      <c r="CC514" t="s">
        <v>303</v>
      </c>
      <c r="CD514" s="5" t="s">
        <v>307</v>
      </c>
      <c r="CE514" t="s">
        <v>134</v>
      </c>
      <c r="CF514" s="3">
        <v>45996</v>
      </c>
      <c r="CI514">
        <v>1</v>
      </c>
      <c r="CJ514">
        <v>1</v>
      </c>
      <c r="CK514">
        <v>21</v>
      </c>
      <c r="CL514" t="s">
        <v>87</v>
      </c>
    </row>
    <row r="515" spans="1:90" x14ac:dyDescent="0.3">
      <c r="A515" t="s">
        <v>72</v>
      </c>
      <c r="B515" t="s">
        <v>73</v>
      </c>
      <c r="C515" t="s">
        <v>74</v>
      </c>
      <c r="E515" t="str">
        <f>"080069672533"</f>
        <v>080069672533</v>
      </c>
      <c r="F515" s="3">
        <v>45995</v>
      </c>
      <c r="G515">
        <v>202609</v>
      </c>
      <c r="H515" t="s">
        <v>75</v>
      </c>
      <c r="I515" t="s">
        <v>76</v>
      </c>
      <c r="J515" t="s">
        <v>77</v>
      </c>
      <c r="K515" t="s">
        <v>78</v>
      </c>
      <c r="L515" t="s">
        <v>141</v>
      </c>
      <c r="M515" t="s">
        <v>142</v>
      </c>
      <c r="N515" t="s">
        <v>566</v>
      </c>
      <c r="O515" t="s">
        <v>89</v>
      </c>
      <c r="P515" t="str">
        <f>"4170071826                    "</f>
        <v xml:space="preserve">4170071826                    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25.52</v>
      </c>
      <c r="AR515">
        <v>0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  <c r="BA515">
        <v>0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1</v>
      </c>
      <c r="BI515">
        <v>1</v>
      </c>
      <c r="BJ515">
        <v>0.2</v>
      </c>
      <c r="BK515">
        <v>1</v>
      </c>
      <c r="BL515">
        <v>76.06</v>
      </c>
      <c r="BM515">
        <v>11.41</v>
      </c>
      <c r="BN515">
        <v>87.47</v>
      </c>
      <c r="BO515">
        <v>87.47</v>
      </c>
      <c r="BQ515" t="s">
        <v>567</v>
      </c>
      <c r="BR515" t="s">
        <v>82</v>
      </c>
      <c r="BS515" s="3">
        <v>45996</v>
      </c>
      <c r="BT515" s="4">
        <v>0.42708333333333331</v>
      </c>
      <c r="BU515" t="s">
        <v>1150</v>
      </c>
      <c r="BV515" t="s">
        <v>84</v>
      </c>
      <c r="BY515">
        <v>1200</v>
      </c>
      <c r="CA515" t="s">
        <v>569</v>
      </c>
      <c r="CC515" t="s">
        <v>142</v>
      </c>
      <c r="CD515">
        <v>6056</v>
      </c>
      <c r="CE515" t="s">
        <v>134</v>
      </c>
      <c r="CF515" s="3">
        <v>45996</v>
      </c>
      <c r="CI515">
        <v>1</v>
      </c>
      <c r="CJ515">
        <v>1</v>
      </c>
      <c r="CK515">
        <v>21</v>
      </c>
      <c r="CL515" t="s">
        <v>87</v>
      </c>
    </row>
    <row r="516" spans="1:90" x14ac:dyDescent="0.3">
      <c r="A516" t="s">
        <v>72</v>
      </c>
      <c r="B516" t="s">
        <v>73</v>
      </c>
      <c r="C516" t="s">
        <v>74</v>
      </c>
      <c r="E516" t="str">
        <f>"080069672539"</f>
        <v>080069672539</v>
      </c>
      <c r="F516" s="3">
        <v>45995</v>
      </c>
      <c r="G516">
        <v>202609</v>
      </c>
      <c r="H516" t="s">
        <v>75</v>
      </c>
      <c r="I516" t="s">
        <v>76</v>
      </c>
      <c r="J516" t="s">
        <v>77</v>
      </c>
      <c r="K516" t="s">
        <v>78</v>
      </c>
      <c r="L516" t="s">
        <v>691</v>
      </c>
      <c r="M516" t="s">
        <v>691</v>
      </c>
      <c r="N516" t="s">
        <v>541</v>
      </c>
      <c r="O516" t="s">
        <v>89</v>
      </c>
      <c r="P516" t="str">
        <f>"4170071721                    "</f>
        <v xml:space="preserve">4170071721                    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62.12</v>
      </c>
      <c r="AR516">
        <v>0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0</v>
      </c>
      <c r="AZ516">
        <v>0</v>
      </c>
      <c r="BA516">
        <v>0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1</v>
      </c>
      <c r="BI516">
        <v>3.1</v>
      </c>
      <c r="BJ516">
        <v>1.4</v>
      </c>
      <c r="BK516">
        <v>3.5</v>
      </c>
      <c r="BL516">
        <v>185.13</v>
      </c>
      <c r="BM516">
        <v>27.77</v>
      </c>
      <c r="BN516">
        <v>212.9</v>
      </c>
      <c r="BO516">
        <v>212.9</v>
      </c>
      <c r="BQ516" t="s">
        <v>542</v>
      </c>
      <c r="BR516" t="s">
        <v>82</v>
      </c>
      <c r="BS516" s="3">
        <v>45996</v>
      </c>
      <c r="BT516" s="4">
        <v>0.41666666666666669</v>
      </c>
      <c r="BU516" t="s">
        <v>1205</v>
      </c>
      <c r="BV516" t="s">
        <v>84</v>
      </c>
      <c r="BY516">
        <v>6949.44</v>
      </c>
      <c r="CA516" t="s">
        <v>1206</v>
      </c>
      <c r="CC516" t="s">
        <v>691</v>
      </c>
      <c r="CD516">
        <v>1491</v>
      </c>
      <c r="CE516" t="s">
        <v>86</v>
      </c>
      <c r="CF516" s="3">
        <v>45996</v>
      </c>
      <c r="CI516">
        <v>1</v>
      </c>
      <c r="CJ516">
        <v>1</v>
      </c>
      <c r="CK516">
        <v>24</v>
      </c>
      <c r="CL516" t="s">
        <v>87</v>
      </c>
    </row>
    <row r="517" spans="1:90" x14ac:dyDescent="0.3">
      <c r="A517" t="s">
        <v>72</v>
      </c>
      <c r="B517" t="s">
        <v>73</v>
      </c>
      <c r="C517" t="s">
        <v>74</v>
      </c>
      <c r="E517" t="str">
        <f>"080069672602"</f>
        <v>080069672602</v>
      </c>
      <c r="F517" s="3">
        <v>45995</v>
      </c>
      <c r="G517">
        <v>202609</v>
      </c>
      <c r="H517" t="s">
        <v>75</v>
      </c>
      <c r="I517" t="s">
        <v>76</v>
      </c>
      <c r="J517" t="s">
        <v>77</v>
      </c>
      <c r="K517" t="s">
        <v>78</v>
      </c>
      <c r="L517" t="s">
        <v>141</v>
      </c>
      <c r="M517" t="s">
        <v>142</v>
      </c>
      <c r="N517" t="s">
        <v>566</v>
      </c>
      <c r="O517" t="s">
        <v>89</v>
      </c>
      <c r="P517" t="str">
        <f>"4170071823                    "</f>
        <v xml:space="preserve">4170071823                    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25.52</v>
      </c>
      <c r="AR517">
        <v>0</v>
      </c>
      <c r="AS517">
        <v>0</v>
      </c>
      <c r="AT517">
        <v>0</v>
      </c>
      <c r="AU517">
        <v>0</v>
      </c>
      <c r="AV517">
        <v>0</v>
      </c>
      <c r="AW517">
        <v>0</v>
      </c>
      <c r="AX517">
        <v>0</v>
      </c>
      <c r="AY517">
        <v>0</v>
      </c>
      <c r="AZ517">
        <v>0</v>
      </c>
      <c r="BA517">
        <v>0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1</v>
      </c>
      <c r="BI517">
        <v>1</v>
      </c>
      <c r="BJ517">
        <v>0.2</v>
      </c>
      <c r="BK517">
        <v>1</v>
      </c>
      <c r="BL517">
        <v>76.06</v>
      </c>
      <c r="BM517">
        <v>11.41</v>
      </c>
      <c r="BN517">
        <v>87.47</v>
      </c>
      <c r="BO517">
        <v>87.47</v>
      </c>
      <c r="BQ517" t="s">
        <v>567</v>
      </c>
      <c r="BR517" t="s">
        <v>82</v>
      </c>
      <c r="BS517" s="3">
        <v>45996</v>
      </c>
      <c r="BT517" s="4">
        <v>0.42708333333333331</v>
      </c>
      <c r="BU517" t="s">
        <v>1150</v>
      </c>
      <c r="BV517" t="s">
        <v>84</v>
      </c>
      <c r="BY517">
        <v>1200</v>
      </c>
      <c r="CA517" t="s">
        <v>569</v>
      </c>
      <c r="CC517" t="s">
        <v>142</v>
      </c>
      <c r="CD517">
        <v>6056</v>
      </c>
      <c r="CE517" t="s">
        <v>134</v>
      </c>
      <c r="CF517" s="3">
        <v>45996</v>
      </c>
      <c r="CI517">
        <v>1</v>
      </c>
      <c r="CJ517">
        <v>1</v>
      </c>
      <c r="CK517">
        <v>21</v>
      </c>
      <c r="CL517" t="s">
        <v>87</v>
      </c>
    </row>
    <row r="518" spans="1:90" x14ac:dyDescent="0.3">
      <c r="A518" t="s">
        <v>72</v>
      </c>
      <c r="B518" t="s">
        <v>73</v>
      </c>
      <c r="C518" t="s">
        <v>74</v>
      </c>
      <c r="E518" t="str">
        <f>"080069672629"</f>
        <v>080069672629</v>
      </c>
      <c r="F518" s="3">
        <v>45995</v>
      </c>
      <c r="G518">
        <v>202609</v>
      </c>
      <c r="H518" t="s">
        <v>75</v>
      </c>
      <c r="I518" t="s">
        <v>76</v>
      </c>
      <c r="J518" t="s">
        <v>77</v>
      </c>
      <c r="K518" t="s">
        <v>78</v>
      </c>
      <c r="L518" t="s">
        <v>302</v>
      </c>
      <c r="M518" t="s">
        <v>303</v>
      </c>
      <c r="N518" t="s">
        <v>812</v>
      </c>
      <c r="O518" t="s">
        <v>80</v>
      </c>
      <c r="P518" t="str">
        <f>"4170071761                    "</f>
        <v xml:space="preserve">4170071761                    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49.36</v>
      </c>
      <c r="AR518">
        <v>0</v>
      </c>
      <c r="AS518">
        <v>0</v>
      </c>
      <c r="AT518">
        <v>0</v>
      </c>
      <c r="AU518">
        <v>0</v>
      </c>
      <c r="AV518">
        <v>0</v>
      </c>
      <c r="AW518">
        <v>0</v>
      </c>
      <c r="AX518">
        <v>0</v>
      </c>
      <c r="AY518">
        <v>0</v>
      </c>
      <c r="AZ518">
        <v>0</v>
      </c>
      <c r="BA518">
        <v>0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1</v>
      </c>
      <c r="BI518">
        <v>3.8</v>
      </c>
      <c r="BJ518">
        <v>1.3</v>
      </c>
      <c r="BK518">
        <v>4</v>
      </c>
      <c r="BL518">
        <v>153.19999999999999</v>
      </c>
      <c r="BM518">
        <v>22.98</v>
      </c>
      <c r="BN518">
        <v>176.18</v>
      </c>
      <c r="BO518">
        <v>176.18</v>
      </c>
      <c r="BQ518" t="s">
        <v>813</v>
      </c>
      <c r="BR518" t="s">
        <v>82</v>
      </c>
      <c r="BS518" s="3">
        <v>45996</v>
      </c>
      <c r="BT518" s="4">
        <v>0.43402777777777779</v>
      </c>
      <c r="BU518" t="s">
        <v>1207</v>
      </c>
      <c r="BV518" t="s">
        <v>84</v>
      </c>
      <c r="BY518">
        <v>6498</v>
      </c>
      <c r="CA518">
        <v>9401036069087</v>
      </c>
      <c r="CC518" t="s">
        <v>303</v>
      </c>
      <c r="CD518" s="5" t="s">
        <v>1208</v>
      </c>
      <c r="CE518" t="s">
        <v>86</v>
      </c>
      <c r="CF518" s="3">
        <v>45996</v>
      </c>
      <c r="CI518">
        <v>1</v>
      </c>
      <c r="CJ518">
        <v>1</v>
      </c>
      <c r="CK518">
        <v>41</v>
      </c>
      <c r="CL518" t="s">
        <v>87</v>
      </c>
    </row>
    <row r="519" spans="1:90" x14ac:dyDescent="0.3">
      <c r="A519" t="s">
        <v>72</v>
      </c>
      <c r="B519" t="s">
        <v>73</v>
      </c>
      <c r="C519" t="s">
        <v>74</v>
      </c>
      <c r="E519" t="str">
        <f>"080069672656"</f>
        <v>080069672656</v>
      </c>
      <c r="F519" s="3">
        <v>45995</v>
      </c>
      <c r="G519">
        <v>202609</v>
      </c>
      <c r="H519" t="s">
        <v>75</v>
      </c>
      <c r="I519" t="s">
        <v>76</v>
      </c>
      <c r="J519" t="s">
        <v>77</v>
      </c>
      <c r="K519" t="s">
        <v>78</v>
      </c>
      <c r="L519" t="s">
        <v>100</v>
      </c>
      <c r="M519" t="s">
        <v>101</v>
      </c>
      <c r="N519" t="s">
        <v>498</v>
      </c>
      <c r="O519" t="s">
        <v>89</v>
      </c>
      <c r="P519" t="str">
        <f>"4170071876                    "</f>
        <v xml:space="preserve">4170071876                    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25.52</v>
      </c>
      <c r="AR519">
        <v>0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>
        <v>0</v>
      </c>
      <c r="AZ519">
        <v>0</v>
      </c>
      <c r="BA519">
        <v>0</v>
      </c>
      <c r="BB519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1</v>
      </c>
      <c r="BI519">
        <v>1</v>
      </c>
      <c r="BJ519">
        <v>0.2</v>
      </c>
      <c r="BK519">
        <v>1</v>
      </c>
      <c r="BL519">
        <v>76.06</v>
      </c>
      <c r="BM519">
        <v>11.41</v>
      </c>
      <c r="BN519">
        <v>87.47</v>
      </c>
      <c r="BO519">
        <v>87.47</v>
      </c>
      <c r="BQ519" t="s">
        <v>499</v>
      </c>
      <c r="BR519" t="s">
        <v>82</v>
      </c>
      <c r="BS519" s="3">
        <v>45996</v>
      </c>
      <c r="BT519" s="4">
        <v>0.73055555555555551</v>
      </c>
      <c r="BU519" t="s">
        <v>1209</v>
      </c>
      <c r="BV519" t="s">
        <v>87</v>
      </c>
      <c r="BW519" t="s">
        <v>246</v>
      </c>
      <c r="BX519" t="s">
        <v>106</v>
      </c>
      <c r="BY519">
        <v>1200</v>
      </c>
      <c r="CA519" t="s">
        <v>248</v>
      </c>
      <c r="CC519" t="s">
        <v>101</v>
      </c>
      <c r="CD519">
        <v>4052</v>
      </c>
      <c r="CE519" t="s">
        <v>134</v>
      </c>
      <c r="CF519" s="3">
        <v>45996</v>
      </c>
      <c r="CI519">
        <v>1</v>
      </c>
      <c r="CJ519">
        <v>1</v>
      </c>
      <c r="CK519">
        <v>21</v>
      </c>
      <c r="CL519" t="s">
        <v>87</v>
      </c>
    </row>
    <row r="520" spans="1:90" x14ac:dyDescent="0.3">
      <c r="A520" t="s">
        <v>72</v>
      </c>
      <c r="B520" t="s">
        <v>73</v>
      </c>
      <c r="C520" t="s">
        <v>74</v>
      </c>
      <c r="E520" t="str">
        <f>"080069672700"</f>
        <v>080069672700</v>
      </c>
      <c r="F520" s="3">
        <v>45995</v>
      </c>
      <c r="G520">
        <v>202609</v>
      </c>
      <c r="H520" t="s">
        <v>75</v>
      </c>
      <c r="I520" t="s">
        <v>76</v>
      </c>
      <c r="J520" t="s">
        <v>77</v>
      </c>
      <c r="K520" t="s">
        <v>78</v>
      </c>
      <c r="L520" t="s">
        <v>202</v>
      </c>
      <c r="M520" t="s">
        <v>203</v>
      </c>
      <c r="N520" t="s">
        <v>204</v>
      </c>
      <c r="O520" t="s">
        <v>89</v>
      </c>
      <c r="P520" t="str">
        <f>"4170071812                    "</f>
        <v xml:space="preserve">4170071812                    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49.45</v>
      </c>
      <c r="AR520">
        <v>0</v>
      </c>
      <c r="AS520">
        <v>0</v>
      </c>
      <c r="AT520">
        <v>0</v>
      </c>
      <c r="AU520">
        <v>0</v>
      </c>
      <c r="AV520">
        <v>0</v>
      </c>
      <c r="AW520">
        <v>0</v>
      </c>
      <c r="AX520">
        <v>0</v>
      </c>
      <c r="AY520">
        <v>0</v>
      </c>
      <c r="AZ520">
        <v>0</v>
      </c>
      <c r="BA520">
        <v>0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1</v>
      </c>
      <c r="BI520">
        <v>0.2</v>
      </c>
      <c r="BJ520">
        <v>1.5</v>
      </c>
      <c r="BK520">
        <v>1.5</v>
      </c>
      <c r="BL520">
        <v>147.38</v>
      </c>
      <c r="BM520">
        <v>22.11</v>
      </c>
      <c r="BN520">
        <v>169.49</v>
      </c>
      <c r="BO520">
        <v>169.49</v>
      </c>
      <c r="BQ520" t="s">
        <v>205</v>
      </c>
      <c r="BR520" t="s">
        <v>82</v>
      </c>
      <c r="BS520" s="3">
        <v>45996</v>
      </c>
      <c r="BT520" s="4">
        <v>0.40208333333333335</v>
      </c>
      <c r="BU520" t="s">
        <v>1210</v>
      </c>
      <c r="BV520" t="s">
        <v>84</v>
      </c>
      <c r="BY520">
        <v>7322.4</v>
      </c>
      <c r="CA520">
        <v>7908245451080</v>
      </c>
      <c r="CC520" t="s">
        <v>203</v>
      </c>
      <c r="CD520">
        <v>2531</v>
      </c>
      <c r="CE520" t="s">
        <v>134</v>
      </c>
      <c r="CI520">
        <v>1</v>
      </c>
      <c r="CJ520">
        <v>1</v>
      </c>
      <c r="CK520">
        <v>23</v>
      </c>
      <c r="CL520" t="s">
        <v>87</v>
      </c>
    </row>
    <row r="521" spans="1:90" x14ac:dyDescent="0.3">
      <c r="A521" t="s">
        <v>72</v>
      </c>
      <c r="B521" t="s">
        <v>73</v>
      </c>
      <c r="C521" t="s">
        <v>74</v>
      </c>
      <c r="E521" t="str">
        <f>"080069672771"</f>
        <v>080069672771</v>
      </c>
      <c r="F521" s="3">
        <v>45995</v>
      </c>
      <c r="G521">
        <v>202609</v>
      </c>
      <c r="H521" t="s">
        <v>75</v>
      </c>
      <c r="I521" t="s">
        <v>76</v>
      </c>
      <c r="J521" t="s">
        <v>77</v>
      </c>
      <c r="K521" t="s">
        <v>78</v>
      </c>
      <c r="L521" t="s">
        <v>75</v>
      </c>
      <c r="M521" t="s">
        <v>76</v>
      </c>
      <c r="N521" t="s">
        <v>1211</v>
      </c>
      <c r="O521" t="s">
        <v>89</v>
      </c>
      <c r="P521" t="str">
        <f>"4170071873                    "</f>
        <v xml:space="preserve">4170071873                    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19.940000000000001</v>
      </c>
      <c r="AR521">
        <v>0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  <c r="BA521">
        <v>0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1</v>
      </c>
      <c r="BI521">
        <v>0.2</v>
      </c>
      <c r="BJ521">
        <v>1</v>
      </c>
      <c r="BK521">
        <v>1</v>
      </c>
      <c r="BL521">
        <v>59.42</v>
      </c>
      <c r="BM521">
        <v>8.91</v>
      </c>
      <c r="BN521">
        <v>68.33</v>
      </c>
      <c r="BO521">
        <v>68.33</v>
      </c>
      <c r="BQ521" t="s">
        <v>1212</v>
      </c>
      <c r="BR521" t="s">
        <v>82</v>
      </c>
      <c r="BS521" s="3">
        <v>45996</v>
      </c>
      <c r="BT521" s="4">
        <v>0.34930555555555554</v>
      </c>
      <c r="BU521" t="s">
        <v>83</v>
      </c>
      <c r="BV521" t="s">
        <v>84</v>
      </c>
      <c r="BY521">
        <v>5146.74</v>
      </c>
      <c r="CA521" t="s">
        <v>85</v>
      </c>
      <c r="CC521" t="s">
        <v>76</v>
      </c>
      <c r="CD521">
        <v>1619</v>
      </c>
      <c r="CE521" t="s">
        <v>134</v>
      </c>
      <c r="CF521" s="3">
        <v>45997</v>
      </c>
      <c r="CI521">
        <v>1</v>
      </c>
      <c r="CJ521">
        <v>1</v>
      </c>
      <c r="CK521">
        <v>22</v>
      </c>
      <c r="CL521" t="s">
        <v>87</v>
      </c>
    </row>
    <row r="522" spans="1:90" x14ac:dyDescent="0.3">
      <c r="A522" t="s">
        <v>72</v>
      </c>
      <c r="B522" t="s">
        <v>73</v>
      </c>
      <c r="C522" t="s">
        <v>74</v>
      </c>
      <c r="E522" t="str">
        <f>"080069672865"</f>
        <v>080069672865</v>
      </c>
      <c r="F522" s="3">
        <v>45995</v>
      </c>
      <c r="G522">
        <v>202609</v>
      </c>
      <c r="H522" t="s">
        <v>75</v>
      </c>
      <c r="I522" t="s">
        <v>76</v>
      </c>
      <c r="J522" t="s">
        <v>77</v>
      </c>
      <c r="K522" t="s">
        <v>78</v>
      </c>
      <c r="L522" t="s">
        <v>533</v>
      </c>
      <c r="M522" t="s">
        <v>533</v>
      </c>
      <c r="N522" t="s">
        <v>554</v>
      </c>
      <c r="O522" t="s">
        <v>89</v>
      </c>
      <c r="P522" t="str">
        <f>"4170071878                    "</f>
        <v xml:space="preserve">4170071878                    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49.45</v>
      </c>
      <c r="AR522">
        <v>0</v>
      </c>
      <c r="AS522">
        <v>0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  <c r="AZ522">
        <v>0</v>
      </c>
      <c r="BA522">
        <v>0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1</v>
      </c>
      <c r="BI522">
        <v>1</v>
      </c>
      <c r="BJ522">
        <v>0.2</v>
      </c>
      <c r="BK522">
        <v>1</v>
      </c>
      <c r="BL522">
        <v>147.38</v>
      </c>
      <c r="BM522">
        <v>22.11</v>
      </c>
      <c r="BN522">
        <v>169.49</v>
      </c>
      <c r="BO522">
        <v>169.49</v>
      </c>
      <c r="BQ522" t="s">
        <v>1213</v>
      </c>
      <c r="BR522" t="s">
        <v>82</v>
      </c>
      <c r="BS522" s="3">
        <v>45996</v>
      </c>
      <c r="BT522" s="4">
        <v>0.72638888888888886</v>
      </c>
      <c r="BU522" t="s">
        <v>1214</v>
      </c>
      <c r="BV522" t="s">
        <v>87</v>
      </c>
      <c r="BW522" t="s">
        <v>153</v>
      </c>
      <c r="BX522" t="s">
        <v>345</v>
      </c>
      <c r="BY522">
        <v>1200</v>
      </c>
      <c r="CA522" t="s">
        <v>537</v>
      </c>
      <c r="CC522" t="s">
        <v>533</v>
      </c>
      <c r="CD522">
        <v>7646</v>
      </c>
      <c r="CE522" t="s">
        <v>134</v>
      </c>
      <c r="CI522">
        <v>1</v>
      </c>
      <c r="CJ522">
        <v>1</v>
      </c>
      <c r="CK522">
        <v>23</v>
      </c>
      <c r="CL522" t="s">
        <v>87</v>
      </c>
    </row>
    <row r="523" spans="1:90" x14ac:dyDescent="0.3">
      <c r="A523" t="s">
        <v>72</v>
      </c>
      <c r="B523" t="s">
        <v>73</v>
      </c>
      <c r="C523" t="s">
        <v>74</v>
      </c>
      <c r="E523" t="str">
        <f>"080069672881"</f>
        <v>080069672881</v>
      </c>
      <c r="F523" s="3">
        <v>45995</v>
      </c>
      <c r="G523">
        <v>202609</v>
      </c>
      <c r="H523" t="s">
        <v>75</v>
      </c>
      <c r="I523" t="s">
        <v>76</v>
      </c>
      <c r="J523" t="s">
        <v>77</v>
      </c>
      <c r="K523" t="s">
        <v>78</v>
      </c>
      <c r="L523" t="s">
        <v>608</v>
      </c>
      <c r="M523" t="s">
        <v>609</v>
      </c>
      <c r="N523" t="s">
        <v>1215</v>
      </c>
      <c r="O523" t="s">
        <v>89</v>
      </c>
      <c r="P523" t="str">
        <f>"4170071854                    "</f>
        <v xml:space="preserve">4170071854                    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183.44</v>
      </c>
      <c r="AR523">
        <v>0</v>
      </c>
      <c r="AS523">
        <v>0</v>
      </c>
      <c r="AT523">
        <v>0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1</v>
      </c>
      <c r="BI523">
        <v>8</v>
      </c>
      <c r="BJ523">
        <v>2.8</v>
      </c>
      <c r="BK523">
        <v>8</v>
      </c>
      <c r="BL523">
        <v>546.69000000000005</v>
      </c>
      <c r="BM523">
        <v>82</v>
      </c>
      <c r="BN523">
        <v>628.69000000000005</v>
      </c>
      <c r="BO523">
        <v>628.69000000000005</v>
      </c>
      <c r="BQ523" t="s">
        <v>1216</v>
      </c>
      <c r="BR523" t="s">
        <v>82</v>
      </c>
      <c r="BS523" s="3">
        <v>45996</v>
      </c>
      <c r="BT523" s="4">
        <v>0.57013888888888886</v>
      </c>
      <c r="BU523" t="s">
        <v>1217</v>
      </c>
      <c r="BV523" t="s">
        <v>84</v>
      </c>
      <c r="BY523">
        <v>14080</v>
      </c>
      <c r="CA523" t="s">
        <v>1218</v>
      </c>
      <c r="CC523" t="s">
        <v>609</v>
      </c>
      <c r="CD523">
        <v>6850</v>
      </c>
      <c r="CE523" t="s">
        <v>93</v>
      </c>
      <c r="CI523">
        <v>2</v>
      </c>
      <c r="CJ523">
        <v>1</v>
      </c>
      <c r="CK523">
        <v>23</v>
      </c>
      <c r="CL523" t="s">
        <v>87</v>
      </c>
    </row>
    <row r="524" spans="1:90" x14ac:dyDescent="0.3">
      <c r="A524" t="s">
        <v>72</v>
      </c>
      <c r="B524" t="s">
        <v>73</v>
      </c>
      <c r="C524" t="s">
        <v>74</v>
      </c>
      <c r="E524" t="str">
        <f>"080069672927"</f>
        <v>080069672927</v>
      </c>
      <c r="F524" s="3">
        <v>45995</v>
      </c>
      <c r="G524">
        <v>202609</v>
      </c>
      <c r="H524" t="s">
        <v>75</v>
      </c>
      <c r="I524" t="s">
        <v>76</v>
      </c>
      <c r="J524" t="s">
        <v>77</v>
      </c>
      <c r="K524" t="s">
        <v>78</v>
      </c>
      <c r="L524" t="s">
        <v>202</v>
      </c>
      <c r="M524" t="s">
        <v>203</v>
      </c>
      <c r="N524" t="s">
        <v>204</v>
      </c>
      <c r="O524" t="s">
        <v>89</v>
      </c>
      <c r="P524" t="str">
        <f>"4170071828                    "</f>
        <v xml:space="preserve">4170071828                    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49.45</v>
      </c>
      <c r="AR524">
        <v>0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>
        <v>0</v>
      </c>
      <c r="AZ524">
        <v>0</v>
      </c>
      <c r="BA524">
        <v>0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1</v>
      </c>
      <c r="BI524">
        <v>1</v>
      </c>
      <c r="BJ524">
        <v>0.2</v>
      </c>
      <c r="BK524">
        <v>1</v>
      </c>
      <c r="BL524">
        <v>147.38</v>
      </c>
      <c r="BM524">
        <v>22.11</v>
      </c>
      <c r="BN524">
        <v>169.49</v>
      </c>
      <c r="BO524">
        <v>169.49</v>
      </c>
      <c r="BQ524" t="s">
        <v>205</v>
      </c>
      <c r="BR524" t="s">
        <v>82</v>
      </c>
      <c r="BS524" s="3">
        <v>45996</v>
      </c>
      <c r="BT524" s="4">
        <v>0.54166666666666663</v>
      </c>
      <c r="BU524" t="s">
        <v>1210</v>
      </c>
      <c r="BV524" t="s">
        <v>84</v>
      </c>
      <c r="BY524">
        <v>1200</v>
      </c>
      <c r="CA524">
        <v>7908245451080</v>
      </c>
      <c r="CC524" t="s">
        <v>203</v>
      </c>
      <c r="CD524">
        <v>2531</v>
      </c>
      <c r="CE524" t="s">
        <v>134</v>
      </c>
      <c r="CI524">
        <v>1</v>
      </c>
      <c r="CJ524">
        <v>1</v>
      </c>
      <c r="CK524">
        <v>23</v>
      </c>
      <c r="CL524" t="s">
        <v>87</v>
      </c>
    </row>
    <row r="525" spans="1:90" x14ac:dyDescent="0.3">
      <c r="A525" t="s">
        <v>72</v>
      </c>
      <c r="B525" t="s">
        <v>73</v>
      </c>
      <c r="C525" t="s">
        <v>74</v>
      </c>
      <c r="E525" t="str">
        <f>"080069673000"</f>
        <v>080069673000</v>
      </c>
      <c r="F525" s="3">
        <v>45995</v>
      </c>
      <c r="G525">
        <v>202609</v>
      </c>
      <c r="H525" t="s">
        <v>75</v>
      </c>
      <c r="I525" t="s">
        <v>76</v>
      </c>
      <c r="J525" t="s">
        <v>77</v>
      </c>
      <c r="K525" t="s">
        <v>78</v>
      </c>
      <c r="L525" t="s">
        <v>465</v>
      </c>
      <c r="M525" t="s">
        <v>466</v>
      </c>
      <c r="N525" t="s">
        <v>731</v>
      </c>
      <c r="O525" t="s">
        <v>89</v>
      </c>
      <c r="P525" t="str">
        <f>"4170071819                    "</f>
        <v xml:space="preserve">4170071819                    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19.940000000000001</v>
      </c>
      <c r="AR525">
        <v>0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1</v>
      </c>
      <c r="BI525">
        <v>0.5</v>
      </c>
      <c r="BJ525">
        <v>1.2</v>
      </c>
      <c r="BK525">
        <v>2</v>
      </c>
      <c r="BL525">
        <v>59.42</v>
      </c>
      <c r="BM525">
        <v>8.91</v>
      </c>
      <c r="BN525">
        <v>68.33</v>
      </c>
      <c r="BO525">
        <v>68.33</v>
      </c>
      <c r="BQ525" t="s">
        <v>732</v>
      </c>
      <c r="BR525" t="s">
        <v>82</v>
      </c>
      <c r="BS525" s="3">
        <v>45996</v>
      </c>
      <c r="BT525" s="4">
        <v>0.3611111111111111</v>
      </c>
      <c r="BU525" t="s">
        <v>996</v>
      </c>
      <c r="BV525" t="s">
        <v>84</v>
      </c>
      <c r="BY525">
        <v>6045.2</v>
      </c>
      <c r="CA525" t="s">
        <v>720</v>
      </c>
      <c r="CC525" t="s">
        <v>466</v>
      </c>
      <c r="CD525">
        <v>1428</v>
      </c>
      <c r="CE525" t="s">
        <v>134</v>
      </c>
      <c r="CF525" s="3">
        <v>45997</v>
      </c>
      <c r="CI525">
        <v>1</v>
      </c>
      <c r="CJ525">
        <v>1</v>
      </c>
      <c r="CK525">
        <v>22</v>
      </c>
      <c r="CL525" t="s">
        <v>87</v>
      </c>
    </row>
    <row r="526" spans="1:90" x14ac:dyDescent="0.3">
      <c r="A526" t="s">
        <v>72</v>
      </c>
      <c r="B526" t="s">
        <v>73</v>
      </c>
      <c r="C526" t="s">
        <v>74</v>
      </c>
      <c r="E526" t="str">
        <f>"080069673060"</f>
        <v>080069673060</v>
      </c>
      <c r="F526" s="3">
        <v>45995</v>
      </c>
      <c r="G526">
        <v>202609</v>
      </c>
      <c r="H526" t="s">
        <v>75</v>
      </c>
      <c r="I526" t="s">
        <v>76</v>
      </c>
      <c r="J526" t="s">
        <v>77</v>
      </c>
      <c r="K526" t="s">
        <v>78</v>
      </c>
      <c r="L526" t="s">
        <v>608</v>
      </c>
      <c r="M526" t="s">
        <v>609</v>
      </c>
      <c r="N526" t="s">
        <v>610</v>
      </c>
      <c r="O526" t="s">
        <v>89</v>
      </c>
      <c r="P526" t="str">
        <f>"4170071673                    "</f>
        <v xml:space="preserve">4170071673                    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49.45</v>
      </c>
      <c r="AR526">
        <v>0</v>
      </c>
      <c r="AS526">
        <v>0</v>
      </c>
      <c r="AT526">
        <v>0</v>
      </c>
      <c r="AU526">
        <v>0</v>
      </c>
      <c r="AV526">
        <v>0</v>
      </c>
      <c r="AW526">
        <v>0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1</v>
      </c>
      <c r="BI526">
        <v>1</v>
      </c>
      <c r="BJ526">
        <v>0.2</v>
      </c>
      <c r="BK526">
        <v>1</v>
      </c>
      <c r="BL526">
        <v>147.38</v>
      </c>
      <c r="BM526">
        <v>22.11</v>
      </c>
      <c r="BN526">
        <v>169.49</v>
      </c>
      <c r="BO526">
        <v>169.49</v>
      </c>
      <c r="BQ526" t="s">
        <v>611</v>
      </c>
      <c r="BR526" t="s">
        <v>82</v>
      </c>
      <c r="BS526" s="3">
        <v>45996</v>
      </c>
      <c r="BT526" s="4">
        <v>0.60069444444444442</v>
      </c>
      <c r="BU526" t="s">
        <v>1219</v>
      </c>
      <c r="BV526" t="s">
        <v>84</v>
      </c>
      <c r="BY526">
        <v>1200</v>
      </c>
      <c r="CA526" t="s">
        <v>1218</v>
      </c>
      <c r="CC526" t="s">
        <v>609</v>
      </c>
      <c r="CD526">
        <v>6850</v>
      </c>
      <c r="CE526" t="s">
        <v>134</v>
      </c>
      <c r="CI526">
        <v>2</v>
      </c>
      <c r="CJ526">
        <v>1</v>
      </c>
      <c r="CK526">
        <v>23</v>
      </c>
      <c r="CL526" t="s">
        <v>87</v>
      </c>
    </row>
    <row r="527" spans="1:90" x14ac:dyDescent="0.3">
      <c r="A527" t="s">
        <v>72</v>
      </c>
      <c r="B527" t="s">
        <v>73</v>
      </c>
      <c r="C527" t="s">
        <v>74</v>
      </c>
      <c r="E527" t="str">
        <f>"080069673064"</f>
        <v>080069673064</v>
      </c>
      <c r="F527" s="3">
        <v>45995</v>
      </c>
      <c r="G527">
        <v>202609</v>
      </c>
      <c r="H527" t="s">
        <v>75</v>
      </c>
      <c r="I527" t="s">
        <v>76</v>
      </c>
      <c r="J527" t="s">
        <v>77</v>
      </c>
      <c r="K527" t="s">
        <v>78</v>
      </c>
      <c r="L527" t="s">
        <v>156</v>
      </c>
      <c r="M527" t="s">
        <v>157</v>
      </c>
      <c r="N527" t="s">
        <v>261</v>
      </c>
      <c r="O527" t="s">
        <v>80</v>
      </c>
      <c r="P527" t="str">
        <f>"4170071580                    "</f>
        <v xml:space="preserve">4170071580                    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1053.1400000000001</v>
      </c>
      <c r="AR527">
        <v>0</v>
      </c>
      <c r="AS527">
        <v>0</v>
      </c>
      <c r="AT527">
        <v>0</v>
      </c>
      <c r="AU527">
        <v>0</v>
      </c>
      <c r="AV527">
        <v>0</v>
      </c>
      <c r="AW527">
        <v>0</v>
      </c>
      <c r="AX527">
        <v>0</v>
      </c>
      <c r="AY527">
        <v>0</v>
      </c>
      <c r="AZ527">
        <v>0</v>
      </c>
      <c r="BA527">
        <v>0</v>
      </c>
      <c r="BB52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3</v>
      </c>
      <c r="BI527">
        <v>324</v>
      </c>
      <c r="BJ527">
        <v>506.1</v>
      </c>
      <c r="BK527">
        <v>507</v>
      </c>
      <c r="BL527">
        <v>3144.66</v>
      </c>
      <c r="BM527">
        <v>471.7</v>
      </c>
      <c r="BN527">
        <v>3616.36</v>
      </c>
      <c r="BO527">
        <v>3616.36</v>
      </c>
      <c r="BQ527" t="s">
        <v>262</v>
      </c>
      <c r="BR527" t="s">
        <v>82</v>
      </c>
      <c r="BS527" t="s">
        <v>500</v>
      </c>
      <c r="BY527">
        <v>2530602</v>
      </c>
      <c r="CC527" t="s">
        <v>157</v>
      </c>
      <c r="CD527">
        <v>7441</v>
      </c>
      <c r="CE527" t="s">
        <v>565</v>
      </c>
      <c r="CI527">
        <v>3</v>
      </c>
      <c r="CJ527" t="s">
        <v>500</v>
      </c>
      <c r="CK527">
        <v>41</v>
      </c>
      <c r="CL527" t="s">
        <v>87</v>
      </c>
    </row>
    <row r="528" spans="1:90" x14ac:dyDescent="0.3">
      <c r="A528" t="s">
        <v>72</v>
      </c>
      <c r="B528" t="s">
        <v>73</v>
      </c>
      <c r="C528" t="s">
        <v>74</v>
      </c>
      <c r="E528" t="str">
        <f>"080069673164"</f>
        <v>080069673164</v>
      </c>
      <c r="F528" s="3">
        <v>45995</v>
      </c>
      <c r="G528">
        <v>202609</v>
      </c>
      <c r="H528" t="s">
        <v>75</v>
      </c>
      <c r="I528" t="s">
        <v>76</v>
      </c>
      <c r="J528" t="s">
        <v>77</v>
      </c>
      <c r="K528" t="s">
        <v>78</v>
      </c>
      <c r="L528" t="s">
        <v>465</v>
      </c>
      <c r="M528" t="s">
        <v>466</v>
      </c>
      <c r="N528" t="s">
        <v>1220</v>
      </c>
      <c r="O528" t="s">
        <v>89</v>
      </c>
      <c r="P528" t="str">
        <f>"4170071774                    "</f>
        <v xml:space="preserve">4170071774                    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19.940000000000001</v>
      </c>
      <c r="AR528">
        <v>0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1</v>
      </c>
      <c r="BI528">
        <v>1</v>
      </c>
      <c r="BJ528">
        <v>0.2</v>
      </c>
      <c r="BK528">
        <v>1</v>
      </c>
      <c r="BL528">
        <v>59.42</v>
      </c>
      <c r="BM528">
        <v>8.91</v>
      </c>
      <c r="BN528">
        <v>68.33</v>
      </c>
      <c r="BO528">
        <v>68.33</v>
      </c>
      <c r="BQ528" t="s">
        <v>1221</v>
      </c>
      <c r="BR528" t="s">
        <v>82</v>
      </c>
      <c r="BS528" s="3">
        <v>45996</v>
      </c>
      <c r="BT528" s="4">
        <v>0.39583333333333331</v>
      </c>
      <c r="BU528" t="s">
        <v>1222</v>
      </c>
      <c r="BV528" t="s">
        <v>84</v>
      </c>
      <c r="BY528">
        <v>1200</v>
      </c>
      <c r="CA528" t="s">
        <v>1223</v>
      </c>
      <c r="CC528" t="s">
        <v>466</v>
      </c>
      <c r="CD528">
        <v>1401</v>
      </c>
      <c r="CE528" t="s">
        <v>134</v>
      </c>
      <c r="CF528" s="3">
        <v>45997</v>
      </c>
      <c r="CI528">
        <v>1</v>
      </c>
      <c r="CJ528">
        <v>1</v>
      </c>
      <c r="CK528">
        <v>22</v>
      </c>
      <c r="CL528" t="s">
        <v>87</v>
      </c>
    </row>
    <row r="529" spans="1:90" x14ac:dyDescent="0.3">
      <c r="A529" t="s">
        <v>72</v>
      </c>
      <c r="B529" t="s">
        <v>73</v>
      </c>
      <c r="C529" t="s">
        <v>74</v>
      </c>
      <c r="E529" t="str">
        <f>"080069673163"</f>
        <v>080069673163</v>
      </c>
      <c r="F529" s="3">
        <v>45995</v>
      </c>
      <c r="G529">
        <v>202609</v>
      </c>
      <c r="H529" t="s">
        <v>75</v>
      </c>
      <c r="I529" t="s">
        <v>76</v>
      </c>
      <c r="J529" t="s">
        <v>77</v>
      </c>
      <c r="K529" t="s">
        <v>78</v>
      </c>
      <c r="L529" t="s">
        <v>100</v>
      </c>
      <c r="M529" t="s">
        <v>101</v>
      </c>
      <c r="N529" t="s">
        <v>102</v>
      </c>
      <c r="O529" t="s">
        <v>89</v>
      </c>
      <c r="P529" t="str">
        <f>"4170071874                    "</f>
        <v xml:space="preserve">4170071874                    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25.52</v>
      </c>
      <c r="AR529">
        <v>0</v>
      </c>
      <c r="AS529">
        <v>0</v>
      </c>
      <c r="AT529">
        <v>0</v>
      </c>
      <c r="AU529">
        <v>0</v>
      </c>
      <c r="AV529">
        <v>0</v>
      </c>
      <c r="AW529">
        <v>0</v>
      </c>
      <c r="AX529">
        <v>0</v>
      </c>
      <c r="AY529">
        <v>0</v>
      </c>
      <c r="AZ529">
        <v>0</v>
      </c>
      <c r="BA529">
        <v>0</v>
      </c>
      <c r="BB529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1</v>
      </c>
      <c r="BI529">
        <v>2</v>
      </c>
      <c r="BJ529">
        <v>1.4</v>
      </c>
      <c r="BK529">
        <v>2</v>
      </c>
      <c r="BL529">
        <v>76.06</v>
      </c>
      <c r="BM529">
        <v>11.41</v>
      </c>
      <c r="BN529">
        <v>87.47</v>
      </c>
      <c r="BO529">
        <v>87.47</v>
      </c>
      <c r="BQ529" t="s">
        <v>103</v>
      </c>
      <c r="BR529" t="s">
        <v>82</v>
      </c>
      <c r="BS529" s="3">
        <v>45996</v>
      </c>
      <c r="BT529" s="4">
        <v>0.35347222222222224</v>
      </c>
      <c r="BU529" t="s">
        <v>1186</v>
      </c>
      <c r="BV529" t="s">
        <v>84</v>
      </c>
      <c r="BY529">
        <v>7000</v>
      </c>
      <c r="CA529" t="s">
        <v>107</v>
      </c>
      <c r="CC529" t="s">
        <v>101</v>
      </c>
      <c r="CD529">
        <v>4051</v>
      </c>
      <c r="CE529" t="s">
        <v>86</v>
      </c>
      <c r="CF529" s="3">
        <v>45996</v>
      </c>
      <c r="CI529">
        <v>1</v>
      </c>
      <c r="CJ529">
        <v>1</v>
      </c>
      <c r="CK529">
        <v>21</v>
      </c>
      <c r="CL529" t="s">
        <v>87</v>
      </c>
    </row>
    <row r="530" spans="1:90" x14ac:dyDescent="0.3">
      <c r="A530" t="s">
        <v>72</v>
      </c>
      <c r="B530" t="s">
        <v>73</v>
      </c>
      <c r="C530" t="s">
        <v>74</v>
      </c>
      <c r="E530" t="str">
        <f>"080069673208"</f>
        <v>080069673208</v>
      </c>
      <c r="F530" s="3">
        <v>45995</v>
      </c>
      <c r="G530">
        <v>202609</v>
      </c>
      <c r="H530" t="s">
        <v>75</v>
      </c>
      <c r="I530" t="s">
        <v>76</v>
      </c>
      <c r="J530" t="s">
        <v>77</v>
      </c>
      <c r="K530" t="s">
        <v>78</v>
      </c>
      <c r="L530" t="s">
        <v>141</v>
      </c>
      <c r="M530" t="s">
        <v>142</v>
      </c>
      <c r="N530" t="s">
        <v>851</v>
      </c>
      <c r="O530" t="s">
        <v>89</v>
      </c>
      <c r="P530" t="str">
        <f>"4170071727                    "</f>
        <v xml:space="preserve">4170071727                    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25.52</v>
      </c>
      <c r="AR530">
        <v>0</v>
      </c>
      <c r="AS530">
        <v>0</v>
      </c>
      <c r="AT530">
        <v>0</v>
      </c>
      <c r="AU530">
        <v>0</v>
      </c>
      <c r="AV530">
        <v>0</v>
      </c>
      <c r="AW530">
        <v>0</v>
      </c>
      <c r="AX530">
        <v>0</v>
      </c>
      <c r="AY530">
        <v>0</v>
      </c>
      <c r="AZ530">
        <v>0</v>
      </c>
      <c r="BA530">
        <v>0</v>
      </c>
      <c r="BB530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1</v>
      </c>
      <c r="BI530">
        <v>1</v>
      </c>
      <c r="BJ530">
        <v>0.2</v>
      </c>
      <c r="BK530">
        <v>1</v>
      </c>
      <c r="BL530">
        <v>76.06</v>
      </c>
      <c r="BM530">
        <v>11.41</v>
      </c>
      <c r="BN530">
        <v>87.47</v>
      </c>
      <c r="BO530">
        <v>87.47</v>
      </c>
      <c r="BQ530" t="s">
        <v>852</v>
      </c>
      <c r="BR530" t="s">
        <v>82</v>
      </c>
      <c r="BS530" s="3">
        <v>45996</v>
      </c>
      <c r="BT530" s="4">
        <v>0.39166666666666666</v>
      </c>
      <c r="BU530" t="s">
        <v>853</v>
      </c>
      <c r="BV530" t="s">
        <v>84</v>
      </c>
      <c r="BY530">
        <v>1200</v>
      </c>
      <c r="CA530" t="s">
        <v>569</v>
      </c>
      <c r="CC530" t="s">
        <v>142</v>
      </c>
      <c r="CD530">
        <v>6001</v>
      </c>
      <c r="CE530" t="s">
        <v>134</v>
      </c>
      <c r="CF530" s="3">
        <v>45996</v>
      </c>
      <c r="CI530">
        <v>1</v>
      </c>
      <c r="CJ530">
        <v>1</v>
      </c>
      <c r="CK530">
        <v>21</v>
      </c>
      <c r="CL530" t="s">
        <v>87</v>
      </c>
    </row>
    <row r="531" spans="1:90" x14ac:dyDescent="0.3">
      <c r="A531" t="s">
        <v>72</v>
      </c>
      <c r="B531" t="s">
        <v>73</v>
      </c>
      <c r="C531" t="s">
        <v>74</v>
      </c>
      <c r="E531" t="str">
        <f>"080069673209"</f>
        <v>080069673209</v>
      </c>
      <c r="F531" s="3">
        <v>45995</v>
      </c>
      <c r="G531">
        <v>202609</v>
      </c>
      <c r="H531" t="s">
        <v>75</v>
      </c>
      <c r="I531" t="s">
        <v>76</v>
      </c>
      <c r="J531" t="s">
        <v>77</v>
      </c>
      <c r="K531" t="s">
        <v>78</v>
      </c>
      <c r="L531" t="s">
        <v>265</v>
      </c>
      <c r="M531" t="s">
        <v>266</v>
      </c>
      <c r="N531" t="s">
        <v>1224</v>
      </c>
      <c r="O531" t="s">
        <v>89</v>
      </c>
      <c r="P531" t="str">
        <f>"4170071738                    "</f>
        <v xml:space="preserve">4170071738                    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19.940000000000001</v>
      </c>
      <c r="AR531">
        <v>0</v>
      </c>
      <c r="AS531">
        <v>0</v>
      </c>
      <c r="AT531">
        <v>0</v>
      </c>
      <c r="AU531">
        <v>0</v>
      </c>
      <c r="AV531">
        <v>0</v>
      </c>
      <c r="AW531">
        <v>0</v>
      </c>
      <c r="AX531">
        <v>0</v>
      </c>
      <c r="AY531">
        <v>0</v>
      </c>
      <c r="AZ531">
        <v>0</v>
      </c>
      <c r="BA531">
        <v>0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1</v>
      </c>
      <c r="BI531">
        <v>1.9</v>
      </c>
      <c r="BJ531">
        <v>1.7</v>
      </c>
      <c r="BK531">
        <v>2</v>
      </c>
      <c r="BL531">
        <v>59.42</v>
      </c>
      <c r="BM531">
        <v>8.91</v>
      </c>
      <c r="BN531">
        <v>68.33</v>
      </c>
      <c r="BO531">
        <v>68.33</v>
      </c>
      <c r="BQ531" t="s">
        <v>1225</v>
      </c>
      <c r="BR531" t="s">
        <v>82</v>
      </c>
      <c r="BS531" s="3">
        <v>45996</v>
      </c>
      <c r="BT531" s="4">
        <v>0.33888888888888891</v>
      </c>
      <c r="BU531" t="s">
        <v>1226</v>
      </c>
      <c r="BV531" t="s">
        <v>84</v>
      </c>
      <c r="BY531">
        <v>8555.4</v>
      </c>
      <c r="CC531" t="s">
        <v>266</v>
      </c>
      <c r="CD531">
        <v>1460</v>
      </c>
      <c r="CE531" t="s">
        <v>86</v>
      </c>
      <c r="CF531" s="3">
        <v>45996</v>
      </c>
      <c r="CI531">
        <v>1</v>
      </c>
      <c r="CJ531">
        <v>1</v>
      </c>
      <c r="CK531">
        <v>22</v>
      </c>
      <c r="CL531" t="s">
        <v>87</v>
      </c>
    </row>
    <row r="532" spans="1:90" x14ac:dyDescent="0.3">
      <c r="A532" t="s">
        <v>72</v>
      </c>
      <c r="B532" t="s">
        <v>73</v>
      </c>
      <c r="C532" t="s">
        <v>74</v>
      </c>
      <c r="E532" t="str">
        <f>"080069673265"</f>
        <v>080069673265</v>
      </c>
      <c r="F532" s="3">
        <v>45995</v>
      </c>
      <c r="G532">
        <v>202609</v>
      </c>
      <c r="H532" t="s">
        <v>75</v>
      </c>
      <c r="I532" t="s">
        <v>76</v>
      </c>
      <c r="J532" t="s">
        <v>77</v>
      </c>
      <c r="K532" t="s">
        <v>78</v>
      </c>
      <c r="L532" t="s">
        <v>926</v>
      </c>
      <c r="M532" t="s">
        <v>927</v>
      </c>
      <c r="N532" t="s">
        <v>1227</v>
      </c>
      <c r="O532" t="s">
        <v>89</v>
      </c>
      <c r="P532" t="str">
        <f>"4170071776                    "</f>
        <v xml:space="preserve">4170071776                    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19.940000000000001</v>
      </c>
      <c r="AR532">
        <v>0</v>
      </c>
      <c r="AS532">
        <v>0</v>
      </c>
      <c r="AT532">
        <v>0</v>
      </c>
      <c r="AU532">
        <v>0</v>
      </c>
      <c r="AV532">
        <v>0</v>
      </c>
      <c r="AW532">
        <v>0</v>
      </c>
      <c r="AX532">
        <v>0</v>
      </c>
      <c r="AY532">
        <v>0</v>
      </c>
      <c r="AZ532">
        <v>0</v>
      </c>
      <c r="BA532">
        <v>0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1</v>
      </c>
      <c r="BI532">
        <v>0.2</v>
      </c>
      <c r="BJ532">
        <v>1.1000000000000001</v>
      </c>
      <c r="BK532">
        <v>2</v>
      </c>
      <c r="BL532">
        <v>59.42</v>
      </c>
      <c r="BM532">
        <v>8.91</v>
      </c>
      <c r="BN532">
        <v>68.33</v>
      </c>
      <c r="BO532">
        <v>68.33</v>
      </c>
      <c r="BQ532" t="s">
        <v>1228</v>
      </c>
      <c r="BR532" t="s">
        <v>82</v>
      </c>
      <c r="BS532" s="3">
        <v>45996</v>
      </c>
      <c r="BT532" s="4">
        <v>0.41597222222222224</v>
      </c>
      <c r="BU532" t="s">
        <v>1229</v>
      </c>
      <c r="BV532" t="s">
        <v>84</v>
      </c>
      <c r="BY532">
        <v>5370.3</v>
      </c>
      <c r="CA532" t="s">
        <v>1230</v>
      </c>
      <c r="CC532" t="s">
        <v>927</v>
      </c>
      <c r="CD532">
        <v>1682</v>
      </c>
      <c r="CE532" t="s">
        <v>134</v>
      </c>
      <c r="CF532" s="3">
        <v>45997</v>
      </c>
      <c r="CI532">
        <v>1</v>
      </c>
      <c r="CJ532">
        <v>1</v>
      </c>
      <c r="CK532">
        <v>22</v>
      </c>
      <c r="CL532" t="s">
        <v>87</v>
      </c>
    </row>
    <row r="533" spans="1:90" x14ac:dyDescent="0.3">
      <c r="A533" t="s">
        <v>72</v>
      </c>
      <c r="B533" t="s">
        <v>73</v>
      </c>
      <c r="C533" t="s">
        <v>74</v>
      </c>
      <c r="E533" t="str">
        <f>"080069673274"</f>
        <v>080069673274</v>
      </c>
      <c r="F533" s="3">
        <v>45995</v>
      </c>
      <c r="G533">
        <v>202609</v>
      </c>
      <c r="H533" t="s">
        <v>75</v>
      </c>
      <c r="I533" t="s">
        <v>76</v>
      </c>
      <c r="J533" t="s">
        <v>77</v>
      </c>
      <c r="K533" t="s">
        <v>78</v>
      </c>
      <c r="L533" t="s">
        <v>533</v>
      </c>
      <c r="M533" t="s">
        <v>533</v>
      </c>
      <c r="N533" t="s">
        <v>519</v>
      </c>
      <c r="O533" t="s">
        <v>89</v>
      </c>
      <c r="P533" t="str">
        <f>"4170071665                    "</f>
        <v xml:space="preserve">4170071665                    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127.61</v>
      </c>
      <c r="AR533">
        <v>0</v>
      </c>
      <c r="AS533">
        <v>0</v>
      </c>
      <c r="AT533">
        <v>0</v>
      </c>
      <c r="AU533">
        <v>0</v>
      </c>
      <c r="AV533">
        <v>0</v>
      </c>
      <c r="AW533">
        <v>0</v>
      </c>
      <c r="AX533">
        <v>0</v>
      </c>
      <c r="AY533">
        <v>0</v>
      </c>
      <c r="AZ533">
        <v>0</v>
      </c>
      <c r="BA533">
        <v>0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2</v>
      </c>
      <c r="BI533">
        <v>4</v>
      </c>
      <c r="BJ533">
        <v>5.2</v>
      </c>
      <c r="BK533">
        <v>5.5</v>
      </c>
      <c r="BL533">
        <v>380.31</v>
      </c>
      <c r="BM533">
        <v>57.05</v>
      </c>
      <c r="BN533">
        <v>437.36</v>
      </c>
      <c r="BO533">
        <v>437.36</v>
      </c>
      <c r="BQ533" t="s">
        <v>520</v>
      </c>
      <c r="BR533" t="s">
        <v>82</v>
      </c>
      <c r="BS533" s="3">
        <v>45996</v>
      </c>
      <c r="BT533" s="4">
        <v>0.73472222222222228</v>
      </c>
      <c r="BU533" t="s">
        <v>1231</v>
      </c>
      <c r="BV533" t="s">
        <v>87</v>
      </c>
      <c r="BW533" t="s">
        <v>153</v>
      </c>
      <c r="BX533" t="s">
        <v>345</v>
      </c>
      <c r="BY533">
        <v>26040</v>
      </c>
      <c r="CA533" t="s">
        <v>537</v>
      </c>
      <c r="CC533" t="s">
        <v>533</v>
      </c>
      <c r="CD533">
        <v>7646</v>
      </c>
      <c r="CE533" t="s">
        <v>86</v>
      </c>
      <c r="CI533">
        <v>1</v>
      </c>
      <c r="CJ533">
        <v>1</v>
      </c>
      <c r="CK533">
        <v>23</v>
      </c>
      <c r="CL533" t="s">
        <v>87</v>
      </c>
    </row>
    <row r="534" spans="1:90" x14ac:dyDescent="0.3">
      <c r="A534" t="s">
        <v>72</v>
      </c>
      <c r="B534" t="s">
        <v>73</v>
      </c>
      <c r="C534" t="s">
        <v>74</v>
      </c>
      <c r="E534" t="str">
        <f>"080069673317"</f>
        <v>080069673317</v>
      </c>
      <c r="F534" s="3">
        <v>45995</v>
      </c>
      <c r="G534">
        <v>202609</v>
      </c>
      <c r="H534" t="s">
        <v>75</v>
      </c>
      <c r="I534" t="s">
        <v>76</v>
      </c>
      <c r="J534" t="s">
        <v>77</v>
      </c>
      <c r="K534" t="s">
        <v>78</v>
      </c>
      <c r="L534" t="s">
        <v>75</v>
      </c>
      <c r="M534" t="s">
        <v>76</v>
      </c>
      <c r="N534" t="s">
        <v>1232</v>
      </c>
      <c r="O534" t="s">
        <v>340</v>
      </c>
      <c r="P534" t="str">
        <f>"4170071919                    "</f>
        <v xml:space="preserve">4170071919                    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19.940000000000001</v>
      </c>
      <c r="AR534">
        <v>0</v>
      </c>
      <c r="AS534">
        <v>0</v>
      </c>
      <c r="AT534">
        <v>0</v>
      </c>
      <c r="AU534">
        <v>0</v>
      </c>
      <c r="AV534">
        <v>0</v>
      </c>
      <c r="AW534">
        <v>0</v>
      </c>
      <c r="AX534">
        <v>0</v>
      </c>
      <c r="AY534">
        <v>0</v>
      </c>
      <c r="AZ534">
        <v>0</v>
      </c>
      <c r="BA534">
        <v>0</v>
      </c>
      <c r="BB534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1</v>
      </c>
      <c r="BI534">
        <v>5.3</v>
      </c>
      <c r="BJ534">
        <v>2.8</v>
      </c>
      <c r="BK534">
        <v>6</v>
      </c>
      <c r="BL534">
        <v>59.43</v>
      </c>
      <c r="BM534">
        <v>8.91</v>
      </c>
      <c r="BN534">
        <v>68.34</v>
      </c>
      <c r="BO534">
        <v>68.34</v>
      </c>
      <c r="BQ534" t="s">
        <v>1233</v>
      </c>
      <c r="BR534" t="s">
        <v>82</v>
      </c>
      <c r="BS534" s="3">
        <v>45996</v>
      </c>
      <c r="BT534" s="4">
        <v>0.54791666666666672</v>
      </c>
      <c r="BU534" t="s">
        <v>1234</v>
      </c>
      <c r="BV534" t="s">
        <v>84</v>
      </c>
      <c r="BY534">
        <v>13868.16</v>
      </c>
      <c r="CA534" t="s">
        <v>497</v>
      </c>
      <c r="CC534" t="s">
        <v>76</v>
      </c>
      <c r="CD534">
        <v>1601</v>
      </c>
      <c r="CE534" t="s">
        <v>93</v>
      </c>
      <c r="CF534" s="3">
        <v>45997</v>
      </c>
      <c r="CI534">
        <v>1</v>
      </c>
      <c r="CJ534">
        <v>1</v>
      </c>
      <c r="CK534">
        <v>32</v>
      </c>
      <c r="CL534" t="s">
        <v>87</v>
      </c>
    </row>
    <row r="535" spans="1:90" x14ac:dyDescent="0.3">
      <c r="A535" t="s">
        <v>72</v>
      </c>
      <c r="B535" t="s">
        <v>73</v>
      </c>
      <c r="C535" t="s">
        <v>74</v>
      </c>
      <c r="E535" t="str">
        <f>"080069673365"</f>
        <v>080069673365</v>
      </c>
      <c r="F535" s="3">
        <v>45995</v>
      </c>
      <c r="G535">
        <v>202609</v>
      </c>
      <c r="H535" t="s">
        <v>75</v>
      </c>
      <c r="I535" t="s">
        <v>76</v>
      </c>
      <c r="J535" t="s">
        <v>77</v>
      </c>
      <c r="K535" t="s">
        <v>78</v>
      </c>
      <c r="L535" t="s">
        <v>685</v>
      </c>
      <c r="M535" t="s">
        <v>686</v>
      </c>
      <c r="N535" t="s">
        <v>687</v>
      </c>
      <c r="O535" t="s">
        <v>340</v>
      </c>
      <c r="P535" t="str">
        <f>"4170071885                    "</f>
        <v xml:space="preserve">4170071885                    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78.98</v>
      </c>
      <c r="AR535">
        <v>0</v>
      </c>
      <c r="AS535">
        <v>0</v>
      </c>
      <c r="AT535">
        <v>0</v>
      </c>
      <c r="AU535">
        <v>0</v>
      </c>
      <c r="AV535">
        <v>0</v>
      </c>
      <c r="AW535">
        <v>0</v>
      </c>
      <c r="AX535">
        <v>0</v>
      </c>
      <c r="AY535">
        <v>0</v>
      </c>
      <c r="AZ535">
        <v>0</v>
      </c>
      <c r="BA535">
        <v>0</v>
      </c>
      <c r="BB535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1</v>
      </c>
      <c r="BI535">
        <v>3.6</v>
      </c>
      <c r="BJ535">
        <v>1.6</v>
      </c>
      <c r="BK535">
        <v>4</v>
      </c>
      <c r="BL535">
        <v>235.38</v>
      </c>
      <c r="BM535">
        <v>35.31</v>
      </c>
      <c r="BN535">
        <v>270.69</v>
      </c>
      <c r="BO535">
        <v>270.69</v>
      </c>
      <c r="BQ535" t="s">
        <v>688</v>
      </c>
      <c r="BR535" t="s">
        <v>82</v>
      </c>
      <c r="BS535" s="3">
        <v>45996</v>
      </c>
      <c r="BT535" s="4">
        <v>0.66666666666666663</v>
      </c>
      <c r="BU535" t="s">
        <v>1235</v>
      </c>
      <c r="BV535" t="s">
        <v>84</v>
      </c>
      <c r="BY535">
        <v>7796.25</v>
      </c>
      <c r="CC535" t="s">
        <v>686</v>
      </c>
      <c r="CD535">
        <v>1759</v>
      </c>
      <c r="CE535" t="s">
        <v>93</v>
      </c>
      <c r="CF535" s="3">
        <v>45997</v>
      </c>
      <c r="CI535">
        <v>1</v>
      </c>
      <c r="CJ535">
        <v>1</v>
      </c>
      <c r="CK535">
        <v>34</v>
      </c>
      <c r="CL535" t="s">
        <v>87</v>
      </c>
    </row>
    <row r="536" spans="1:90" x14ac:dyDescent="0.3">
      <c r="A536" t="s">
        <v>72</v>
      </c>
      <c r="B536" t="s">
        <v>73</v>
      </c>
      <c r="C536" t="s">
        <v>74</v>
      </c>
      <c r="E536" t="str">
        <f>"080069673535"</f>
        <v>080069673535</v>
      </c>
      <c r="F536" s="3">
        <v>45995</v>
      </c>
      <c r="G536">
        <v>202609</v>
      </c>
      <c r="H536" t="s">
        <v>75</v>
      </c>
      <c r="I536" t="s">
        <v>76</v>
      </c>
      <c r="J536" t="s">
        <v>77</v>
      </c>
      <c r="K536" t="s">
        <v>78</v>
      </c>
      <c r="L536" t="s">
        <v>265</v>
      </c>
      <c r="M536" t="s">
        <v>266</v>
      </c>
      <c r="N536" t="s">
        <v>414</v>
      </c>
      <c r="O536" t="s">
        <v>340</v>
      </c>
      <c r="P536" t="str">
        <f>"4170071815                    "</f>
        <v xml:space="preserve">4170071815                    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19.940000000000001</v>
      </c>
      <c r="AR536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0</v>
      </c>
      <c r="AY536">
        <v>0</v>
      </c>
      <c r="AZ536">
        <v>0</v>
      </c>
      <c r="BA536">
        <v>0</v>
      </c>
      <c r="BB536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2</v>
      </c>
      <c r="BI536">
        <v>6.2</v>
      </c>
      <c r="BJ536">
        <v>4.9000000000000004</v>
      </c>
      <c r="BK536">
        <v>7</v>
      </c>
      <c r="BL536">
        <v>59.43</v>
      </c>
      <c r="BM536">
        <v>8.91</v>
      </c>
      <c r="BN536">
        <v>68.34</v>
      </c>
      <c r="BO536">
        <v>68.34</v>
      </c>
      <c r="BQ536" t="s">
        <v>415</v>
      </c>
      <c r="BR536" t="s">
        <v>82</v>
      </c>
      <c r="BS536" s="3">
        <v>45996</v>
      </c>
      <c r="BT536" s="4">
        <v>0.47222222222222221</v>
      </c>
      <c r="BU536" t="s">
        <v>1236</v>
      </c>
      <c r="BV536" t="s">
        <v>84</v>
      </c>
      <c r="BY536">
        <v>24438.09</v>
      </c>
      <c r="CA536" t="s">
        <v>417</v>
      </c>
      <c r="CC536" t="s">
        <v>266</v>
      </c>
      <c r="CD536">
        <v>1459</v>
      </c>
      <c r="CE536" t="s">
        <v>134</v>
      </c>
      <c r="CF536" s="3">
        <v>45996</v>
      </c>
      <c r="CI536">
        <v>1</v>
      </c>
      <c r="CJ536">
        <v>1</v>
      </c>
      <c r="CK536">
        <v>32</v>
      </c>
      <c r="CL536" t="s">
        <v>87</v>
      </c>
    </row>
    <row r="537" spans="1:90" x14ac:dyDescent="0.3">
      <c r="A537" t="s">
        <v>72</v>
      </c>
      <c r="B537" t="s">
        <v>73</v>
      </c>
      <c r="C537" t="s">
        <v>74</v>
      </c>
      <c r="E537" t="str">
        <f>"080069673631"</f>
        <v>080069673631</v>
      </c>
      <c r="F537" s="3">
        <v>45995</v>
      </c>
      <c r="G537">
        <v>202609</v>
      </c>
      <c r="H537" t="s">
        <v>75</v>
      </c>
      <c r="I537" t="s">
        <v>76</v>
      </c>
      <c r="J537" t="s">
        <v>77</v>
      </c>
      <c r="K537" t="s">
        <v>78</v>
      </c>
      <c r="L537" t="s">
        <v>156</v>
      </c>
      <c r="M537" t="s">
        <v>157</v>
      </c>
      <c r="N537" t="s">
        <v>1096</v>
      </c>
      <c r="O537" t="s">
        <v>89</v>
      </c>
      <c r="P537" t="str">
        <f>"4170071787                    "</f>
        <v xml:space="preserve">4170071787                    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25.52</v>
      </c>
      <c r="AR537">
        <v>0</v>
      </c>
      <c r="AS537">
        <v>0</v>
      </c>
      <c r="AT537">
        <v>0</v>
      </c>
      <c r="AU537">
        <v>0</v>
      </c>
      <c r="AV537">
        <v>0</v>
      </c>
      <c r="AW537">
        <v>0</v>
      </c>
      <c r="AX537">
        <v>0</v>
      </c>
      <c r="AY537">
        <v>0</v>
      </c>
      <c r="AZ537">
        <v>0</v>
      </c>
      <c r="BA537">
        <v>0</v>
      </c>
      <c r="BB53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1</v>
      </c>
      <c r="BI537">
        <v>2</v>
      </c>
      <c r="BJ537">
        <v>1.1000000000000001</v>
      </c>
      <c r="BK537">
        <v>2</v>
      </c>
      <c r="BL537">
        <v>76.06</v>
      </c>
      <c r="BM537">
        <v>11.41</v>
      </c>
      <c r="BN537">
        <v>87.47</v>
      </c>
      <c r="BO537">
        <v>87.47</v>
      </c>
      <c r="BQ537" t="s">
        <v>1097</v>
      </c>
      <c r="BR537" t="s">
        <v>82</v>
      </c>
      <c r="BS537" s="3">
        <v>45996</v>
      </c>
      <c r="BT537" s="4">
        <v>0.48680555555555555</v>
      </c>
      <c r="BU537" t="s">
        <v>1237</v>
      </c>
      <c r="BV537" t="s">
        <v>87</v>
      </c>
      <c r="BW537" t="s">
        <v>153</v>
      </c>
      <c r="BX537" t="s">
        <v>979</v>
      </c>
      <c r="BY537">
        <v>5510</v>
      </c>
      <c r="CA537" t="s">
        <v>1238</v>
      </c>
      <c r="CC537" t="s">
        <v>157</v>
      </c>
      <c r="CD537">
        <v>7441</v>
      </c>
      <c r="CE537" t="s">
        <v>86</v>
      </c>
      <c r="CI537">
        <v>1</v>
      </c>
      <c r="CJ537">
        <v>1</v>
      </c>
      <c r="CK537">
        <v>21</v>
      </c>
      <c r="CL537" t="s">
        <v>87</v>
      </c>
    </row>
    <row r="538" spans="1:90" x14ac:dyDescent="0.3">
      <c r="A538" t="s">
        <v>72</v>
      </c>
      <c r="B538" t="s">
        <v>73</v>
      </c>
      <c r="C538" t="s">
        <v>74</v>
      </c>
      <c r="E538" t="str">
        <f>"080069673675"</f>
        <v>080069673675</v>
      </c>
      <c r="F538" s="3">
        <v>45995</v>
      </c>
      <c r="G538">
        <v>202609</v>
      </c>
      <c r="H538" t="s">
        <v>75</v>
      </c>
      <c r="I538" t="s">
        <v>76</v>
      </c>
      <c r="J538" t="s">
        <v>77</v>
      </c>
      <c r="K538" t="s">
        <v>78</v>
      </c>
      <c r="L538" t="s">
        <v>135</v>
      </c>
      <c r="M538" t="s">
        <v>136</v>
      </c>
      <c r="N538" t="s">
        <v>137</v>
      </c>
      <c r="O538" t="s">
        <v>89</v>
      </c>
      <c r="P538" t="str">
        <f>"4170071736                    "</f>
        <v xml:space="preserve">4170071736                    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49.45</v>
      </c>
      <c r="AR538">
        <v>0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1</v>
      </c>
      <c r="BI538">
        <v>1</v>
      </c>
      <c r="BJ538">
        <v>1.8</v>
      </c>
      <c r="BK538">
        <v>2</v>
      </c>
      <c r="BL538">
        <v>147.38</v>
      </c>
      <c r="BM538">
        <v>22.11</v>
      </c>
      <c r="BN538">
        <v>169.49</v>
      </c>
      <c r="BO538">
        <v>169.49</v>
      </c>
      <c r="BQ538" t="s">
        <v>138</v>
      </c>
      <c r="BR538" t="s">
        <v>82</v>
      </c>
      <c r="BS538" s="3">
        <v>45996</v>
      </c>
      <c r="BT538" s="4">
        <v>0.44374999999999998</v>
      </c>
      <c r="BU538" t="s">
        <v>1239</v>
      </c>
      <c r="BV538" t="s">
        <v>84</v>
      </c>
      <c r="BY538">
        <v>8816</v>
      </c>
      <c r="CA538" t="s">
        <v>140</v>
      </c>
      <c r="CC538" t="s">
        <v>136</v>
      </c>
      <c r="CD538">
        <v>7110</v>
      </c>
      <c r="CE538" t="s">
        <v>86</v>
      </c>
      <c r="CI538">
        <v>1</v>
      </c>
      <c r="CJ538">
        <v>1</v>
      </c>
      <c r="CK538">
        <v>23</v>
      </c>
      <c r="CL538" t="s">
        <v>87</v>
      </c>
    </row>
    <row r="539" spans="1:90" x14ac:dyDescent="0.3">
      <c r="A539" t="s">
        <v>72</v>
      </c>
      <c r="B539" t="s">
        <v>73</v>
      </c>
      <c r="C539" t="s">
        <v>74</v>
      </c>
      <c r="E539" t="str">
        <f>"080069673716"</f>
        <v>080069673716</v>
      </c>
      <c r="F539" s="3">
        <v>45995</v>
      </c>
      <c r="G539">
        <v>202609</v>
      </c>
      <c r="H539" t="s">
        <v>75</v>
      </c>
      <c r="I539" t="s">
        <v>76</v>
      </c>
      <c r="J539" t="s">
        <v>77</v>
      </c>
      <c r="K539" t="s">
        <v>78</v>
      </c>
      <c r="L539" t="s">
        <v>75</v>
      </c>
      <c r="M539" t="s">
        <v>76</v>
      </c>
      <c r="N539" t="s">
        <v>79</v>
      </c>
      <c r="O539" t="s">
        <v>89</v>
      </c>
      <c r="P539" t="str">
        <f>"4170071788                    "</f>
        <v xml:space="preserve">4170071788                    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19.940000000000001</v>
      </c>
      <c r="AR539">
        <v>0</v>
      </c>
      <c r="AS539">
        <v>0</v>
      </c>
      <c r="AT539">
        <v>0</v>
      </c>
      <c r="AU539">
        <v>0</v>
      </c>
      <c r="AV539">
        <v>0</v>
      </c>
      <c r="AW539">
        <v>0</v>
      </c>
      <c r="AX539">
        <v>0</v>
      </c>
      <c r="AY539">
        <v>0</v>
      </c>
      <c r="AZ539">
        <v>0</v>
      </c>
      <c r="BA539">
        <v>0</v>
      </c>
      <c r="BB539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1</v>
      </c>
      <c r="BI539">
        <v>0.8</v>
      </c>
      <c r="BJ539">
        <v>1</v>
      </c>
      <c r="BK539">
        <v>1</v>
      </c>
      <c r="BL539">
        <v>59.42</v>
      </c>
      <c r="BM539">
        <v>8.91</v>
      </c>
      <c r="BN539">
        <v>68.33</v>
      </c>
      <c r="BO539">
        <v>68.33</v>
      </c>
      <c r="BQ539" t="s">
        <v>81</v>
      </c>
      <c r="BR539" t="s">
        <v>82</v>
      </c>
      <c r="BS539" s="3">
        <v>45996</v>
      </c>
      <c r="BT539" s="4">
        <v>0.34722222222222221</v>
      </c>
      <c r="BU539" t="s">
        <v>83</v>
      </c>
      <c r="BV539" t="s">
        <v>84</v>
      </c>
      <c r="BY539">
        <v>5245.2</v>
      </c>
      <c r="CA539" t="s">
        <v>85</v>
      </c>
      <c r="CC539" t="s">
        <v>76</v>
      </c>
      <c r="CD539">
        <v>1619</v>
      </c>
      <c r="CE539" t="s">
        <v>86</v>
      </c>
      <c r="CI539">
        <v>1</v>
      </c>
      <c r="CJ539">
        <v>1</v>
      </c>
      <c r="CK539">
        <v>22</v>
      </c>
      <c r="CL539" t="s">
        <v>87</v>
      </c>
    </row>
    <row r="540" spans="1:90" x14ac:dyDescent="0.3">
      <c r="A540" t="s">
        <v>72</v>
      </c>
      <c r="B540" t="s">
        <v>73</v>
      </c>
      <c r="C540" t="s">
        <v>74</v>
      </c>
      <c r="E540" t="str">
        <f>"080069673757"</f>
        <v>080069673757</v>
      </c>
      <c r="F540" s="3">
        <v>45995</v>
      </c>
      <c r="G540">
        <v>202609</v>
      </c>
      <c r="H540" t="s">
        <v>75</v>
      </c>
      <c r="I540" t="s">
        <v>76</v>
      </c>
      <c r="J540" t="s">
        <v>77</v>
      </c>
      <c r="K540" t="s">
        <v>78</v>
      </c>
      <c r="L540" t="s">
        <v>351</v>
      </c>
      <c r="M540" t="s">
        <v>352</v>
      </c>
      <c r="N540" t="s">
        <v>1240</v>
      </c>
      <c r="O540" t="s">
        <v>89</v>
      </c>
      <c r="P540" t="str">
        <f>"4170071817                    "</f>
        <v xml:space="preserve">4170071817                    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35.9</v>
      </c>
      <c r="AR540">
        <v>0</v>
      </c>
      <c r="AS540">
        <v>0</v>
      </c>
      <c r="AT540">
        <v>0</v>
      </c>
      <c r="AU540">
        <v>0</v>
      </c>
      <c r="AV540">
        <v>0</v>
      </c>
      <c r="AW540">
        <v>0</v>
      </c>
      <c r="AX540">
        <v>0</v>
      </c>
      <c r="AY540">
        <v>0</v>
      </c>
      <c r="AZ540">
        <v>0</v>
      </c>
      <c r="BA540">
        <v>0</v>
      </c>
      <c r="BB540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1</v>
      </c>
      <c r="BI540">
        <v>0.6</v>
      </c>
      <c r="BJ540">
        <v>0.8</v>
      </c>
      <c r="BK540">
        <v>1</v>
      </c>
      <c r="BL540">
        <v>106.98</v>
      </c>
      <c r="BM540">
        <v>16.05</v>
      </c>
      <c r="BN540">
        <v>123.03</v>
      </c>
      <c r="BO540">
        <v>123.03</v>
      </c>
      <c r="BQ540" t="s">
        <v>1241</v>
      </c>
      <c r="BR540" t="s">
        <v>82</v>
      </c>
      <c r="BS540" s="3">
        <v>45996</v>
      </c>
      <c r="BT540" s="4">
        <v>0.43263888888888891</v>
      </c>
      <c r="BU540" t="s">
        <v>1242</v>
      </c>
      <c r="BV540" t="s">
        <v>84</v>
      </c>
      <c r="BY540">
        <v>3933.93</v>
      </c>
      <c r="CA540" t="s">
        <v>1243</v>
      </c>
      <c r="CC540" t="s">
        <v>352</v>
      </c>
      <c r="CD540">
        <v>1438</v>
      </c>
      <c r="CE540" t="s">
        <v>86</v>
      </c>
      <c r="CF540" s="3">
        <v>45997</v>
      </c>
      <c r="CI540">
        <v>1</v>
      </c>
      <c r="CJ540">
        <v>1</v>
      </c>
      <c r="CK540">
        <v>24</v>
      </c>
      <c r="CL540" t="s">
        <v>87</v>
      </c>
    </row>
    <row r="541" spans="1:90" x14ac:dyDescent="0.3">
      <c r="A541" t="s">
        <v>72</v>
      </c>
      <c r="B541" t="s">
        <v>73</v>
      </c>
      <c r="C541" t="s">
        <v>74</v>
      </c>
      <c r="E541" t="str">
        <f>"080069673804"</f>
        <v>080069673804</v>
      </c>
      <c r="F541" s="3">
        <v>45995</v>
      </c>
      <c r="G541">
        <v>202609</v>
      </c>
      <c r="H541" t="s">
        <v>75</v>
      </c>
      <c r="I541" t="s">
        <v>76</v>
      </c>
      <c r="J541" t="s">
        <v>77</v>
      </c>
      <c r="K541" t="s">
        <v>78</v>
      </c>
      <c r="L541" t="s">
        <v>156</v>
      </c>
      <c r="M541" t="s">
        <v>157</v>
      </c>
      <c r="N541" t="s">
        <v>443</v>
      </c>
      <c r="O541" t="s">
        <v>89</v>
      </c>
      <c r="P541" t="str">
        <f>"4170071896                    "</f>
        <v xml:space="preserve">4170071896                    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127.57</v>
      </c>
      <c r="AR541">
        <v>0</v>
      </c>
      <c r="AS541">
        <v>0</v>
      </c>
      <c r="AT541">
        <v>0</v>
      </c>
      <c r="AU541">
        <v>0</v>
      </c>
      <c r="AV541">
        <v>0</v>
      </c>
      <c r="AW541">
        <v>0</v>
      </c>
      <c r="AX541">
        <v>0</v>
      </c>
      <c r="AY541">
        <v>0</v>
      </c>
      <c r="AZ541">
        <v>0</v>
      </c>
      <c r="BA541">
        <v>0</v>
      </c>
      <c r="BB541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1</v>
      </c>
      <c r="BI541">
        <v>6</v>
      </c>
      <c r="BJ541">
        <v>9.9</v>
      </c>
      <c r="BK541">
        <v>10</v>
      </c>
      <c r="BL541">
        <v>380.19</v>
      </c>
      <c r="BM541">
        <v>57.03</v>
      </c>
      <c r="BN541">
        <v>437.22</v>
      </c>
      <c r="BO541">
        <v>437.22</v>
      </c>
      <c r="BQ541" t="s">
        <v>444</v>
      </c>
      <c r="BR541" t="s">
        <v>82</v>
      </c>
      <c r="BS541" s="3">
        <v>45996</v>
      </c>
      <c r="BT541" s="4">
        <v>0.40277777777777779</v>
      </c>
      <c r="BU541" t="s">
        <v>1169</v>
      </c>
      <c r="BV541" t="s">
        <v>84</v>
      </c>
      <c r="BY541">
        <v>49368</v>
      </c>
      <c r="CA541" t="s">
        <v>346</v>
      </c>
      <c r="CC541" t="s">
        <v>157</v>
      </c>
      <c r="CD541">
        <v>7530</v>
      </c>
      <c r="CE541" t="s">
        <v>93</v>
      </c>
      <c r="CI541">
        <v>1</v>
      </c>
      <c r="CJ541">
        <v>1</v>
      </c>
      <c r="CK541">
        <v>21</v>
      </c>
      <c r="CL541" t="s">
        <v>87</v>
      </c>
    </row>
    <row r="542" spans="1:90" x14ac:dyDescent="0.3">
      <c r="A542" t="s">
        <v>72</v>
      </c>
      <c r="B542" t="s">
        <v>73</v>
      </c>
      <c r="C542" t="s">
        <v>74</v>
      </c>
      <c r="E542" t="str">
        <f>"080069673843"</f>
        <v>080069673843</v>
      </c>
      <c r="F542" s="3">
        <v>45995</v>
      </c>
      <c r="G542">
        <v>202609</v>
      </c>
      <c r="H542" t="s">
        <v>75</v>
      </c>
      <c r="I542" t="s">
        <v>76</v>
      </c>
      <c r="J542" t="s">
        <v>77</v>
      </c>
      <c r="K542" t="s">
        <v>78</v>
      </c>
      <c r="L542" t="s">
        <v>176</v>
      </c>
      <c r="M542" t="s">
        <v>177</v>
      </c>
      <c r="N542" t="s">
        <v>178</v>
      </c>
      <c r="O542" t="s">
        <v>89</v>
      </c>
      <c r="P542" t="str">
        <f>"4170071306                    "</f>
        <v xml:space="preserve">4170071306                    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19.940000000000001</v>
      </c>
      <c r="AR542">
        <v>0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1</v>
      </c>
      <c r="BI542">
        <v>1.8</v>
      </c>
      <c r="BJ542">
        <v>3.6</v>
      </c>
      <c r="BK542">
        <v>4</v>
      </c>
      <c r="BL542">
        <v>59.42</v>
      </c>
      <c r="BM542">
        <v>8.91</v>
      </c>
      <c r="BN542">
        <v>68.33</v>
      </c>
      <c r="BO542">
        <v>68.33</v>
      </c>
      <c r="BQ542" t="s">
        <v>179</v>
      </c>
      <c r="BR542" t="s">
        <v>82</v>
      </c>
      <c r="BS542" s="3">
        <v>45996</v>
      </c>
      <c r="BT542" s="4">
        <v>0.38194444444444442</v>
      </c>
      <c r="BU542" t="s">
        <v>180</v>
      </c>
      <c r="BV542" t="s">
        <v>84</v>
      </c>
      <c r="BY542">
        <v>17859.939999999999</v>
      </c>
      <c r="CA542" t="s">
        <v>182</v>
      </c>
      <c r="CC542" t="s">
        <v>177</v>
      </c>
      <c r="CD542">
        <v>2094</v>
      </c>
      <c r="CE542" t="s">
        <v>93</v>
      </c>
      <c r="CF542" s="3">
        <v>45996</v>
      </c>
      <c r="CI542">
        <v>1</v>
      </c>
      <c r="CJ542">
        <v>1</v>
      </c>
      <c r="CK542">
        <v>22</v>
      </c>
      <c r="CL542" t="s">
        <v>87</v>
      </c>
    </row>
    <row r="543" spans="1:90" x14ac:dyDescent="0.3">
      <c r="A543" t="s">
        <v>72</v>
      </c>
      <c r="B543" t="s">
        <v>73</v>
      </c>
      <c r="C543" t="s">
        <v>74</v>
      </c>
      <c r="E543" t="str">
        <f>"080069673878"</f>
        <v>080069673878</v>
      </c>
      <c r="F543" s="3">
        <v>45995</v>
      </c>
      <c r="G543">
        <v>202609</v>
      </c>
      <c r="H543" t="s">
        <v>75</v>
      </c>
      <c r="I543" t="s">
        <v>76</v>
      </c>
      <c r="J543" t="s">
        <v>77</v>
      </c>
      <c r="K543" t="s">
        <v>78</v>
      </c>
      <c r="L543" t="s">
        <v>533</v>
      </c>
      <c r="M543" t="s">
        <v>533</v>
      </c>
      <c r="N543" t="s">
        <v>554</v>
      </c>
      <c r="O543" t="s">
        <v>89</v>
      </c>
      <c r="P543" t="str">
        <f>"4170071806                    "</f>
        <v xml:space="preserve">4170071806                    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49.45</v>
      </c>
      <c r="AR543">
        <v>0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0</v>
      </c>
      <c r="AY543">
        <v>0</v>
      </c>
      <c r="AZ543">
        <v>0</v>
      </c>
      <c r="BA543">
        <v>0</v>
      </c>
      <c r="BB543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1</v>
      </c>
      <c r="BI543">
        <v>2</v>
      </c>
      <c r="BJ543">
        <v>1.4</v>
      </c>
      <c r="BK543">
        <v>2</v>
      </c>
      <c r="BL543">
        <v>147.38</v>
      </c>
      <c r="BM543">
        <v>22.11</v>
      </c>
      <c r="BN543">
        <v>169.49</v>
      </c>
      <c r="BO543">
        <v>169.49</v>
      </c>
      <c r="BQ543" t="s">
        <v>555</v>
      </c>
      <c r="BR543" t="s">
        <v>82</v>
      </c>
      <c r="BS543" s="3">
        <v>45996</v>
      </c>
      <c r="BT543" s="4">
        <v>0.72638888888888886</v>
      </c>
      <c r="BU543" t="s">
        <v>1214</v>
      </c>
      <c r="BV543" t="s">
        <v>87</v>
      </c>
      <c r="BW543" t="s">
        <v>153</v>
      </c>
      <c r="BX543" t="s">
        <v>345</v>
      </c>
      <c r="BY543">
        <v>7000</v>
      </c>
      <c r="CA543" t="s">
        <v>537</v>
      </c>
      <c r="CC543" t="s">
        <v>533</v>
      </c>
      <c r="CD543">
        <v>7646</v>
      </c>
      <c r="CE543" t="s">
        <v>86</v>
      </c>
      <c r="CI543">
        <v>1</v>
      </c>
      <c r="CJ543">
        <v>1</v>
      </c>
      <c r="CK543">
        <v>23</v>
      </c>
      <c r="CL543" t="s">
        <v>87</v>
      </c>
    </row>
    <row r="544" spans="1:90" x14ac:dyDescent="0.3">
      <c r="A544" t="s">
        <v>72</v>
      </c>
      <c r="B544" t="s">
        <v>73</v>
      </c>
      <c r="C544" t="s">
        <v>74</v>
      </c>
      <c r="E544" t="str">
        <f>"080069673930"</f>
        <v>080069673930</v>
      </c>
      <c r="F544" s="3">
        <v>45995</v>
      </c>
      <c r="G544">
        <v>202609</v>
      </c>
      <c r="H544" t="s">
        <v>75</v>
      </c>
      <c r="I544" t="s">
        <v>76</v>
      </c>
      <c r="J544" t="s">
        <v>77</v>
      </c>
      <c r="K544" t="s">
        <v>78</v>
      </c>
      <c r="L544" t="s">
        <v>691</v>
      </c>
      <c r="M544" t="s">
        <v>691</v>
      </c>
      <c r="N544" t="s">
        <v>541</v>
      </c>
      <c r="O544" t="s">
        <v>340</v>
      </c>
      <c r="P544" t="str">
        <f>"4170071685                    "</f>
        <v xml:space="preserve">4170071685                    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78.98</v>
      </c>
      <c r="AR544">
        <v>0</v>
      </c>
      <c r="AS544">
        <v>0</v>
      </c>
      <c r="AT544">
        <v>0</v>
      </c>
      <c r="AU544">
        <v>0</v>
      </c>
      <c r="AV544">
        <v>0</v>
      </c>
      <c r="AW544">
        <v>0</v>
      </c>
      <c r="AX544">
        <v>0</v>
      </c>
      <c r="AY544">
        <v>0</v>
      </c>
      <c r="AZ544">
        <v>0</v>
      </c>
      <c r="BA544">
        <v>0</v>
      </c>
      <c r="BB544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1</v>
      </c>
      <c r="BI544">
        <v>4</v>
      </c>
      <c r="BJ544">
        <v>1.8</v>
      </c>
      <c r="BK544">
        <v>4</v>
      </c>
      <c r="BL544">
        <v>235.38</v>
      </c>
      <c r="BM544">
        <v>35.31</v>
      </c>
      <c r="BN544">
        <v>270.69</v>
      </c>
      <c r="BO544">
        <v>270.69</v>
      </c>
      <c r="BQ544" t="s">
        <v>542</v>
      </c>
      <c r="BR544" t="s">
        <v>82</v>
      </c>
      <c r="BS544" s="3">
        <v>45996</v>
      </c>
      <c r="BT544" s="4">
        <v>0.41666666666666669</v>
      </c>
      <c r="BU544" t="s">
        <v>341</v>
      </c>
      <c r="BV544" t="s">
        <v>84</v>
      </c>
      <c r="BY544">
        <v>8816</v>
      </c>
      <c r="CA544" t="s">
        <v>1206</v>
      </c>
      <c r="CC544" t="s">
        <v>691</v>
      </c>
      <c r="CD544">
        <v>1491</v>
      </c>
      <c r="CE544" t="s">
        <v>86</v>
      </c>
      <c r="CF544" s="3">
        <v>45996</v>
      </c>
      <c r="CI544">
        <v>1</v>
      </c>
      <c r="CJ544">
        <v>1</v>
      </c>
      <c r="CK544">
        <v>34</v>
      </c>
      <c r="CL544" t="s">
        <v>87</v>
      </c>
    </row>
    <row r="545" spans="1:90" x14ac:dyDescent="0.3">
      <c r="A545" t="s">
        <v>72</v>
      </c>
      <c r="B545" t="s">
        <v>73</v>
      </c>
      <c r="C545" t="s">
        <v>74</v>
      </c>
      <c r="E545" t="str">
        <f>"080069673969"</f>
        <v>080069673969</v>
      </c>
      <c r="F545" s="3">
        <v>45995</v>
      </c>
      <c r="G545">
        <v>202609</v>
      </c>
      <c r="H545" t="s">
        <v>75</v>
      </c>
      <c r="I545" t="s">
        <v>76</v>
      </c>
      <c r="J545" t="s">
        <v>77</v>
      </c>
      <c r="K545" t="s">
        <v>78</v>
      </c>
      <c r="L545" t="s">
        <v>120</v>
      </c>
      <c r="M545" t="s">
        <v>121</v>
      </c>
      <c r="N545" t="s">
        <v>1244</v>
      </c>
      <c r="O545" t="s">
        <v>89</v>
      </c>
      <c r="P545" t="str">
        <f>"4170071798                    "</f>
        <v xml:space="preserve">4170071798                    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25.52</v>
      </c>
      <c r="AR545">
        <v>0</v>
      </c>
      <c r="AS545">
        <v>0</v>
      </c>
      <c r="AT545">
        <v>0</v>
      </c>
      <c r="AU545">
        <v>0</v>
      </c>
      <c r="AV545">
        <v>0</v>
      </c>
      <c r="AW545">
        <v>0</v>
      </c>
      <c r="AX545">
        <v>0</v>
      </c>
      <c r="AY545">
        <v>0</v>
      </c>
      <c r="AZ545">
        <v>0</v>
      </c>
      <c r="BA545">
        <v>0</v>
      </c>
      <c r="BB545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1</v>
      </c>
      <c r="BI545">
        <v>1</v>
      </c>
      <c r="BJ545">
        <v>1.1000000000000001</v>
      </c>
      <c r="BK545">
        <v>1.5</v>
      </c>
      <c r="BL545">
        <v>76.06</v>
      </c>
      <c r="BM545">
        <v>11.41</v>
      </c>
      <c r="BN545">
        <v>87.47</v>
      </c>
      <c r="BO545">
        <v>87.47</v>
      </c>
      <c r="BQ545" t="s">
        <v>1245</v>
      </c>
      <c r="BR545" t="s">
        <v>82</v>
      </c>
      <c r="BS545" s="3">
        <v>45996</v>
      </c>
      <c r="BT545" s="4">
        <v>0.43333333333333335</v>
      </c>
      <c r="BU545" t="s">
        <v>1246</v>
      </c>
      <c r="BV545" t="s">
        <v>84</v>
      </c>
      <c r="BY545">
        <v>5510</v>
      </c>
      <c r="CA545" t="s">
        <v>126</v>
      </c>
      <c r="CC545" t="s">
        <v>121</v>
      </c>
      <c r="CD545">
        <v>6229</v>
      </c>
      <c r="CE545" t="s">
        <v>86</v>
      </c>
      <c r="CF545" s="3">
        <v>45996</v>
      </c>
      <c r="CI545">
        <v>1</v>
      </c>
      <c r="CJ545">
        <v>1</v>
      </c>
      <c r="CK545">
        <v>21</v>
      </c>
      <c r="CL545" t="s">
        <v>87</v>
      </c>
    </row>
    <row r="546" spans="1:90" x14ac:dyDescent="0.3">
      <c r="A546" t="s">
        <v>72</v>
      </c>
      <c r="B546" t="s">
        <v>73</v>
      </c>
      <c r="C546" t="s">
        <v>74</v>
      </c>
      <c r="E546" t="str">
        <f>"R080069578669"</f>
        <v>R080069578669</v>
      </c>
      <c r="F546" s="3">
        <v>45995</v>
      </c>
      <c r="G546">
        <v>202609</v>
      </c>
      <c r="H546" t="s">
        <v>265</v>
      </c>
      <c r="I546" t="s">
        <v>266</v>
      </c>
      <c r="J546" t="s">
        <v>267</v>
      </c>
      <c r="K546" t="s">
        <v>78</v>
      </c>
      <c r="L546" t="s">
        <v>75</v>
      </c>
      <c r="M546" t="s">
        <v>76</v>
      </c>
      <c r="N546" t="s">
        <v>1247</v>
      </c>
      <c r="O546" t="s">
        <v>80</v>
      </c>
      <c r="P546" t="str">
        <f>"4170071205                    "</f>
        <v xml:space="preserve">4170071205                    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38.090000000000003</v>
      </c>
      <c r="AR546">
        <v>0</v>
      </c>
      <c r="AS546">
        <v>0</v>
      </c>
      <c r="AT546">
        <v>0</v>
      </c>
      <c r="AU546">
        <v>0</v>
      </c>
      <c r="AV546">
        <v>0</v>
      </c>
      <c r="AW546">
        <v>0</v>
      </c>
      <c r="AX546">
        <v>0</v>
      </c>
      <c r="AY546">
        <v>0</v>
      </c>
      <c r="AZ546">
        <v>0</v>
      </c>
      <c r="BA546">
        <v>0</v>
      </c>
      <c r="BB546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1</v>
      </c>
      <c r="BI546">
        <v>5</v>
      </c>
      <c r="BJ546">
        <v>4.0999999999999996</v>
      </c>
      <c r="BK546">
        <v>5</v>
      </c>
      <c r="BL546">
        <v>119.61</v>
      </c>
      <c r="BM546">
        <v>17.940000000000001</v>
      </c>
      <c r="BN546">
        <v>137.55000000000001</v>
      </c>
      <c r="BO546">
        <v>137.55000000000001</v>
      </c>
      <c r="BQ546" s="5" t="s">
        <v>1248</v>
      </c>
      <c r="BR546" t="s">
        <v>268</v>
      </c>
      <c r="BS546" s="3">
        <v>45996</v>
      </c>
      <c r="BT546" s="4">
        <v>0.40555555555555556</v>
      </c>
      <c r="BU546" t="s">
        <v>1249</v>
      </c>
      <c r="BV546" t="s">
        <v>84</v>
      </c>
      <c r="BY546">
        <v>20358</v>
      </c>
      <c r="CA546" t="s">
        <v>1250</v>
      </c>
      <c r="CC546" t="s">
        <v>76</v>
      </c>
      <c r="CD546">
        <v>1609</v>
      </c>
      <c r="CE546" t="s">
        <v>86</v>
      </c>
      <c r="CF546" s="3">
        <v>45997</v>
      </c>
      <c r="CI546">
        <v>1</v>
      </c>
      <c r="CJ546">
        <v>1</v>
      </c>
      <c r="CK546">
        <v>42</v>
      </c>
      <c r="CL546" t="s">
        <v>87</v>
      </c>
    </row>
    <row r="547" spans="1:90" x14ac:dyDescent="0.3">
      <c r="A547" t="s">
        <v>72</v>
      </c>
      <c r="B547" t="s">
        <v>73</v>
      </c>
      <c r="C547" t="s">
        <v>74</v>
      </c>
      <c r="E547" t="str">
        <f>"080069674262"</f>
        <v>080069674262</v>
      </c>
      <c r="F547" s="3">
        <v>45995</v>
      </c>
      <c r="G547">
        <v>202609</v>
      </c>
      <c r="H547" t="s">
        <v>75</v>
      </c>
      <c r="I547" t="s">
        <v>76</v>
      </c>
      <c r="J547" t="s">
        <v>77</v>
      </c>
      <c r="K547" t="s">
        <v>78</v>
      </c>
      <c r="L547" t="s">
        <v>141</v>
      </c>
      <c r="M547" t="s">
        <v>142</v>
      </c>
      <c r="N547" t="s">
        <v>1251</v>
      </c>
      <c r="O547" t="s">
        <v>89</v>
      </c>
      <c r="P547" t="str">
        <f>"4170071939                    "</f>
        <v xml:space="preserve">4170071939                    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25.52</v>
      </c>
      <c r="AR547">
        <v>0</v>
      </c>
      <c r="AS547">
        <v>0</v>
      </c>
      <c r="AT547">
        <v>0</v>
      </c>
      <c r="AU547">
        <v>0</v>
      </c>
      <c r="AV547">
        <v>0</v>
      </c>
      <c r="AW547">
        <v>0</v>
      </c>
      <c r="AX547">
        <v>0</v>
      </c>
      <c r="AY547">
        <v>0</v>
      </c>
      <c r="AZ547">
        <v>0</v>
      </c>
      <c r="BA547">
        <v>0</v>
      </c>
      <c r="BB54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1</v>
      </c>
      <c r="BI547">
        <v>1</v>
      </c>
      <c r="BJ547">
        <v>0.2</v>
      </c>
      <c r="BK547">
        <v>1</v>
      </c>
      <c r="BL547">
        <v>76.06</v>
      </c>
      <c r="BM547">
        <v>11.41</v>
      </c>
      <c r="BN547">
        <v>87.47</v>
      </c>
      <c r="BO547">
        <v>87.47</v>
      </c>
      <c r="BQ547" t="s">
        <v>1252</v>
      </c>
      <c r="BR547" t="s">
        <v>82</v>
      </c>
      <c r="BS547" s="3">
        <v>45996</v>
      </c>
      <c r="BT547" s="4">
        <v>0.4236111111111111</v>
      </c>
      <c r="BU547" t="s">
        <v>1253</v>
      </c>
      <c r="BV547" t="s">
        <v>84</v>
      </c>
      <c r="BY547">
        <v>1200</v>
      </c>
      <c r="CA547" t="s">
        <v>1203</v>
      </c>
      <c r="CC547" t="s">
        <v>142</v>
      </c>
      <c r="CD547">
        <v>6001</v>
      </c>
      <c r="CE547" t="s">
        <v>134</v>
      </c>
      <c r="CF547" s="3">
        <v>45996</v>
      </c>
      <c r="CI547">
        <v>1</v>
      </c>
      <c r="CJ547">
        <v>1</v>
      </c>
      <c r="CK547">
        <v>21</v>
      </c>
      <c r="CL547" t="s">
        <v>87</v>
      </c>
    </row>
    <row r="548" spans="1:90" x14ac:dyDescent="0.3">
      <c r="A548" t="s">
        <v>72</v>
      </c>
      <c r="B548" t="s">
        <v>73</v>
      </c>
      <c r="C548" t="s">
        <v>74</v>
      </c>
      <c r="E548" t="str">
        <f>"080069674317"</f>
        <v>080069674317</v>
      </c>
      <c r="F548" s="3">
        <v>45995</v>
      </c>
      <c r="G548">
        <v>202609</v>
      </c>
      <c r="H548" t="s">
        <v>75</v>
      </c>
      <c r="I548" t="s">
        <v>76</v>
      </c>
      <c r="J548" t="s">
        <v>77</v>
      </c>
      <c r="K548" t="s">
        <v>78</v>
      </c>
      <c r="L548" t="s">
        <v>120</v>
      </c>
      <c r="M548" t="s">
        <v>121</v>
      </c>
      <c r="N548" t="s">
        <v>163</v>
      </c>
      <c r="O548" t="s">
        <v>89</v>
      </c>
      <c r="P548" t="str">
        <f>"4170071914                    "</f>
        <v xml:space="preserve">4170071914                    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25.52</v>
      </c>
      <c r="AR548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1</v>
      </c>
      <c r="BI548">
        <v>1</v>
      </c>
      <c r="BJ548">
        <v>0.2</v>
      </c>
      <c r="BK548">
        <v>1</v>
      </c>
      <c r="BL548">
        <v>76.06</v>
      </c>
      <c r="BM548">
        <v>11.41</v>
      </c>
      <c r="BN548">
        <v>87.47</v>
      </c>
      <c r="BO548">
        <v>87.47</v>
      </c>
      <c r="BQ548" t="s">
        <v>164</v>
      </c>
      <c r="BR548" t="s">
        <v>82</v>
      </c>
      <c r="BS548" s="3">
        <v>45996</v>
      </c>
      <c r="BT548" s="4">
        <v>0.39861111111111114</v>
      </c>
      <c r="BU548" t="s">
        <v>165</v>
      </c>
      <c r="BV548" t="s">
        <v>84</v>
      </c>
      <c r="BY548">
        <v>1200</v>
      </c>
      <c r="CA548" t="s">
        <v>126</v>
      </c>
      <c r="CC548" t="s">
        <v>121</v>
      </c>
      <c r="CD548">
        <v>6230</v>
      </c>
      <c r="CE548" t="s">
        <v>134</v>
      </c>
      <c r="CF548" s="3">
        <v>45996</v>
      </c>
      <c r="CI548">
        <v>1</v>
      </c>
      <c r="CJ548">
        <v>1</v>
      </c>
      <c r="CK548">
        <v>21</v>
      </c>
      <c r="CL548" t="s">
        <v>87</v>
      </c>
    </row>
    <row r="549" spans="1:90" x14ac:dyDescent="0.3">
      <c r="A549" t="s">
        <v>72</v>
      </c>
      <c r="B549" t="s">
        <v>73</v>
      </c>
      <c r="C549" t="s">
        <v>74</v>
      </c>
      <c r="E549" t="str">
        <f>"080069674380"</f>
        <v>080069674380</v>
      </c>
      <c r="F549" s="3">
        <v>45995</v>
      </c>
      <c r="G549">
        <v>202609</v>
      </c>
      <c r="H549" t="s">
        <v>75</v>
      </c>
      <c r="I549" t="s">
        <v>76</v>
      </c>
      <c r="J549" t="s">
        <v>77</v>
      </c>
      <c r="K549" t="s">
        <v>78</v>
      </c>
      <c r="L549" t="s">
        <v>374</v>
      </c>
      <c r="M549" t="s">
        <v>375</v>
      </c>
      <c r="N549" t="s">
        <v>376</v>
      </c>
      <c r="O549" t="s">
        <v>89</v>
      </c>
      <c r="P549" t="str">
        <f>"4170071759                    "</f>
        <v xml:space="preserve">4170071759                    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25.52</v>
      </c>
      <c r="AR549">
        <v>0</v>
      </c>
      <c r="AS549">
        <v>0</v>
      </c>
      <c r="AT549">
        <v>0</v>
      </c>
      <c r="AU549">
        <v>0</v>
      </c>
      <c r="AV549">
        <v>0</v>
      </c>
      <c r="AW549">
        <v>0</v>
      </c>
      <c r="AX549">
        <v>0</v>
      </c>
      <c r="AY549">
        <v>0</v>
      </c>
      <c r="AZ549">
        <v>0</v>
      </c>
      <c r="BA549">
        <v>0</v>
      </c>
      <c r="BB549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1</v>
      </c>
      <c r="BI549">
        <v>1</v>
      </c>
      <c r="BJ549">
        <v>0.2</v>
      </c>
      <c r="BK549">
        <v>1</v>
      </c>
      <c r="BL549">
        <v>76.06</v>
      </c>
      <c r="BM549">
        <v>11.41</v>
      </c>
      <c r="BN549">
        <v>87.47</v>
      </c>
      <c r="BO549">
        <v>87.47</v>
      </c>
      <c r="BQ549" t="s">
        <v>377</v>
      </c>
      <c r="BR549" t="s">
        <v>82</v>
      </c>
      <c r="BS549" s="3">
        <v>45996</v>
      </c>
      <c r="BT549" s="4">
        <v>0.41666666666666669</v>
      </c>
      <c r="BU549" t="s">
        <v>1254</v>
      </c>
      <c r="BV549" t="s">
        <v>84</v>
      </c>
      <c r="BY549">
        <v>1200</v>
      </c>
      <c r="CC549" t="s">
        <v>375</v>
      </c>
      <c r="CD549">
        <v>7600</v>
      </c>
      <c r="CE549" t="s">
        <v>134</v>
      </c>
      <c r="CI549">
        <v>1</v>
      </c>
      <c r="CJ549">
        <v>1</v>
      </c>
      <c r="CK549">
        <v>21</v>
      </c>
      <c r="CL549" t="s">
        <v>87</v>
      </c>
    </row>
    <row r="550" spans="1:90" x14ac:dyDescent="0.3">
      <c r="A550" t="s">
        <v>72</v>
      </c>
      <c r="B550" t="s">
        <v>73</v>
      </c>
      <c r="C550" t="s">
        <v>74</v>
      </c>
      <c r="E550" t="str">
        <f>"080069674444"</f>
        <v>080069674444</v>
      </c>
      <c r="F550" s="3">
        <v>45995</v>
      </c>
      <c r="G550">
        <v>202609</v>
      </c>
      <c r="H550" t="s">
        <v>75</v>
      </c>
      <c r="I550" t="s">
        <v>76</v>
      </c>
      <c r="J550" t="s">
        <v>77</v>
      </c>
      <c r="K550" t="s">
        <v>78</v>
      </c>
      <c r="L550" t="s">
        <v>100</v>
      </c>
      <c r="M550" t="s">
        <v>101</v>
      </c>
      <c r="N550" t="s">
        <v>102</v>
      </c>
      <c r="O550" t="s">
        <v>89</v>
      </c>
      <c r="P550" t="str">
        <f>"4170071916                    "</f>
        <v xml:space="preserve">4170071916                    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25.52</v>
      </c>
      <c r="AR550">
        <v>0</v>
      </c>
      <c r="AS550">
        <v>0</v>
      </c>
      <c r="AT550">
        <v>0</v>
      </c>
      <c r="AU550">
        <v>0</v>
      </c>
      <c r="AV550">
        <v>0</v>
      </c>
      <c r="AW550">
        <v>0</v>
      </c>
      <c r="AX550">
        <v>0</v>
      </c>
      <c r="AY550">
        <v>0</v>
      </c>
      <c r="AZ550">
        <v>0</v>
      </c>
      <c r="BA550">
        <v>0</v>
      </c>
      <c r="BB550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1</v>
      </c>
      <c r="BI550">
        <v>1</v>
      </c>
      <c r="BJ550">
        <v>0.2</v>
      </c>
      <c r="BK550">
        <v>1</v>
      </c>
      <c r="BL550">
        <v>76.06</v>
      </c>
      <c r="BM550">
        <v>11.41</v>
      </c>
      <c r="BN550">
        <v>87.47</v>
      </c>
      <c r="BO550">
        <v>87.47</v>
      </c>
      <c r="BQ550" t="s">
        <v>103</v>
      </c>
      <c r="BR550" t="s">
        <v>82</v>
      </c>
      <c r="BS550" s="3">
        <v>45996</v>
      </c>
      <c r="BT550" s="4">
        <v>0.35347222222222224</v>
      </c>
      <c r="BU550" t="s">
        <v>1186</v>
      </c>
      <c r="BV550" t="s">
        <v>84</v>
      </c>
      <c r="BY550">
        <v>1200</v>
      </c>
      <c r="CA550" t="s">
        <v>107</v>
      </c>
      <c r="CC550" t="s">
        <v>101</v>
      </c>
      <c r="CD550">
        <v>4000</v>
      </c>
      <c r="CE550" t="s">
        <v>134</v>
      </c>
      <c r="CF550" s="3">
        <v>45996</v>
      </c>
      <c r="CI550">
        <v>1</v>
      </c>
      <c r="CJ550">
        <v>1</v>
      </c>
      <c r="CK550">
        <v>21</v>
      </c>
      <c r="CL550" t="s">
        <v>87</v>
      </c>
    </row>
    <row r="551" spans="1:90" x14ac:dyDescent="0.3">
      <c r="A551" t="s">
        <v>72</v>
      </c>
      <c r="B551" t="s">
        <v>73</v>
      </c>
      <c r="C551" t="s">
        <v>74</v>
      </c>
      <c r="E551" t="str">
        <f>"080069674505"</f>
        <v>080069674505</v>
      </c>
      <c r="F551" s="3">
        <v>45995</v>
      </c>
      <c r="G551">
        <v>202609</v>
      </c>
      <c r="H551" t="s">
        <v>75</v>
      </c>
      <c r="I551" t="s">
        <v>76</v>
      </c>
      <c r="J551" t="s">
        <v>77</v>
      </c>
      <c r="K551" t="s">
        <v>78</v>
      </c>
      <c r="L551" t="s">
        <v>272</v>
      </c>
      <c r="M551" t="s">
        <v>273</v>
      </c>
      <c r="N551" t="s">
        <v>274</v>
      </c>
      <c r="O551" t="s">
        <v>89</v>
      </c>
      <c r="P551" t="str">
        <f>"4170071836                    "</f>
        <v xml:space="preserve">4170071836                    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25.52</v>
      </c>
      <c r="AR551">
        <v>0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0</v>
      </c>
      <c r="AY551">
        <v>0</v>
      </c>
      <c r="AZ551">
        <v>0</v>
      </c>
      <c r="BA551">
        <v>0</v>
      </c>
      <c r="BB551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1</v>
      </c>
      <c r="BI551">
        <v>1</v>
      </c>
      <c r="BJ551">
        <v>0.2</v>
      </c>
      <c r="BK551">
        <v>1</v>
      </c>
      <c r="BL551">
        <v>76.06</v>
      </c>
      <c r="BM551">
        <v>11.41</v>
      </c>
      <c r="BN551">
        <v>87.47</v>
      </c>
      <c r="BO551">
        <v>87.47</v>
      </c>
      <c r="BQ551" t="s">
        <v>275</v>
      </c>
      <c r="BR551" t="s">
        <v>82</v>
      </c>
      <c r="BS551" s="3">
        <v>45996</v>
      </c>
      <c r="BT551" s="4">
        <v>0.43611111111111112</v>
      </c>
      <c r="BU551" t="s">
        <v>276</v>
      </c>
      <c r="BV551" t="s">
        <v>84</v>
      </c>
      <c r="BY551">
        <v>1200</v>
      </c>
      <c r="CA551" t="s">
        <v>277</v>
      </c>
      <c r="CC551" t="s">
        <v>273</v>
      </c>
      <c r="CD551">
        <v>6220</v>
      </c>
      <c r="CE551" t="s">
        <v>134</v>
      </c>
      <c r="CF551" s="3">
        <v>45996</v>
      </c>
      <c r="CI551">
        <v>1</v>
      </c>
      <c r="CJ551">
        <v>1</v>
      </c>
      <c r="CK551">
        <v>21</v>
      </c>
      <c r="CL551" t="s">
        <v>87</v>
      </c>
    </row>
    <row r="552" spans="1:90" x14ac:dyDescent="0.3">
      <c r="A552" t="s">
        <v>72</v>
      </c>
      <c r="B552" t="s">
        <v>73</v>
      </c>
      <c r="C552" t="s">
        <v>74</v>
      </c>
      <c r="E552" t="str">
        <f>"080069674551"</f>
        <v>080069674551</v>
      </c>
      <c r="F552" s="3">
        <v>45995</v>
      </c>
      <c r="G552">
        <v>202609</v>
      </c>
      <c r="H552" t="s">
        <v>75</v>
      </c>
      <c r="I552" t="s">
        <v>76</v>
      </c>
      <c r="J552" t="s">
        <v>77</v>
      </c>
      <c r="K552" t="s">
        <v>78</v>
      </c>
      <c r="L552" t="s">
        <v>465</v>
      </c>
      <c r="M552" t="s">
        <v>466</v>
      </c>
      <c r="N552" t="s">
        <v>731</v>
      </c>
      <c r="O552" t="s">
        <v>89</v>
      </c>
      <c r="P552" t="str">
        <f>"4170071889                    "</f>
        <v xml:space="preserve">4170071889                    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19.940000000000001</v>
      </c>
      <c r="AR552">
        <v>0</v>
      </c>
      <c r="AS552">
        <v>0</v>
      </c>
      <c r="AT552">
        <v>0</v>
      </c>
      <c r="AU552">
        <v>0</v>
      </c>
      <c r="AV552">
        <v>0</v>
      </c>
      <c r="AW552">
        <v>0</v>
      </c>
      <c r="AX552">
        <v>0</v>
      </c>
      <c r="AY552">
        <v>0</v>
      </c>
      <c r="AZ552">
        <v>0</v>
      </c>
      <c r="BA552">
        <v>0</v>
      </c>
      <c r="BB552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1</v>
      </c>
      <c r="BI552">
        <v>0.2</v>
      </c>
      <c r="BJ552">
        <v>1.4</v>
      </c>
      <c r="BK552">
        <v>2</v>
      </c>
      <c r="BL552">
        <v>59.42</v>
      </c>
      <c r="BM552">
        <v>8.91</v>
      </c>
      <c r="BN552">
        <v>68.33</v>
      </c>
      <c r="BO552">
        <v>68.33</v>
      </c>
      <c r="BQ552" t="s">
        <v>732</v>
      </c>
      <c r="BR552" t="s">
        <v>82</v>
      </c>
      <c r="BS552" s="3">
        <v>45996</v>
      </c>
      <c r="BT552" s="4">
        <v>0.3611111111111111</v>
      </c>
      <c r="BU552" t="s">
        <v>996</v>
      </c>
      <c r="BV552" t="s">
        <v>84</v>
      </c>
      <c r="BY552">
        <v>6980.96</v>
      </c>
      <c r="CA552" t="s">
        <v>720</v>
      </c>
      <c r="CC552" t="s">
        <v>466</v>
      </c>
      <c r="CD552">
        <v>1428</v>
      </c>
      <c r="CE552" t="s">
        <v>134</v>
      </c>
      <c r="CF552" s="3">
        <v>45997</v>
      </c>
      <c r="CI552">
        <v>1</v>
      </c>
      <c r="CJ552">
        <v>1</v>
      </c>
      <c r="CK552">
        <v>22</v>
      </c>
      <c r="CL552" t="s">
        <v>87</v>
      </c>
    </row>
    <row r="553" spans="1:90" x14ac:dyDescent="0.3">
      <c r="A553" t="s">
        <v>72</v>
      </c>
      <c r="B553" t="s">
        <v>73</v>
      </c>
      <c r="C553" t="s">
        <v>74</v>
      </c>
      <c r="E553" t="str">
        <f>"080069674596"</f>
        <v>080069674596</v>
      </c>
      <c r="F553" s="3">
        <v>45995</v>
      </c>
      <c r="G553">
        <v>202609</v>
      </c>
      <c r="H553" t="s">
        <v>75</v>
      </c>
      <c r="I553" t="s">
        <v>76</v>
      </c>
      <c r="J553" t="s">
        <v>77</v>
      </c>
      <c r="K553" t="s">
        <v>78</v>
      </c>
      <c r="L553" t="s">
        <v>75</v>
      </c>
      <c r="M553" t="s">
        <v>76</v>
      </c>
      <c r="N553" t="s">
        <v>79</v>
      </c>
      <c r="O553" t="s">
        <v>89</v>
      </c>
      <c r="P553" t="str">
        <f>"4170071922                    "</f>
        <v xml:space="preserve">4170071922                    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19.940000000000001</v>
      </c>
      <c r="AR553">
        <v>0</v>
      </c>
      <c r="AS553">
        <v>0</v>
      </c>
      <c r="AT553">
        <v>0</v>
      </c>
      <c r="AU553">
        <v>0</v>
      </c>
      <c r="AV553">
        <v>0</v>
      </c>
      <c r="AW553">
        <v>0</v>
      </c>
      <c r="AX553">
        <v>0</v>
      </c>
      <c r="AY553">
        <v>0</v>
      </c>
      <c r="AZ553">
        <v>0</v>
      </c>
      <c r="BA553">
        <v>0</v>
      </c>
      <c r="BB553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1</v>
      </c>
      <c r="BI553">
        <v>1.2</v>
      </c>
      <c r="BJ553">
        <v>1.4</v>
      </c>
      <c r="BK553">
        <v>2</v>
      </c>
      <c r="BL553">
        <v>59.42</v>
      </c>
      <c r="BM553">
        <v>8.91</v>
      </c>
      <c r="BN553">
        <v>68.33</v>
      </c>
      <c r="BO553">
        <v>68.33</v>
      </c>
      <c r="BQ553" t="s">
        <v>81</v>
      </c>
      <c r="BR553" t="s">
        <v>82</v>
      </c>
      <c r="BS553" s="3">
        <v>45996</v>
      </c>
      <c r="BT553" s="4">
        <v>0.34722222222222221</v>
      </c>
      <c r="BU553" t="s">
        <v>83</v>
      </c>
      <c r="BV553" t="s">
        <v>84</v>
      </c>
      <c r="BY553">
        <v>7199.15</v>
      </c>
      <c r="CA553" t="s">
        <v>85</v>
      </c>
      <c r="CC553" t="s">
        <v>76</v>
      </c>
      <c r="CD553">
        <v>1619</v>
      </c>
      <c r="CE553" t="s">
        <v>134</v>
      </c>
      <c r="CF553" s="3">
        <v>45997</v>
      </c>
      <c r="CI553">
        <v>1</v>
      </c>
      <c r="CJ553">
        <v>1</v>
      </c>
      <c r="CK553">
        <v>22</v>
      </c>
      <c r="CL553" t="s">
        <v>87</v>
      </c>
    </row>
    <row r="554" spans="1:90" x14ac:dyDescent="0.3">
      <c r="A554" t="s">
        <v>72</v>
      </c>
      <c r="B554" t="s">
        <v>73</v>
      </c>
      <c r="C554" t="s">
        <v>74</v>
      </c>
      <c r="E554" t="str">
        <f>"080069674632"</f>
        <v>080069674632</v>
      </c>
      <c r="F554" s="3">
        <v>45995</v>
      </c>
      <c r="G554">
        <v>202609</v>
      </c>
      <c r="H554" t="s">
        <v>75</v>
      </c>
      <c r="I554" t="s">
        <v>76</v>
      </c>
      <c r="J554" t="s">
        <v>77</v>
      </c>
      <c r="K554" t="s">
        <v>78</v>
      </c>
      <c r="L554" t="s">
        <v>526</v>
      </c>
      <c r="M554" t="s">
        <v>527</v>
      </c>
      <c r="N554" t="s">
        <v>1110</v>
      </c>
      <c r="O554" t="s">
        <v>89</v>
      </c>
      <c r="P554" t="str">
        <f>"4170071818                    "</f>
        <v xml:space="preserve">4170071818                    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49.45</v>
      </c>
      <c r="AR554">
        <v>0</v>
      </c>
      <c r="AS554">
        <v>0</v>
      </c>
      <c r="AT554">
        <v>0</v>
      </c>
      <c r="AU554">
        <v>0</v>
      </c>
      <c r="AV554">
        <v>0</v>
      </c>
      <c r="AW554">
        <v>17.41</v>
      </c>
      <c r="AX554">
        <v>0</v>
      </c>
      <c r="AY554">
        <v>0</v>
      </c>
      <c r="AZ554">
        <v>0</v>
      </c>
      <c r="BA554">
        <v>0</v>
      </c>
      <c r="BB554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1</v>
      </c>
      <c r="BI554">
        <v>0.6</v>
      </c>
      <c r="BJ554">
        <v>0.8</v>
      </c>
      <c r="BK554">
        <v>1</v>
      </c>
      <c r="BL554">
        <v>164.79</v>
      </c>
      <c r="BM554">
        <v>24.72</v>
      </c>
      <c r="BN554">
        <v>189.51</v>
      </c>
      <c r="BO554">
        <v>189.51</v>
      </c>
      <c r="BQ554" t="s">
        <v>1111</v>
      </c>
      <c r="BR554" t="s">
        <v>82</v>
      </c>
      <c r="BS554" s="3">
        <v>45996</v>
      </c>
      <c r="BT554" s="4">
        <v>0.51388888888888884</v>
      </c>
      <c r="BU554" t="s">
        <v>1255</v>
      </c>
      <c r="BV554" t="s">
        <v>84</v>
      </c>
      <c r="BY554">
        <v>3845.97</v>
      </c>
      <c r="BZ554" t="s">
        <v>30</v>
      </c>
      <c r="CC554" t="s">
        <v>527</v>
      </c>
      <c r="CD554" s="5" t="s">
        <v>1113</v>
      </c>
      <c r="CE554" t="s">
        <v>134</v>
      </c>
      <c r="CI554">
        <v>1</v>
      </c>
      <c r="CJ554">
        <v>1</v>
      </c>
      <c r="CK554">
        <v>23</v>
      </c>
      <c r="CL554" t="s">
        <v>87</v>
      </c>
    </row>
    <row r="555" spans="1:90" x14ac:dyDescent="0.3">
      <c r="A555" t="s">
        <v>72</v>
      </c>
      <c r="B555" t="s">
        <v>73</v>
      </c>
      <c r="C555" t="s">
        <v>74</v>
      </c>
      <c r="E555" t="str">
        <f>"080069674685"</f>
        <v>080069674685</v>
      </c>
      <c r="F555" s="3">
        <v>45995</v>
      </c>
      <c r="G555">
        <v>202609</v>
      </c>
      <c r="H555" t="s">
        <v>75</v>
      </c>
      <c r="I555" t="s">
        <v>76</v>
      </c>
      <c r="J555" t="s">
        <v>77</v>
      </c>
      <c r="K555" t="s">
        <v>78</v>
      </c>
      <c r="L555" t="s">
        <v>265</v>
      </c>
      <c r="M555" t="s">
        <v>266</v>
      </c>
      <c r="N555" t="s">
        <v>1256</v>
      </c>
      <c r="O555" t="s">
        <v>89</v>
      </c>
      <c r="P555" t="str">
        <f>"4170071875                    "</f>
        <v xml:space="preserve">4170071875                    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19.940000000000001</v>
      </c>
      <c r="AR555">
        <v>0</v>
      </c>
      <c r="AS555">
        <v>0</v>
      </c>
      <c r="AT555">
        <v>0</v>
      </c>
      <c r="AU555">
        <v>0</v>
      </c>
      <c r="AV555">
        <v>0</v>
      </c>
      <c r="AW555">
        <v>0</v>
      </c>
      <c r="AX555">
        <v>0</v>
      </c>
      <c r="AY555">
        <v>0</v>
      </c>
      <c r="AZ555">
        <v>0</v>
      </c>
      <c r="BA555">
        <v>0</v>
      </c>
      <c r="BB555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1</v>
      </c>
      <c r="BI555">
        <v>1.3</v>
      </c>
      <c r="BJ555">
        <v>1.5</v>
      </c>
      <c r="BK555">
        <v>2</v>
      </c>
      <c r="BL555">
        <v>59.42</v>
      </c>
      <c r="BM555">
        <v>8.91</v>
      </c>
      <c r="BN555">
        <v>68.33</v>
      </c>
      <c r="BO555">
        <v>68.33</v>
      </c>
      <c r="BQ555" t="s">
        <v>1257</v>
      </c>
      <c r="BR555" t="s">
        <v>82</v>
      </c>
      <c r="BS555" s="3">
        <v>45996</v>
      </c>
      <c r="BT555" s="4">
        <v>0.34375</v>
      </c>
      <c r="BU555" t="s">
        <v>1258</v>
      </c>
      <c r="BV555" t="s">
        <v>84</v>
      </c>
      <c r="BY555">
        <v>7309.89</v>
      </c>
      <c r="CA555" t="s">
        <v>319</v>
      </c>
      <c r="CC555" t="s">
        <v>266</v>
      </c>
      <c r="CD555">
        <v>1459</v>
      </c>
      <c r="CE555" t="s">
        <v>134</v>
      </c>
      <c r="CF555" s="3">
        <v>45996</v>
      </c>
      <c r="CI555">
        <v>1</v>
      </c>
      <c r="CJ555">
        <v>1</v>
      </c>
      <c r="CK555">
        <v>22</v>
      </c>
      <c r="CL555" t="s">
        <v>87</v>
      </c>
    </row>
    <row r="556" spans="1:90" x14ac:dyDescent="0.3">
      <c r="A556" t="s">
        <v>72</v>
      </c>
      <c r="B556" t="s">
        <v>73</v>
      </c>
      <c r="C556" t="s">
        <v>74</v>
      </c>
      <c r="E556" t="str">
        <f>"080069674716"</f>
        <v>080069674716</v>
      </c>
      <c r="F556" s="3">
        <v>45995</v>
      </c>
      <c r="G556">
        <v>202609</v>
      </c>
      <c r="H556" t="s">
        <v>75</v>
      </c>
      <c r="I556" t="s">
        <v>76</v>
      </c>
      <c r="J556" t="s">
        <v>77</v>
      </c>
      <c r="K556" t="s">
        <v>78</v>
      </c>
      <c r="L556" t="s">
        <v>156</v>
      </c>
      <c r="M556" t="s">
        <v>157</v>
      </c>
      <c r="N556" t="s">
        <v>508</v>
      </c>
      <c r="O556" t="s">
        <v>89</v>
      </c>
      <c r="P556" t="str">
        <f>"4170071829                    "</f>
        <v xml:space="preserve">4170071829                    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25.52</v>
      </c>
      <c r="AR556">
        <v>0</v>
      </c>
      <c r="AS556">
        <v>0</v>
      </c>
      <c r="AT556">
        <v>0</v>
      </c>
      <c r="AU556">
        <v>0</v>
      </c>
      <c r="AV556">
        <v>0</v>
      </c>
      <c r="AW556">
        <v>0</v>
      </c>
      <c r="AX556">
        <v>0</v>
      </c>
      <c r="AY556">
        <v>0</v>
      </c>
      <c r="AZ556">
        <v>0</v>
      </c>
      <c r="BA556">
        <v>0</v>
      </c>
      <c r="BB556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1</v>
      </c>
      <c r="BI556">
        <v>1</v>
      </c>
      <c r="BJ556">
        <v>0.2</v>
      </c>
      <c r="BK556">
        <v>1</v>
      </c>
      <c r="BL556">
        <v>76.06</v>
      </c>
      <c r="BM556">
        <v>11.41</v>
      </c>
      <c r="BN556">
        <v>87.47</v>
      </c>
      <c r="BO556">
        <v>87.47</v>
      </c>
      <c r="BQ556" t="s">
        <v>509</v>
      </c>
      <c r="BR556" t="s">
        <v>82</v>
      </c>
      <c r="BS556" s="3">
        <v>45996</v>
      </c>
      <c r="BT556" s="4">
        <v>0.48194444444444445</v>
      </c>
      <c r="BU556" t="s">
        <v>1259</v>
      </c>
      <c r="BV556" t="s">
        <v>87</v>
      </c>
      <c r="BW556" t="s">
        <v>153</v>
      </c>
      <c r="BX556" t="s">
        <v>979</v>
      </c>
      <c r="BY556">
        <v>1200</v>
      </c>
      <c r="CA556" t="s">
        <v>1192</v>
      </c>
      <c r="CC556" t="s">
        <v>157</v>
      </c>
      <c r="CD556">
        <v>7530</v>
      </c>
      <c r="CE556" t="s">
        <v>134</v>
      </c>
      <c r="CI556">
        <v>1</v>
      </c>
      <c r="CJ556">
        <v>1</v>
      </c>
      <c r="CK556">
        <v>21</v>
      </c>
      <c r="CL556" t="s">
        <v>87</v>
      </c>
    </row>
    <row r="557" spans="1:90" x14ac:dyDescent="0.3">
      <c r="A557" t="s">
        <v>72</v>
      </c>
      <c r="B557" t="s">
        <v>73</v>
      </c>
      <c r="C557" t="s">
        <v>74</v>
      </c>
      <c r="E557" t="str">
        <f>"080069674757"</f>
        <v>080069674757</v>
      </c>
      <c r="F557" s="3">
        <v>45995</v>
      </c>
      <c r="G557">
        <v>202609</v>
      </c>
      <c r="H557" t="s">
        <v>75</v>
      </c>
      <c r="I557" t="s">
        <v>76</v>
      </c>
      <c r="J557" t="s">
        <v>77</v>
      </c>
      <c r="K557" t="s">
        <v>78</v>
      </c>
      <c r="L557" t="s">
        <v>141</v>
      </c>
      <c r="M557" t="s">
        <v>142</v>
      </c>
      <c r="N557" t="s">
        <v>681</v>
      </c>
      <c r="O557" t="s">
        <v>89</v>
      </c>
      <c r="P557" t="str">
        <f>"4170071881                    "</f>
        <v xml:space="preserve">4170071881                    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25.52</v>
      </c>
      <c r="AR557">
        <v>0</v>
      </c>
      <c r="AS557">
        <v>0</v>
      </c>
      <c r="AT557">
        <v>0</v>
      </c>
      <c r="AU557">
        <v>0</v>
      </c>
      <c r="AV557">
        <v>0</v>
      </c>
      <c r="AW557">
        <v>0</v>
      </c>
      <c r="AX557">
        <v>0</v>
      </c>
      <c r="AY557">
        <v>0</v>
      </c>
      <c r="AZ557">
        <v>0</v>
      </c>
      <c r="BA557">
        <v>0</v>
      </c>
      <c r="BB55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1</v>
      </c>
      <c r="BI557">
        <v>1</v>
      </c>
      <c r="BJ557">
        <v>0.2</v>
      </c>
      <c r="BK557">
        <v>1</v>
      </c>
      <c r="BL557">
        <v>76.06</v>
      </c>
      <c r="BM557">
        <v>11.41</v>
      </c>
      <c r="BN557">
        <v>87.47</v>
      </c>
      <c r="BO557">
        <v>87.47</v>
      </c>
      <c r="BQ557" t="s">
        <v>682</v>
      </c>
      <c r="BR557" t="s">
        <v>82</v>
      </c>
      <c r="BS557" s="3">
        <v>45996</v>
      </c>
      <c r="BT557" s="4">
        <v>0.40486111111111112</v>
      </c>
      <c r="BU557" t="s">
        <v>1260</v>
      </c>
      <c r="BV557" t="s">
        <v>84</v>
      </c>
      <c r="BY557">
        <v>1200</v>
      </c>
      <c r="CA557" t="s">
        <v>1203</v>
      </c>
      <c r="CC557" t="s">
        <v>142</v>
      </c>
      <c r="CD557">
        <v>6000</v>
      </c>
      <c r="CE557" t="s">
        <v>134</v>
      </c>
      <c r="CF557" s="3">
        <v>45996</v>
      </c>
      <c r="CI557">
        <v>1</v>
      </c>
      <c r="CJ557">
        <v>1</v>
      </c>
      <c r="CK557">
        <v>21</v>
      </c>
      <c r="CL557" t="s">
        <v>87</v>
      </c>
    </row>
    <row r="558" spans="1:90" x14ac:dyDescent="0.3">
      <c r="A558" t="s">
        <v>72</v>
      </c>
      <c r="B558" t="s">
        <v>73</v>
      </c>
      <c r="C558" t="s">
        <v>74</v>
      </c>
      <c r="E558" t="str">
        <f>"080069674823"</f>
        <v>080069674823</v>
      </c>
      <c r="F558" s="3">
        <v>45995</v>
      </c>
      <c r="G558">
        <v>202609</v>
      </c>
      <c r="H558" t="s">
        <v>75</v>
      </c>
      <c r="I558" t="s">
        <v>76</v>
      </c>
      <c r="J558" t="s">
        <v>77</v>
      </c>
      <c r="K558" t="s">
        <v>78</v>
      </c>
      <c r="L558" t="s">
        <v>100</v>
      </c>
      <c r="M558" t="s">
        <v>101</v>
      </c>
      <c r="N558" t="s">
        <v>102</v>
      </c>
      <c r="O558" t="s">
        <v>89</v>
      </c>
      <c r="P558" t="str">
        <f>"4170071769                    "</f>
        <v xml:space="preserve">4170071769                    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25.52</v>
      </c>
      <c r="AR558">
        <v>0</v>
      </c>
      <c r="AS558">
        <v>0</v>
      </c>
      <c r="AT558">
        <v>0</v>
      </c>
      <c r="AU558">
        <v>0</v>
      </c>
      <c r="AV558">
        <v>0</v>
      </c>
      <c r="AW558">
        <v>0</v>
      </c>
      <c r="AX558">
        <v>0</v>
      </c>
      <c r="AY558">
        <v>0</v>
      </c>
      <c r="AZ558">
        <v>0</v>
      </c>
      <c r="BA558">
        <v>0</v>
      </c>
      <c r="BB558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1</v>
      </c>
      <c r="BI558">
        <v>1</v>
      </c>
      <c r="BJ558">
        <v>0.2</v>
      </c>
      <c r="BK558">
        <v>1</v>
      </c>
      <c r="BL558">
        <v>76.06</v>
      </c>
      <c r="BM558">
        <v>11.41</v>
      </c>
      <c r="BN558">
        <v>87.47</v>
      </c>
      <c r="BO558">
        <v>87.47</v>
      </c>
      <c r="BQ558" t="s">
        <v>103</v>
      </c>
      <c r="BR558" t="s">
        <v>82</v>
      </c>
      <c r="BS558" s="3">
        <v>45996</v>
      </c>
      <c r="BT558" s="4">
        <v>0.35347222222222224</v>
      </c>
      <c r="BU558" t="s">
        <v>1186</v>
      </c>
      <c r="BV558" t="s">
        <v>84</v>
      </c>
      <c r="BY558">
        <v>1200</v>
      </c>
      <c r="CA558" t="s">
        <v>107</v>
      </c>
      <c r="CC558" t="s">
        <v>101</v>
      </c>
      <c r="CD558">
        <v>4000</v>
      </c>
      <c r="CE558" t="s">
        <v>134</v>
      </c>
      <c r="CF558" s="3">
        <v>45996</v>
      </c>
      <c r="CI558">
        <v>1</v>
      </c>
      <c r="CJ558">
        <v>1</v>
      </c>
      <c r="CK558">
        <v>21</v>
      </c>
      <c r="CL558" t="s">
        <v>87</v>
      </c>
    </row>
    <row r="559" spans="1:90" x14ac:dyDescent="0.3">
      <c r="A559" t="s">
        <v>72</v>
      </c>
      <c r="B559" t="s">
        <v>73</v>
      </c>
      <c r="C559" t="s">
        <v>74</v>
      </c>
      <c r="E559" t="str">
        <f>"080069674835"</f>
        <v>080069674835</v>
      </c>
      <c r="F559" s="3">
        <v>45995</v>
      </c>
      <c r="G559">
        <v>202609</v>
      </c>
      <c r="H559" t="s">
        <v>75</v>
      </c>
      <c r="I559" t="s">
        <v>76</v>
      </c>
      <c r="J559" t="s">
        <v>77</v>
      </c>
      <c r="K559" t="s">
        <v>78</v>
      </c>
      <c r="L559" t="s">
        <v>302</v>
      </c>
      <c r="M559" t="s">
        <v>303</v>
      </c>
      <c r="N559" t="s">
        <v>425</v>
      </c>
      <c r="O559" t="s">
        <v>89</v>
      </c>
      <c r="P559" t="str">
        <f>"4170071760                    "</f>
        <v xml:space="preserve">4170071760                    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25.52</v>
      </c>
      <c r="AR559">
        <v>0</v>
      </c>
      <c r="AS559">
        <v>0</v>
      </c>
      <c r="AT559">
        <v>0</v>
      </c>
      <c r="AU559">
        <v>0</v>
      </c>
      <c r="AV559">
        <v>0</v>
      </c>
      <c r="AW559">
        <v>0</v>
      </c>
      <c r="AX559">
        <v>0</v>
      </c>
      <c r="AY559">
        <v>0</v>
      </c>
      <c r="AZ559">
        <v>0</v>
      </c>
      <c r="BA559">
        <v>0</v>
      </c>
      <c r="BB559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1</v>
      </c>
      <c r="BI559">
        <v>0.2</v>
      </c>
      <c r="BJ559">
        <v>0.9</v>
      </c>
      <c r="BK559">
        <v>1</v>
      </c>
      <c r="BL559">
        <v>76.06</v>
      </c>
      <c r="BM559">
        <v>11.41</v>
      </c>
      <c r="BN559">
        <v>87.47</v>
      </c>
      <c r="BO559">
        <v>87.47</v>
      </c>
      <c r="BQ559" t="s">
        <v>426</v>
      </c>
      <c r="BR559" t="s">
        <v>82</v>
      </c>
      <c r="BS559" s="3">
        <v>45996</v>
      </c>
      <c r="BT559" s="4">
        <v>0.36944444444444446</v>
      </c>
      <c r="BU559" t="s">
        <v>1261</v>
      </c>
      <c r="BV559" t="s">
        <v>84</v>
      </c>
      <c r="BY559">
        <v>4676.8100000000004</v>
      </c>
      <c r="CA559">
        <v>7712195338085</v>
      </c>
      <c r="CC559" t="s">
        <v>303</v>
      </c>
      <c r="CD559" s="5" t="s">
        <v>350</v>
      </c>
      <c r="CE559" t="s">
        <v>134</v>
      </c>
      <c r="CF559" s="3">
        <v>45996</v>
      </c>
      <c r="CI559">
        <v>1</v>
      </c>
      <c r="CJ559">
        <v>1</v>
      </c>
      <c r="CK559">
        <v>21</v>
      </c>
      <c r="CL559" t="s">
        <v>87</v>
      </c>
    </row>
    <row r="560" spans="1:90" x14ac:dyDescent="0.3">
      <c r="A560" t="s">
        <v>72</v>
      </c>
      <c r="B560" t="s">
        <v>73</v>
      </c>
      <c r="C560" t="s">
        <v>74</v>
      </c>
      <c r="E560" t="str">
        <f>"080069674878"</f>
        <v>080069674878</v>
      </c>
      <c r="F560" s="3">
        <v>45995</v>
      </c>
      <c r="G560">
        <v>202609</v>
      </c>
      <c r="H560" t="s">
        <v>75</v>
      </c>
      <c r="I560" t="s">
        <v>76</v>
      </c>
      <c r="J560" t="s">
        <v>77</v>
      </c>
      <c r="K560" t="s">
        <v>78</v>
      </c>
      <c r="L560" t="s">
        <v>265</v>
      </c>
      <c r="M560" t="s">
        <v>266</v>
      </c>
      <c r="N560" t="s">
        <v>1195</v>
      </c>
      <c r="O560" t="s">
        <v>89</v>
      </c>
      <c r="P560" t="str">
        <f>"4170071743                    "</f>
        <v xml:space="preserve">4170071743                    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19.940000000000001</v>
      </c>
      <c r="AR560">
        <v>0</v>
      </c>
      <c r="AS560">
        <v>0</v>
      </c>
      <c r="AT560">
        <v>0</v>
      </c>
      <c r="AU560">
        <v>0</v>
      </c>
      <c r="AV560">
        <v>0</v>
      </c>
      <c r="AW560">
        <v>0</v>
      </c>
      <c r="AX560">
        <v>0</v>
      </c>
      <c r="AY560">
        <v>0</v>
      </c>
      <c r="AZ560">
        <v>0</v>
      </c>
      <c r="BA560">
        <v>0</v>
      </c>
      <c r="BB560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1</v>
      </c>
      <c r="BI560">
        <v>0.2</v>
      </c>
      <c r="BJ560">
        <v>1.5</v>
      </c>
      <c r="BK560">
        <v>2</v>
      </c>
      <c r="BL560">
        <v>59.42</v>
      </c>
      <c r="BM560">
        <v>8.91</v>
      </c>
      <c r="BN560">
        <v>68.33</v>
      </c>
      <c r="BO560">
        <v>68.33</v>
      </c>
      <c r="BQ560" t="s">
        <v>1196</v>
      </c>
      <c r="BR560" t="s">
        <v>82</v>
      </c>
      <c r="BS560" s="3">
        <v>45996</v>
      </c>
      <c r="BT560" s="4">
        <v>0.43541666666666667</v>
      </c>
      <c r="BU560" t="s">
        <v>1201</v>
      </c>
      <c r="BV560" t="s">
        <v>84</v>
      </c>
      <c r="BY560">
        <v>7582.64</v>
      </c>
      <c r="CA560" t="s">
        <v>319</v>
      </c>
      <c r="CC560" t="s">
        <v>266</v>
      </c>
      <c r="CD560">
        <v>1459</v>
      </c>
      <c r="CE560" t="s">
        <v>134</v>
      </c>
      <c r="CF560" s="3">
        <v>45996</v>
      </c>
      <c r="CI560">
        <v>1</v>
      </c>
      <c r="CJ560">
        <v>1</v>
      </c>
      <c r="CK560">
        <v>22</v>
      </c>
      <c r="CL560" t="s">
        <v>87</v>
      </c>
    </row>
    <row r="561" spans="1:90" x14ac:dyDescent="0.3">
      <c r="A561" t="s">
        <v>72</v>
      </c>
      <c r="B561" t="s">
        <v>73</v>
      </c>
      <c r="C561" t="s">
        <v>74</v>
      </c>
      <c r="E561" t="str">
        <f>"080069674915"</f>
        <v>080069674915</v>
      </c>
      <c r="F561" s="3">
        <v>45995</v>
      </c>
      <c r="G561">
        <v>202609</v>
      </c>
      <c r="H561" t="s">
        <v>75</v>
      </c>
      <c r="I561" t="s">
        <v>76</v>
      </c>
      <c r="J561" t="s">
        <v>77</v>
      </c>
      <c r="K561" t="s">
        <v>78</v>
      </c>
      <c r="L561" t="s">
        <v>94</v>
      </c>
      <c r="M561" t="s">
        <v>95</v>
      </c>
      <c r="N561" t="s">
        <v>96</v>
      </c>
      <c r="O561" t="s">
        <v>89</v>
      </c>
      <c r="P561" t="str">
        <f>"4170071886                    "</f>
        <v xml:space="preserve">4170071886                    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25.52</v>
      </c>
      <c r="AR561">
        <v>0</v>
      </c>
      <c r="AS561">
        <v>0</v>
      </c>
      <c r="AT561">
        <v>0</v>
      </c>
      <c r="AU561">
        <v>0</v>
      </c>
      <c r="AV561">
        <v>0</v>
      </c>
      <c r="AW561">
        <v>0</v>
      </c>
      <c r="AX561">
        <v>0</v>
      </c>
      <c r="AY561">
        <v>0</v>
      </c>
      <c r="AZ561">
        <v>0</v>
      </c>
      <c r="BA561">
        <v>0</v>
      </c>
      <c r="BB561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1</v>
      </c>
      <c r="BI561">
        <v>1</v>
      </c>
      <c r="BJ561">
        <v>0.2</v>
      </c>
      <c r="BK561">
        <v>1</v>
      </c>
      <c r="BL561">
        <v>76.06</v>
      </c>
      <c r="BM561">
        <v>11.41</v>
      </c>
      <c r="BN561">
        <v>87.47</v>
      </c>
      <c r="BO561">
        <v>87.47</v>
      </c>
      <c r="BQ561" t="s">
        <v>97</v>
      </c>
      <c r="BR561" t="s">
        <v>82</v>
      </c>
      <c r="BS561" s="3">
        <v>45996</v>
      </c>
      <c r="BT561" s="4">
        <v>0.40138888888888891</v>
      </c>
      <c r="BU561" t="s">
        <v>98</v>
      </c>
      <c r="BV561" t="s">
        <v>84</v>
      </c>
      <c r="BY561">
        <v>1200</v>
      </c>
      <c r="CA561" t="s">
        <v>99</v>
      </c>
      <c r="CC561" t="s">
        <v>95</v>
      </c>
      <c r="CD561">
        <v>3610</v>
      </c>
      <c r="CE561" t="s">
        <v>134</v>
      </c>
      <c r="CF561" s="3">
        <v>45996</v>
      </c>
      <c r="CI561">
        <v>1</v>
      </c>
      <c r="CJ561">
        <v>1</v>
      </c>
      <c r="CK561">
        <v>21</v>
      </c>
      <c r="CL561" t="s">
        <v>87</v>
      </c>
    </row>
    <row r="562" spans="1:90" x14ac:dyDescent="0.3">
      <c r="A562" t="s">
        <v>72</v>
      </c>
      <c r="B562" t="s">
        <v>73</v>
      </c>
      <c r="C562" t="s">
        <v>74</v>
      </c>
      <c r="E562" t="str">
        <f>"080069674956"</f>
        <v>080069674956</v>
      </c>
      <c r="F562" s="3">
        <v>45995</v>
      </c>
      <c r="G562">
        <v>202609</v>
      </c>
      <c r="H562" t="s">
        <v>75</v>
      </c>
      <c r="I562" t="s">
        <v>76</v>
      </c>
      <c r="J562" t="s">
        <v>77</v>
      </c>
      <c r="K562" t="s">
        <v>78</v>
      </c>
      <c r="L562" t="s">
        <v>75</v>
      </c>
      <c r="M562" t="s">
        <v>76</v>
      </c>
      <c r="N562" t="s">
        <v>1142</v>
      </c>
      <c r="O562" t="s">
        <v>89</v>
      </c>
      <c r="P562" t="str">
        <f>"4170071838                    "</f>
        <v xml:space="preserve">4170071838                    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19.940000000000001</v>
      </c>
      <c r="AR562">
        <v>0</v>
      </c>
      <c r="AS562">
        <v>0</v>
      </c>
      <c r="AT562">
        <v>0</v>
      </c>
      <c r="AU562">
        <v>0</v>
      </c>
      <c r="AV562">
        <v>0</v>
      </c>
      <c r="AW562">
        <v>0</v>
      </c>
      <c r="AX562">
        <v>0</v>
      </c>
      <c r="AY562">
        <v>0</v>
      </c>
      <c r="AZ562">
        <v>0</v>
      </c>
      <c r="BA562">
        <v>0</v>
      </c>
      <c r="BB562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1</v>
      </c>
      <c r="BI562">
        <v>0.2</v>
      </c>
      <c r="BJ562">
        <v>0.6</v>
      </c>
      <c r="BK562">
        <v>1</v>
      </c>
      <c r="BL562">
        <v>59.42</v>
      </c>
      <c r="BM562">
        <v>8.91</v>
      </c>
      <c r="BN562">
        <v>68.33</v>
      </c>
      <c r="BO562">
        <v>68.33</v>
      </c>
      <c r="BQ562" t="s">
        <v>1143</v>
      </c>
      <c r="BR562" t="s">
        <v>82</v>
      </c>
      <c r="BS562" s="3">
        <v>45996</v>
      </c>
      <c r="BT562" s="4">
        <v>0.2986111111111111</v>
      </c>
      <c r="BU562" t="s">
        <v>1262</v>
      </c>
      <c r="BV562" t="s">
        <v>84</v>
      </c>
      <c r="BY562">
        <v>3179.52</v>
      </c>
      <c r="CA562" t="s">
        <v>92</v>
      </c>
      <c r="CC562" t="s">
        <v>76</v>
      </c>
      <c r="CD562">
        <v>1600</v>
      </c>
      <c r="CE562" t="s">
        <v>134</v>
      </c>
      <c r="CF562" s="3">
        <v>45997</v>
      </c>
      <c r="CI562">
        <v>1</v>
      </c>
      <c r="CJ562">
        <v>1</v>
      </c>
      <c r="CK562">
        <v>22</v>
      </c>
      <c r="CL562" t="s">
        <v>87</v>
      </c>
    </row>
    <row r="563" spans="1:90" x14ac:dyDescent="0.3">
      <c r="A563" t="s">
        <v>72</v>
      </c>
      <c r="B563" t="s">
        <v>73</v>
      </c>
      <c r="C563" t="s">
        <v>74</v>
      </c>
      <c r="E563" t="str">
        <f>"080069674990"</f>
        <v>080069674990</v>
      </c>
      <c r="F563" s="3">
        <v>45995</v>
      </c>
      <c r="G563">
        <v>202609</v>
      </c>
      <c r="H563" t="s">
        <v>75</v>
      </c>
      <c r="I563" t="s">
        <v>76</v>
      </c>
      <c r="J563" t="s">
        <v>77</v>
      </c>
      <c r="K563" t="s">
        <v>78</v>
      </c>
      <c r="L563" t="s">
        <v>128</v>
      </c>
      <c r="M563" t="s">
        <v>129</v>
      </c>
      <c r="N563" t="s">
        <v>1263</v>
      </c>
      <c r="O563" t="s">
        <v>89</v>
      </c>
      <c r="P563" t="str">
        <f>"4170071901                    "</f>
        <v xml:space="preserve">4170071901                    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25.52</v>
      </c>
      <c r="AR563">
        <v>0</v>
      </c>
      <c r="AS563">
        <v>0</v>
      </c>
      <c r="AT563">
        <v>0</v>
      </c>
      <c r="AU563">
        <v>0</v>
      </c>
      <c r="AV563">
        <v>0</v>
      </c>
      <c r="AW563">
        <v>0</v>
      </c>
      <c r="AX563">
        <v>0</v>
      </c>
      <c r="AY563">
        <v>0</v>
      </c>
      <c r="AZ563">
        <v>0</v>
      </c>
      <c r="BA563">
        <v>0</v>
      </c>
      <c r="BB563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1</v>
      </c>
      <c r="BI563">
        <v>1</v>
      </c>
      <c r="BJ563">
        <v>0.2</v>
      </c>
      <c r="BK563">
        <v>1</v>
      </c>
      <c r="BL563">
        <v>76.06</v>
      </c>
      <c r="BM563">
        <v>11.41</v>
      </c>
      <c r="BN563">
        <v>87.47</v>
      </c>
      <c r="BO563">
        <v>87.47</v>
      </c>
      <c r="BQ563" t="s">
        <v>1264</v>
      </c>
      <c r="BR563" t="s">
        <v>82</v>
      </c>
      <c r="BS563" s="3">
        <v>45996</v>
      </c>
      <c r="BT563" s="4">
        <v>0.44097222222222221</v>
      </c>
      <c r="BU563" t="s">
        <v>1265</v>
      </c>
      <c r="BV563" t="s">
        <v>84</v>
      </c>
      <c r="BY563">
        <v>1200</v>
      </c>
      <c r="CA563" t="s">
        <v>133</v>
      </c>
      <c r="CC563" t="s">
        <v>129</v>
      </c>
      <c r="CD563">
        <v>5201</v>
      </c>
      <c r="CE563" t="s">
        <v>134</v>
      </c>
      <c r="CI563">
        <v>1</v>
      </c>
      <c r="CJ563">
        <v>1</v>
      </c>
      <c r="CK563">
        <v>21</v>
      </c>
      <c r="CL563" t="s">
        <v>87</v>
      </c>
    </row>
    <row r="564" spans="1:90" x14ac:dyDescent="0.3">
      <c r="A564" t="s">
        <v>72</v>
      </c>
      <c r="B564" t="s">
        <v>73</v>
      </c>
      <c r="C564" t="s">
        <v>74</v>
      </c>
      <c r="E564" t="str">
        <f>"080069675030"</f>
        <v>080069675030</v>
      </c>
      <c r="F564" s="3">
        <v>45995</v>
      </c>
      <c r="G564">
        <v>202609</v>
      </c>
      <c r="H564" t="s">
        <v>75</v>
      </c>
      <c r="I564" t="s">
        <v>76</v>
      </c>
      <c r="J564" t="s">
        <v>77</v>
      </c>
      <c r="K564" t="s">
        <v>78</v>
      </c>
      <c r="L564" t="s">
        <v>128</v>
      </c>
      <c r="M564" t="s">
        <v>129</v>
      </c>
      <c r="N564" t="s">
        <v>383</v>
      </c>
      <c r="O564" t="s">
        <v>89</v>
      </c>
      <c r="P564" t="str">
        <f>"4170071867                    "</f>
        <v xml:space="preserve">4170071867                    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25.52</v>
      </c>
      <c r="AR564">
        <v>0</v>
      </c>
      <c r="AS564">
        <v>0</v>
      </c>
      <c r="AT564">
        <v>0</v>
      </c>
      <c r="AU564">
        <v>0</v>
      </c>
      <c r="AV564">
        <v>0</v>
      </c>
      <c r="AW564">
        <v>0</v>
      </c>
      <c r="AX564">
        <v>0</v>
      </c>
      <c r="AY564">
        <v>0</v>
      </c>
      <c r="AZ564">
        <v>0</v>
      </c>
      <c r="BA564">
        <v>0</v>
      </c>
      <c r="BB564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1</v>
      </c>
      <c r="BI564">
        <v>1</v>
      </c>
      <c r="BJ564">
        <v>0.2</v>
      </c>
      <c r="BK564">
        <v>1</v>
      </c>
      <c r="BL564">
        <v>76.06</v>
      </c>
      <c r="BM564">
        <v>11.41</v>
      </c>
      <c r="BN564">
        <v>87.47</v>
      </c>
      <c r="BO564">
        <v>87.47</v>
      </c>
      <c r="BQ564" t="s">
        <v>384</v>
      </c>
      <c r="BR564" t="s">
        <v>82</v>
      </c>
      <c r="BS564" s="3">
        <v>45996</v>
      </c>
      <c r="BT564" s="4">
        <v>0.54166666666666663</v>
      </c>
      <c r="BU564" t="s">
        <v>1266</v>
      </c>
      <c r="BV564" t="s">
        <v>87</v>
      </c>
      <c r="BW564" t="s">
        <v>715</v>
      </c>
      <c r="BX564" t="s">
        <v>1267</v>
      </c>
      <c r="BY564">
        <v>1200</v>
      </c>
      <c r="CA564" t="s">
        <v>188</v>
      </c>
      <c r="CC564" t="s">
        <v>129</v>
      </c>
      <c r="CD564">
        <v>5201</v>
      </c>
      <c r="CE564" t="s">
        <v>134</v>
      </c>
      <c r="CI564">
        <v>1</v>
      </c>
      <c r="CJ564">
        <v>1</v>
      </c>
      <c r="CK564">
        <v>21</v>
      </c>
      <c r="CL564" t="s">
        <v>87</v>
      </c>
    </row>
    <row r="565" spans="1:90" x14ac:dyDescent="0.3">
      <c r="A565" t="s">
        <v>72</v>
      </c>
      <c r="B565" t="s">
        <v>73</v>
      </c>
      <c r="C565" t="s">
        <v>74</v>
      </c>
      <c r="E565" t="str">
        <f>"080069675092"</f>
        <v>080069675092</v>
      </c>
      <c r="F565" s="3">
        <v>45995</v>
      </c>
      <c r="G565">
        <v>202609</v>
      </c>
      <c r="H565" t="s">
        <v>75</v>
      </c>
      <c r="I565" t="s">
        <v>76</v>
      </c>
      <c r="J565" t="s">
        <v>77</v>
      </c>
      <c r="K565" t="s">
        <v>78</v>
      </c>
      <c r="L565" t="s">
        <v>100</v>
      </c>
      <c r="M565" t="s">
        <v>101</v>
      </c>
      <c r="N565" t="s">
        <v>102</v>
      </c>
      <c r="O565" t="s">
        <v>89</v>
      </c>
      <c r="P565" t="str">
        <f>"4170071768                    "</f>
        <v xml:space="preserve">4170071768                    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25.52</v>
      </c>
      <c r="AR565">
        <v>0</v>
      </c>
      <c r="AS565">
        <v>0</v>
      </c>
      <c r="AT565">
        <v>0</v>
      </c>
      <c r="AU565">
        <v>0</v>
      </c>
      <c r="AV565">
        <v>0</v>
      </c>
      <c r="AW565">
        <v>0</v>
      </c>
      <c r="AX565">
        <v>0</v>
      </c>
      <c r="AY565">
        <v>0</v>
      </c>
      <c r="AZ565">
        <v>0</v>
      </c>
      <c r="BA565">
        <v>0</v>
      </c>
      <c r="BB565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1</v>
      </c>
      <c r="BI565">
        <v>1</v>
      </c>
      <c r="BJ565">
        <v>0.2</v>
      </c>
      <c r="BK565">
        <v>1</v>
      </c>
      <c r="BL565">
        <v>76.06</v>
      </c>
      <c r="BM565">
        <v>11.41</v>
      </c>
      <c r="BN565">
        <v>87.47</v>
      </c>
      <c r="BO565">
        <v>87.47</v>
      </c>
      <c r="BQ565" t="s">
        <v>103</v>
      </c>
      <c r="BR565" t="s">
        <v>82</v>
      </c>
      <c r="BS565" s="3">
        <v>45996</v>
      </c>
      <c r="BT565" s="4">
        <v>0.35347222222222224</v>
      </c>
      <c r="BU565" t="s">
        <v>1186</v>
      </c>
      <c r="BV565" t="s">
        <v>84</v>
      </c>
      <c r="BY565">
        <v>1200</v>
      </c>
      <c r="CA565" t="s">
        <v>107</v>
      </c>
      <c r="CC565" t="s">
        <v>101</v>
      </c>
      <c r="CD565">
        <v>4000</v>
      </c>
      <c r="CE565" t="s">
        <v>134</v>
      </c>
      <c r="CF565" s="3">
        <v>45996</v>
      </c>
      <c r="CI565">
        <v>1</v>
      </c>
      <c r="CJ565">
        <v>1</v>
      </c>
      <c r="CK565">
        <v>21</v>
      </c>
      <c r="CL565" t="s">
        <v>87</v>
      </c>
    </row>
    <row r="566" spans="1:90" x14ac:dyDescent="0.3">
      <c r="A566" t="s">
        <v>72</v>
      </c>
      <c r="B566" t="s">
        <v>73</v>
      </c>
      <c r="C566" t="s">
        <v>74</v>
      </c>
      <c r="E566" t="str">
        <f>"080069675129"</f>
        <v>080069675129</v>
      </c>
      <c r="F566" s="3">
        <v>45995</v>
      </c>
      <c r="G566">
        <v>202609</v>
      </c>
      <c r="H566" t="s">
        <v>75</v>
      </c>
      <c r="I566" t="s">
        <v>76</v>
      </c>
      <c r="J566" t="s">
        <v>77</v>
      </c>
      <c r="K566" t="s">
        <v>78</v>
      </c>
      <c r="L566" t="s">
        <v>218</v>
      </c>
      <c r="M566" t="s">
        <v>219</v>
      </c>
      <c r="N566" t="s">
        <v>220</v>
      </c>
      <c r="O566" t="s">
        <v>89</v>
      </c>
      <c r="P566" t="str">
        <f>"4170071899                    "</f>
        <v xml:space="preserve">4170071899                    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49.45</v>
      </c>
      <c r="AR566">
        <v>0</v>
      </c>
      <c r="AS566">
        <v>0</v>
      </c>
      <c r="AT566">
        <v>0</v>
      </c>
      <c r="AU566">
        <v>0</v>
      </c>
      <c r="AV566">
        <v>0</v>
      </c>
      <c r="AW566">
        <v>0</v>
      </c>
      <c r="AX566">
        <v>0</v>
      </c>
      <c r="AY566">
        <v>0</v>
      </c>
      <c r="AZ566">
        <v>0</v>
      </c>
      <c r="BA566">
        <v>0</v>
      </c>
      <c r="BB566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1</v>
      </c>
      <c r="BI566">
        <v>0.2</v>
      </c>
      <c r="BJ566">
        <v>1.1000000000000001</v>
      </c>
      <c r="BK566">
        <v>1.5</v>
      </c>
      <c r="BL566">
        <v>147.38</v>
      </c>
      <c r="BM566">
        <v>22.11</v>
      </c>
      <c r="BN566">
        <v>169.49</v>
      </c>
      <c r="BO566">
        <v>169.49</v>
      </c>
      <c r="BQ566" t="s">
        <v>221</v>
      </c>
      <c r="BR566" t="s">
        <v>82</v>
      </c>
      <c r="BS566" s="3">
        <v>45996</v>
      </c>
      <c r="BT566" s="4">
        <v>0.31597222222222221</v>
      </c>
      <c r="BU566" t="s">
        <v>1268</v>
      </c>
      <c r="BV566" t="s">
        <v>84</v>
      </c>
      <c r="BY566">
        <v>5360.64</v>
      </c>
      <c r="CC566" t="s">
        <v>219</v>
      </c>
      <c r="CD566">
        <v>2740</v>
      </c>
      <c r="CE566" t="s">
        <v>134</v>
      </c>
      <c r="CI566">
        <v>1</v>
      </c>
      <c r="CJ566">
        <v>1</v>
      </c>
      <c r="CK566">
        <v>23</v>
      </c>
      <c r="CL566" t="s">
        <v>87</v>
      </c>
    </row>
    <row r="567" spans="1:90" x14ac:dyDescent="0.3">
      <c r="A567" t="s">
        <v>72</v>
      </c>
      <c r="B567" t="s">
        <v>73</v>
      </c>
      <c r="C567" t="s">
        <v>74</v>
      </c>
      <c r="E567" t="str">
        <f>"080069675150"</f>
        <v>080069675150</v>
      </c>
      <c r="F567" s="3">
        <v>45995</v>
      </c>
      <c r="G567">
        <v>202609</v>
      </c>
      <c r="H567" t="s">
        <v>75</v>
      </c>
      <c r="I567" t="s">
        <v>76</v>
      </c>
      <c r="J567" t="s">
        <v>77</v>
      </c>
      <c r="K567" t="s">
        <v>78</v>
      </c>
      <c r="L567" t="s">
        <v>141</v>
      </c>
      <c r="M567" t="s">
        <v>142</v>
      </c>
      <c r="N567" t="s">
        <v>731</v>
      </c>
      <c r="O567" t="s">
        <v>89</v>
      </c>
      <c r="P567" t="str">
        <f>"4170071813                    "</f>
        <v xml:space="preserve">4170071813                    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25.52</v>
      </c>
      <c r="AR567">
        <v>0</v>
      </c>
      <c r="AS567">
        <v>0</v>
      </c>
      <c r="AT567">
        <v>0</v>
      </c>
      <c r="AU567">
        <v>0</v>
      </c>
      <c r="AV567">
        <v>0</v>
      </c>
      <c r="AW567">
        <v>0</v>
      </c>
      <c r="AX567">
        <v>0</v>
      </c>
      <c r="AY567">
        <v>0</v>
      </c>
      <c r="AZ567">
        <v>0</v>
      </c>
      <c r="BA567">
        <v>0</v>
      </c>
      <c r="BB56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1</v>
      </c>
      <c r="BI567">
        <v>1</v>
      </c>
      <c r="BJ567">
        <v>0.2</v>
      </c>
      <c r="BK567">
        <v>1</v>
      </c>
      <c r="BL567">
        <v>76.06</v>
      </c>
      <c r="BM567">
        <v>11.41</v>
      </c>
      <c r="BN567">
        <v>87.47</v>
      </c>
      <c r="BO567">
        <v>87.47</v>
      </c>
      <c r="BQ567" t="s">
        <v>732</v>
      </c>
      <c r="BR567" t="s">
        <v>82</v>
      </c>
      <c r="BS567" s="3">
        <v>45996</v>
      </c>
      <c r="BT567" s="4">
        <v>0.43125000000000002</v>
      </c>
      <c r="BU567" t="s">
        <v>951</v>
      </c>
      <c r="BV567" t="s">
        <v>84</v>
      </c>
      <c r="BY567">
        <v>1200</v>
      </c>
      <c r="CA567" t="s">
        <v>277</v>
      </c>
      <c r="CC567" t="s">
        <v>142</v>
      </c>
      <c r="CD567">
        <v>6001</v>
      </c>
      <c r="CE567" t="s">
        <v>134</v>
      </c>
      <c r="CF567" s="3">
        <v>45996</v>
      </c>
      <c r="CI567">
        <v>1</v>
      </c>
      <c r="CJ567">
        <v>1</v>
      </c>
      <c r="CK567">
        <v>21</v>
      </c>
      <c r="CL567" t="s">
        <v>87</v>
      </c>
    </row>
    <row r="568" spans="1:90" x14ac:dyDescent="0.3">
      <c r="A568" t="s">
        <v>72</v>
      </c>
      <c r="B568" t="s">
        <v>73</v>
      </c>
      <c r="C568" t="s">
        <v>74</v>
      </c>
      <c r="E568" t="str">
        <f>"080069675215"</f>
        <v>080069675215</v>
      </c>
      <c r="F568" s="3">
        <v>45995</v>
      </c>
      <c r="G568">
        <v>202609</v>
      </c>
      <c r="H568" t="s">
        <v>75</v>
      </c>
      <c r="I568" t="s">
        <v>76</v>
      </c>
      <c r="J568" t="s">
        <v>77</v>
      </c>
      <c r="K568" t="s">
        <v>78</v>
      </c>
      <c r="L568" t="s">
        <v>176</v>
      </c>
      <c r="M568" t="s">
        <v>177</v>
      </c>
      <c r="N568" t="s">
        <v>889</v>
      </c>
      <c r="O568" t="s">
        <v>89</v>
      </c>
      <c r="P568" t="str">
        <f>"4170071775                    "</f>
        <v xml:space="preserve">4170071775                    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19.940000000000001</v>
      </c>
      <c r="AR568">
        <v>0</v>
      </c>
      <c r="AS568">
        <v>0</v>
      </c>
      <c r="AT568">
        <v>0</v>
      </c>
      <c r="AU568">
        <v>0</v>
      </c>
      <c r="AV568">
        <v>0</v>
      </c>
      <c r="AW568">
        <v>0</v>
      </c>
      <c r="AX568">
        <v>0</v>
      </c>
      <c r="AY568">
        <v>0</v>
      </c>
      <c r="AZ568">
        <v>0</v>
      </c>
      <c r="BA568">
        <v>0</v>
      </c>
      <c r="BB568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1</v>
      </c>
      <c r="BI568">
        <v>0.2</v>
      </c>
      <c r="BJ568">
        <v>1</v>
      </c>
      <c r="BK568">
        <v>1</v>
      </c>
      <c r="BL568">
        <v>59.42</v>
      </c>
      <c r="BM568">
        <v>8.91</v>
      </c>
      <c r="BN568">
        <v>68.33</v>
      </c>
      <c r="BO568">
        <v>68.33</v>
      </c>
      <c r="BQ568" t="s">
        <v>890</v>
      </c>
      <c r="BR568" t="s">
        <v>82</v>
      </c>
      <c r="BS568" t="s">
        <v>500</v>
      </c>
      <c r="BY568">
        <v>5106.96</v>
      </c>
      <c r="CC568" t="s">
        <v>177</v>
      </c>
      <c r="CD568">
        <v>2092</v>
      </c>
      <c r="CE568" t="s">
        <v>134</v>
      </c>
      <c r="CI568">
        <v>1</v>
      </c>
      <c r="CJ568" t="s">
        <v>500</v>
      </c>
      <c r="CK568">
        <v>22</v>
      </c>
      <c r="CL568" t="s">
        <v>87</v>
      </c>
    </row>
    <row r="569" spans="1:90" x14ac:dyDescent="0.3">
      <c r="A569" t="s">
        <v>72</v>
      </c>
      <c r="B569" t="s">
        <v>73</v>
      </c>
      <c r="C569" t="s">
        <v>74</v>
      </c>
      <c r="E569" t="str">
        <f>"080069675277"</f>
        <v>080069675277</v>
      </c>
      <c r="F569" s="3">
        <v>45995</v>
      </c>
      <c r="G569">
        <v>202609</v>
      </c>
      <c r="H569" t="s">
        <v>75</v>
      </c>
      <c r="I569" t="s">
        <v>76</v>
      </c>
      <c r="J569" t="s">
        <v>77</v>
      </c>
      <c r="K569" t="s">
        <v>78</v>
      </c>
      <c r="L569" t="s">
        <v>156</v>
      </c>
      <c r="M569" t="s">
        <v>157</v>
      </c>
      <c r="N569" t="s">
        <v>261</v>
      </c>
      <c r="O569" t="s">
        <v>89</v>
      </c>
      <c r="P569" t="str">
        <f>"4170071750                    "</f>
        <v xml:space="preserve">4170071750                    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0</v>
      </c>
      <c r="AJ569">
        <v>0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25.52</v>
      </c>
      <c r="AR569">
        <v>0</v>
      </c>
      <c r="AS569">
        <v>0</v>
      </c>
      <c r="AT569">
        <v>0</v>
      </c>
      <c r="AU569">
        <v>0</v>
      </c>
      <c r="AV569">
        <v>0</v>
      </c>
      <c r="AW569">
        <v>0</v>
      </c>
      <c r="AX569">
        <v>0</v>
      </c>
      <c r="AY569">
        <v>0</v>
      </c>
      <c r="AZ569">
        <v>0</v>
      </c>
      <c r="BA569">
        <v>0</v>
      </c>
      <c r="BB569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1</v>
      </c>
      <c r="BI569">
        <v>1</v>
      </c>
      <c r="BJ569">
        <v>0.2</v>
      </c>
      <c r="BK569">
        <v>1</v>
      </c>
      <c r="BL569">
        <v>76.06</v>
      </c>
      <c r="BM569">
        <v>11.41</v>
      </c>
      <c r="BN569">
        <v>87.47</v>
      </c>
      <c r="BO569">
        <v>87.47</v>
      </c>
      <c r="BQ569" t="s">
        <v>262</v>
      </c>
      <c r="BR569" t="s">
        <v>82</v>
      </c>
      <c r="BS569" s="3">
        <v>45996</v>
      </c>
      <c r="BT569" s="4">
        <v>0.39861111111111114</v>
      </c>
      <c r="BU569" t="s">
        <v>263</v>
      </c>
      <c r="BV569" t="s">
        <v>84</v>
      </c>
      <c r="BY569">
        <v>1200</v>
      </c>
      <c r="CA569" t="s">
        <v>264</v>
      </c>
      <c r="CC569" t="s">
        <v>157</v>
      </c>
      <c r="CD569">
        <v>7441</v>
      </c>
      <c r="CE569" t="s">
        <v>134</v>
      </c>
      <c r="CF569" s="3">
        <v>45999</v>
      </c>
      <c r="CI569">
        <v>1</v>
      </c>
      <c r="CJ569">
        <v>1</v>
      </c>
      <c r="CK569">
        <v>21</v>
      </c>
      <c r="CL569" t="s">
        <v>87</v>
      </c>
    </row>
    <row r="570" spans="1:90" x14ac:dyDescent="0.3">
      <c r="A570" t="s">
        <v>72</v>
      </c>
      <c r="B570" t="s">
        <v>73</v>
      </c>
      <c r="C570" t="s">
        <v>74</v>
      </c>
      <c r="E570" t="str">
        <f>"080069675272"</f>
        <v>080069675272</v>
      </c>
      <c r="F570" s="3">
        <v>45995</v>
      </c>
      <c r="G570">
        <v>202609</v>
      </c>
      <c r="H570" t="s">
        <v>75</v>
      </c>
      <c r="I570" t="s">
        <v>76</v>
      </c>
      <c r="J570" t="s">
        <v>77</v>
      </c>
      <c r="K570" t="s">
        <v>78</v>
      </c>
      <c r="L570" t="s">
        <v>302</v>
      </c>
      <c r="M570" t="s">
        <v>303</v>
      </c>
      <c r="N570" t="s">
        <v>1269</v>
      </c>
      <c r="O570" t="s">
        <v>80</v>
      </c>
      <c r="P570" t="str">
        <f>"4170071917                    "</f>
        <v xml:space="preserve">4170071917                    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49.36</v>
      </c>
      <c r="AR570">
        <v>0</v>
      </c>
      <c r="AS570">
        <v>0</v>
      </c>
      <c r="AT570">
        <v>0</v>
      </c>
      <c r="AU570">
        <v>0</v>
      </c>
      <c r="AV570">
        <v>0</v>
      </c>
      <c r="AW570">
        <v>0</v>
      </c>
      <c r="AX570">
        <v>0</v>
      </c>
      <c r="AY570">
        <v>0</v>
      </c>
      <c r="AZ570">
        <v>0</v>
      </c>
      <c r="BA570">
        <v>0</v>
      </c>
      <c r="BB570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2</v>
      </c>
      <c r="BI570">
        <v>7.3</v>
      </c>
      <c r="BJ570">
        <v>4.4000000000000004</v>
      </c>
      <c r="BK570">
        <v>8</v>
      </c>
      <c r="BL570">
        <v>153.19999999999999</v>
      </c>
      <c r="BM570">
        <v>22.98</v>
      </c>
      <c r="BN570">
        <v>176.18</v>
      </c>
      <c r="BO570">
        <v>176.18</v>
      </c>
      <c r="BQ570" t="s">
        <v>1270</v>
      </c>
      <c r="BR570" t="s">
        <v>82</v>
      </c>
      <c r="BS570" s="3">
        <v>45996</v>
      </c>
      <c r="BT570" s="4">
        <v>0.3263888888888889</v>
      </c>
      <c r="BU570" t="s">
        <v>1271</v>
      </c>
      <c r="BV570" t="s">
        <v>84</v>
      </c>
      <c r="BY570">
        <v>21827.47</v>
      </c>
      <c r="CA570">
        <v>8602010437080</v>
      </c>
      <c r="CC570" t="s">
        <v>303</v>
      </c>
      <c r="CD570" s="5" t="s">
        <v>593</v>
      </c>
      <c r="CE570" t="s">
        <v>450</v>
      </c>
      <c r="CF570" s="3">
        <v>45996</v>
      </c>
      <c r="CI570">
        <v>1</v>
      </c>
      <c r="CJ570">
        <v>1</v>
      </c>
      <c r="CK570">
        <v>41</v>
      </c>
      <c r="CL570" t="s">
        <v>87</v>
      </c>
    </row>
    <row r="571" spans="1:90" x14ac:dyDescent="0.3">
      <c r="A571" t="s">
        <v>72</v>
      </c>
      <c r="B571" t="s">
        <v>73</v>
      </c>
      <c r="C571" t="s">
        <v>74</v>
      </c>
      <c r="E571" t="str">
        <f>"080069675355"</f>
        <v>080069675355</v>
      </c>
      <c r="F571" s="3">
        <v>45995</v>
      </c>
      <c r="G571">
        <v>202609</v>
      </c>
      <c r="H571" t="s">
        <v>75</v>
      </c>
      <c r="I571" t="s">
        <v>76</v>
      </c>
      <c r="J571" t="s">
        <v>77</v>
      </c>
      <c r="K571" t="s">
        <v>78</v>
      </c>
      <c r="L571" t="s">
        <v>94</v>
      </c>
      <c r="M571" t="s">
        <v>95</v>
      </c>
      <c r="N571" t="s">
        <v>96</v>
      </c>
      <c r="O571" t="s">
        <v>89</v>
      </c>
      <c r="P571" t="str">
        <f>"4170071904                    "</f>
        <v xml:space="preserve">4170071904                    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140.33000000000001</v>
      </c>
      <c r="AR571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0</v>
      </c>
      <c r="AY571">
        <v>0</v>
      </c>
      <c r="AZ571">
        <v>0</v>
      </c>
      <c r="BA571">
        <v>0</v>
      </c>
      <c r="BB571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1</v>
      </c>
      <c r="BI571">
        <v>11</v>
      </c>
      <c r="BJ571">
        <v>6.1</v>
      </c>
      <c r="BK571">
        <v>11</v>
      </c>
      <c r="BL571">
        <v>418.21</v>
      </c>
      <c r="BM571">
        <v>62.73</v>
      </c>
      <c r="BN571">
        <v>480.94</v>
      </c>
      <c r="BO571">
        <v>480.94</v>
      </c>
      <c r="BQ571" t="s">
        <v>97</v>
      </c>
      <c r="BR571" t="s">
        <v>82</v>
      </c>
      <c r="BS571" s="3">
        <v>45996</v>
      </c>
      <c r="BT571" s="4">
        <v>0.3923611111111111</v>
      </c>
      <c r="BU571" t="s">
        <v>98</v>
      </c>
      <c r="BV571" t="s">
        <v>84</v>
      </c>
      <c r="BY571">
        <v>30400</v>
      </c>
      <c r="CA571" t="s">
        <v>99</v>
      </c>
      <c r="CC571" t="s">
        <v>95</v>
      </c>
      <c r="CD571">
        <v>3610</v>
      </c>
      <c r="CE571" t="s">
        <v>93</v>
      </c>
      <c r="CF571" s="3">
        <v>45996</v>
      </c>
      <c r="CI571">
        <v>1</v>
      </c>
      <c r="CJ571">
        <v>1</v>
      </c>
      <c r="CK571">
        <v>21</v>
      </c>
      <c r="CL571" t="s">
        <v>87</v>
      </c>
    </row>
    <row r="572" spans="1:90" x14ac:dyDescent="0.3">
      <c r="A572" t="s">
        <v>72</v>
      </c>
      <c r="B572" t="s">
        <v>73</v>
      </c>
      <c r="C572" t="s">
        <v>74</v>
      </c>
      <c r="E572" t="str">
        <f>"080069675394"</f>
        <v>080069675394</v>
      </c>
      <c r="F572" s="3">
        <v>45995</v>
      </c>
      <c r="G572">
        <v>202609</v>
      </c>
      <c r="H572" t="s">
        <v>75</v>
      </c>
      <c r="I572" t="s">
        <v>76</v>
      </c>
      <c r="J572" t="s">
        <v>77</v>
      </c>
      <c r="K572" t="s">
        <v>78</v>
      </c>
      <c r="L572" t="s">
        <v>502</v>
      </c>
      <c r="M572" t="s">
        <v>503</v>
      </c>
      <c r="N572" t="s">
        <v>671</v>
      </c>
      <c r="O572" t="s">
        <v>89</v>
      </c>
      <c r="P572" t="str">
        <f>"4170071930                    "</f>
        <v xml:space="preserve">4170071930                    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19.940000000000001</v>
      </c>
      <c r="AR572">
        <v>0</v>
      </c>
      <c r="AS572">
        <v>0</v>
      </c>
      <c r="AT572">
        <v>0</v>
      </c>
      <c r="AU572">
        <v>0</v>
      </c>
      <c r="AV572">
        <v>0</v>
      </c>
      <c r="AW572">
        <v>0</v>
      </c>
      <c r="AX572">
        <v>0</v>
      </c>
      <c r="AY572">
        <v>0</v>
      </c>
      <c r="AZ572">
        <v>0</v>
      </c>
      <c r="BA572">
        <v>0</v>
      </c>
      <c r="BB572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1</v>
      </c>
      <c r="BI572">
        <v>1</v>
      </c>
      <c r="BJ572">
        <v>1.7</v>
      </c>
      <c r="BK572">
        <v>2</v>
      </c>
      <c r="BL572">
        <v>59.42</v>
      </c>
      <c r="BM572">
        <v>8.91</v>
      </c>
      <c r="BN572">
        <v>68.33</v>
      </c>
      <c r="BO572">
        <v>68.33</v>
      </c>
      <c r="BQ572" t="s">
        <v>1197</v>
      </c>
      <c r="BR572" t="s">
        <v>82</v>
      </c>
      <c r="BS572" s="3">
        <v>45996</v>
      </c>
      <c r="BT572" s="4">
        <v>0.39583333333333331</v>
      </c>
      <c r="BU572" t="s">
        <v>1272</v>
      </c>
      <c r="BV572" t="s">
        <v>84</v>
      </c>
      <c r="BY572">
        <v>8473.08</v>
      </c>
      <c r="CA572" t="s">
        <v>507</v>
      </c>
      <c r="CC572" t="s">
        <v>503</v>
      </c>
      <c r="CD572">
        <v>1559</v>
      </c>
      <c r="CE572" t="s">
        <v>93</v>
      </c>
      <c r="CF572" s="3">
        <v>45996</v>
      </c>
      <c r="CI572">
        <v>1</v>
      </c>
      <c r="CJ572">
        <v>1</v>
      </c>
      <c r="CK572">
        <v>22</v>
      </c>
      <c r="CL572" t="s">
        <v>87</v>
      </c>
    </row>
    <row r="573" spans="1:90" x14ac:dyDescent="0.3">
      <c r="A573" t="s">
        <v>72</v>
      </c>
      <c r="B573" t="s">
        <v>73</v>
      </c>
      <c r="C573" t="s">
        <v>74</v>
      </c>
      <c r="E573" t="str">
        <f>"080069675464"</f>
        <v>080069675464</v>
      </c>
      <c r="F573" s="3">
        <v>45995</v>
      </c>
      <c r="G573">
        <v>202609</v>
      </c>
      <c r="H573" t="s">
        <v>75</v>
      </c>
      <c r="I573" t="s">
        <v>76</v>
      </c>
      <c r="J573" t="s">
        <v>77</v>
      </c>
      <c r="K573" t="s">
        <v>78</v>
      </c>
      <c r="L573" t="s">
        <v>75</v>
      </c>
      <c r="M573" t="s">
        <v>76</v>
      </c>
      <c r="N573" t="s">
        <v>79</v>
      </c>
      <c r="O573" t="s">
        <v>340</v>
      </c>
      <c r="P573" t="str">
        <f>"4170071754                    "</f>
        <v xml:space="preserve">4170071754                    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19.940000000000001</v>
      </c>
      <c r="AR573">
        <v>0</v>
      </c>
      <c r="AS573">
        <v>0</v>
      </c>
      <c r="AT573">
        <v>0</v>
      </c>
      <c r="AU573">
        <v>0</v>
      </c>
      <c r="AV573">
        <v>0</v>
      </c>
      <c r="AW573">
        <v>0</v>
      </c>
      <c r="AX573">
        <v>0</v>
      </c>
      <c r="AY573">
        <v>0</v>
      </c>
      <c r="AZ573">
        <v>0</v>
      </c>
      <c r="BA573">
        <v>0</v>
      </c>
      <c r="BB573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1</v>
      </c>
      <c r="BI573">
        <v>4.5</v>
      </c>
      <c r="BJ573">
        <v>5.2</v>
      </c>
      <c r="BK573">
        <v>6</v>
      </c>
      <c r="BL573">
        <v>59.43</v>
      </c>
      <c r="BM573">
        <v>8.91</v>
      </c>
      <c r="BN573">
        <v>68.34</v>
      </c>
      <c r="BO573">
        <v>68.34</v>
      </c>
      <c r="BQ573" t="s">
        <v>81</v>
      </c>
      <c r="BR573" t="s">
        <v>82</v>
      </c>
      <c r="BS573" s="3">
        <v>45996</v>
      </c>
      <c r="BT573" s="4">
        <v>0.35138888888888886</v>
      </c>
      <c r="BU573" t="s">
        <v>83</v>
      </c>
      <c r="BV573" t="s">
        <v>84</v>
      </c>
      <c r="BY573">
        <v>26122.5</v>
      </c>
      <c r="CA573" t="s">
        <v>85</v>
      </c>
      <c r="CC573" t="s">
        <v>76</v>
      </c>
      <c r="CD573">
        <v>1619</v>
      </c>
      <c r="CE573" t="s">
        <v>86</v>
      </c>
      <c r="CF573" s="3">
        <v>45997</v>
      </c>
      <c r="CI573">
        <v>1</v>
      </c>
      <c r="CJ573">
        <v>1</v>
      </c>
      <c r="CK573">
        <v>32</v>
      </c>
      <c r="CL573" t="s">
        <v>87</v>
      </c>
    </row>
    <row r="574" spans="1:90" x14ac:dyDescent="0.3">
      <c r="A574" t="s">
        <v>72</v>
      </c>
      <c r="B574" t="s">
        <v>73</v>
      </c>
      <c r="C574" t="s">
        <v>74</v>
      </c>
      <c r="E574" t="str">
        <f>"080069675518"</f>
        <v>080069675518</v>
      </c>
      <c r="F574" s="3">
        <v>45995</v>
      </c>
      <c r="G574">
        <v>202609</v>
      </c>
      <c r="H574" t="s">
        <v>75</v>
      </c>
      <c r="I574" t="s">
        <v>76</v>
      </c>
      <c r="J574" t="s">
        <v>77</v>
      </c>
      <c r="K574" t="s">
        <v>78</v>
      </c>
      <c r="L574" t="s">
        <v>156</v>
      </c>
      <c r="M574" t="s">
        <v>157</v>
      </c>
      <c r="N574" t="s">
        <v>964</v>
      </c>
      <c r="O574" t="s">
        <v>89</v>
      </c>
      <c r="P574" t="str">
        <f>"4170071782                    "</f>
        <v xml:space="preserve">4170071782                    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25.52</v>
      </c>
      <c r="AR574">
        <v>0</v>
      </c>
      <c r="AS574">
        <v>0</v>
      </c>
      <c r="AT574">
        <v>0</v>
      </c>
      <c r="AU574">
        <v>0</v>
      </c>
      <c r="AV574">
        <v>0</v>
      </c>
      <c r="AW574">
        <v>0</v>
      </c>
      <c r="AX574">
        <v>0</v>
      </c>
      <c r="AY574">
        <v>0</v>
      </c>
      <c r="AZ574">
        <v>0</v>
      </c>
      <c r="BA574">
        <v>0</v>
      </c>
      <c r="BB574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1</v>
      </c>
      <c r="BI574">
        <v>1</v>
      </c>
      <c r="BJ574">
        <v>1.4</v>
      </c>
      <c r="BK574">
        <v>1.5</v>
      </c>
      <c r="BL574">
        <v>76.06</v>
      </c>
      <c r="BM574">
        <v>11.41</v>
      </c>
      <c r="BN574">
        <v>87.47</v>
      </c>
      <c r="BO574">
        <v>87.47</v>
      </c>
      <c r="BQ574" t="s">
        <v>965</v>
      </c>
      <c r="BR574" t="s">
        <v>82</v>
      </c>
      <c r="BS574" s="3">
        <v>45996</v>
      </c>
      <c r="BT574" s="4">
        <v>0.48055555555555557</v>
      </c>
      <c r="BU574" t="s">
        <v>1273</v>
      </c>
      <c r="BV574" t="s">
        <v>87</v>
      </c>
      <c r="BW574" t="s">
        <v>153</v>
      </c>
      <c r="BX574" t="s">
        <v>979</v>
      </c>
      <c r="BY574">
        <v>7000</v>
      </c>
      <c r="CA574" t="s">
        <v>1238</v>
      </c>
      <c r="CC574" t="s">
        <v>157</v>
      </c>
      <c r="CD574">
        <v>7441</v>
      </c>
      <c r="CE574" t="s">
        <v>86</v>
      </c>
      <c r="CI574">
        <v>1</v>
      </c>
      <c r="CJ574">
        <v>1</v>
      </c>
      <c r="CK574">
        <v>21</v>
      </c>
      <c r="CL574" t="s">
        <v>87</v>
      </c>
    </row>
    <row r="575" spans="1:90" x14ac:dyDescent="0.3">
      <c r="A575" t="s">
        <v>72</v>
      </c>
      <c r="B575" t="s">
        <v>73</v>
      </c>
      <c r="C575" t="s">
        <v>74</v>
      </c>
      <c r="E575" t="str">
        <f>"080069675584"</f>
        <v>080069675584</v>
      </c>
      <c r="F575" s="3">
        <v>45995</v>
      </c>
      <c r="G575">
        <v>202609</v>
      </c>
      <c r="H575" t="s">
        <v>75</v>
      </c>
      <c r="I575" t="s">
        <v>76</v>
      </c>
      <c r="J575" t="s">
        <v>77</v>
      </c>
      <c r="K575" t="s">
        <v>78</v>
      </c>
      <c r="L575" t="s">
        <v>533</v>
      </c>
      <c r="M575" t="s">
        <v>533</v>
      </c>
      <c r="N575" t="s">
        <v>1013</v>
      </c>
      <c r="O575" t="s">
        <v>89</v>
      </c>
      <c r="P575" t="str">
        <f>"4170071824                    "</f>
        <v xml:space="preserve">4170071824                    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49.45</v>
      </c>
      <c r="AR575">
        <v>0</v>
      </c>
      <c r="AS575">
        <v>0</v>
      </c>
      <c r="AT575">
        <v>0</v>
      </c>
      <c r="AU575">
        <v>0</v>
      </c>
      <c r="AV575">
        <v>0</v>
      </c>
      <c r="AW575">
        <v>0</v>
      </c>
      <c r="AX575">
        <v>0</v>
      </c>
      <c r="AY575">
        <v>0</v>
      </c>
      <c r="AZ575">
        <v>0</v>
      </c>
      <c r="BA575">
        <v>0</v>
      </c>
      <c r="BB575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1</v>
      </c>
      <c r="BI575">
        <v>1</v>
      </c>
      <c r="BJ575">
        <v>1.9</v>
      </c>
      <c r="BK575">
        <v>2</v>
      </c>
      <c r="BL575">
        <v>147.38</v>
      </c>
      <c r="BM575">
        <v>22.11</v>
      </c>
      <c r="BN575">
        <v>169.49</v>
      </c>
      <c r="BO575">
        <v>169.49</v>
      </c>
      <c r="BQ575" t="s">
        <v>1014</v>
      </c>
      <c r="BR575" t="s">
        <v>82</v>
      </c>
      <c r="BS575" s="3">
        <v>45996</v>
      </c>
      <c r="BT575" s="4">
        <v>0.72986111111111107</v>
      </c>
      <c r="BU575" t="s">
        <v>1015</v>
      </c>
      <c r="BV575" t="s">
        <v>87</v>
      </c>
      <c r="BW575" t="s">
        <v>153</v>
      </c>
      <c r="BX575" t="s">
        <v>345</v>
      </c>
      <c r="BY575">
        <v>9600</v>
      </c>
      <c r="CA575" t="s">
        <v>537</v>
      </c>
      <c r="CC575" t="s">
        <v>533</v>
      </c>
      <c r="CD575">
        <v>7646</v>
      </c>
      <c r="CE575" t="s">
        <v>86</v>
      </c>
      <c r="CI575">
        <v>1</v>
      </c>
      <c r="CJ575">
        <v>1</v>
      </c>
      <c r="CK575">
        <v>23</v>
      </c>
      <c r="CL575" t="s">
        <v>87</v>
      </c>
    </row>
    <row r="576" spans="1:90" x14ac:dyDescent="0.3">
      <c r="A576" t="s">
        <v>72</v>
      </c>
      <c r="B576" t="s">
        <v>73</v>
      </c>
      <c r="C576" t="s">
        <v>74</v>
      </c>
      <c r="E576" t="str">
        <f>"080069675646"</f>
        <v>080069675646</v>
      </c>
      <c r="F576" s="3">
        <v>45995</v>
      </c>
      <c r="G576">
        <v>202609</v>
      </c>
      <c r="H576" t="s">
        <v>75</v>
      </c>
      <c r="I576" t="s">
        <v>76</v>
      </c>
      <c r="J576" t="s">
        <v>77</v>
      </c>
      <c r="K576" t="s">
        <v>78</v>
      </c>
      <c r="L576" t="s">
        <v>241</v>
      </c>
      <c r="M576" t="s">
        <v>242</v>
      </c>
      <c r="N576" t="s">
        <v>243</v>
      </c>
      <c r="O576" t="s">
        <v>89</v>
      </c>
      <c r="P576" t="str">
        <f>"4170071932                    "</f>
        <v xml:space="preserve">4170071932                    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  <c r="AG576">
        <v>0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25.52</v>
      </c>
      <c r="AR576">
        <v>0</v>
      </c>
      <c r="AS576">
        <v>0</v>
      </c>
      <c r="AT576">
        <v>0</v>
      </c>
      <c r="AU576">
        <v>0</v>
      </c>
      <c r="AV576">
        <v>0</v>
      </c>
      <c r="AW576">
        <v>0</v>
      </c>
      <c r="AX576">
        <v>0</v>
      </c>
      <c r="AY576">
        <v>0</v>
      </c>
      <c r="AZ576">
        <v>0</v>
      </c>
      <c r="BA576">
        <v>0</v>
      </c>
      <c r="BB576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1</v>
      </c>
      <c r="BI576">
        <v>2</v>
      </c>
      <c r="BJ576">
        <v>1.1000000000000001</v>
      </c>
      <c r="BK576">
        <v>2</v>
      </c>
      <c r="BL576">
        <v>76.06</v>
      </c>
      <c r="BM576">
        <v>11.41</v>
      </c>
      <c r="BN576">
        <v>87.47</v>
      </c>
      <c r="BO576">
        <v>87.47</v>
      </c>
      <c r="BQ576" t="s">
        <v>244</v>
      </c>
      <c r="BR576" t="s">
        <v>82</v>
      </c>
      <c r="BS576" s="3">
        <v>45996</v>
      </c>
      <c r="BT576" s="4">
        <v>0.41666666666666669</v>
      </c>
      <c r="BU576" t="s">
        <v>1274</v>
      </c>
      <c r="BV576" t="s">
        <v>84</v>
      </c>
      <c r="BY576">
        <v>5510</v>
      </c>
      <c r="CA576" t="s">
        <v>1200</v>
      </c>
      <c r="CC576" t="s">
        <v>242</v>
      </c>
      <c r="CD576">
        <v>4302</v>
      </c>
      <c r="CE576" t="s">
        <v>86</v>
      </c>
      <c r="CF576" s="3">
        <v>45997</v>
      </c>
      <c r="CI576">
        <v>1</v>
      </c>
      <c r="CJ576">
        <v>1</v>
      </c>
      <c r="CK576">
        <v>21</v>
      </c>
      <c r="CL576" t="s">
        <v>87</v>
      </c>
    </row>
    <row r="577" spans="1:90" x14ac:dyDescent="0.3">
      <c r="A577" t="s">
        <v>72</v>
      </c>
      <c r="B577" t="s">
        <v>73</v>
      </c>
      <c r="C577" t="s">
        <v>74</v>
      </c>
      <c r="E577" t="str">
        <f>"080069675704"</f>
        <v>080069675704</v>
      </c>
      <c r="F577" s="3">
        <v>45995</v>
      </c>
      <c r="G577">
        <v>202609</v>
      </c>
      <c r="H577" t="s">
        <v>75</v>
      </c>
      <c r="I577" t="s">
        <v>76</v>
      </c>
      <c r="J577" t="s">
        <v>77</v>
      </c>
      <c r="K577" t="s">
        <v>78</v>
      </c>
      <c r="L577" t="s">
        <v>241</v>
      </c>
      <c r="M577" t="s">
        <v>242</v>
      </c>
      <c r="N577" t="s">
        <v>243</v>
      </c>
      <c r="O577" t="s">
        <v>89</v>
      </c>
      <c r="P577" t="str">
        <f>"4170071934                    "</f>
        <v xml:space="preserve">4170071934                    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38.28</v>
      </c>
      <c r="AR577">
        <v>0</v>
      </c>
      <c r="AS577">
        <v>0</v>
      </c>
      <c r="AT577">
        <v>0</v>
      </c>
      <c r="AU577">
        <v>0</v>
      </c>
      <c r="AV577">
        <v>0</v>
      </c>
      <c r="AW577">
        <v>0</v>
      </c>
      <c r="AX577">
        <v>0</v>
      </c>
      <c r="AY577">
        <v>0</v>
      </c>
      <c r="AZ577">
        <v>0</v>
      </c>
      <c r="BA577">
        <v>0</v>
      </c>
      <c r="BB57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1</v>
      </c>
      <c r="BI577">
        <v>3</v>
      </c>
      <c r="BJ577">
        <v>1.9</v>
      </c>
      <c r="BK577">
        <v>3</v>
      </c>
      <c r="BL577">
        <v>114.08</v>
      </c>
      <c r="BM577">
        <v>17.11</v>
      </c>
      <c r="BN577">
        <v>131.19</v>
      </c>
      <c r="BO577">
        <v>131.19</v>
      </c>
      <c r="BQ577" t="s">
        <v>244</v>
      </c>
      <c r="BR577" t="s">
        <v>82</v>
      </c>
      <c r="BS577" s="3">
        <v>45996</v>
      </c>
      <c r="BT577" s="4">
        <v>0.4513888888888889</v>
      </c>
      <c r="BU577" t="s">
        <v>1274</v>
      </c>
      <c r="BV577" t="s">
        <v>87</v>
      </c>
      <c r="BW577" t="s">
        <v>246</v>
      </c>
      <c r="BX577" t="s">
        <v>294</v>
      </c>
      <c r="BY577">
        <v>9600</v>
      </c>
      <c r="CA577" t="s">
        <v>1200</v>
      </c>
      <c r="CC577" t="s">
        <v>242</v>
      </c>
      <c r="CD577">
        <v>4302</v>
      </c>
      <c r="CE577" t="s">
        <v>86</v>
      </c>
      <c r="CF577" s="3">
        <v>45997</v>
      </c>
      <c r="CI577">
        <v>1</v>
      </c>
      <c r="CJ577">
        <v>1</v>
      </c>
      <c r="CK577">
        <v>21</v>
      </c>
      <c r="CL577" t="s">
        <v>87</v>
      </c>
    </row>
    <row r="578" spans="1:90" x14ac:dyDescent="0.3">
      <c r="A578" t="s">
        <v>72</v>
      </c>
      <c r="B578" t="s">
        <v>73</v>
      </c>
      <c r="C578" t="s">
        <v>74</v>
      </c>
      <c r="E578" t="str">
        <f>"080069675745"</f>
        <v>080069675745</v>
      </c>
      <c r="F578" s="3">
        <v>45995</v>
      </c>
      <c r="G578">
        <v>202609</v>
      </c>
      <c r="H578" t="s">
        <v>75</v>
      </c>
      <c r="I578" t="s">
        <v>76</v>
      </c>
      <c r="J578" t="s">
        <v>77</v>
      </c>
      <c r="K578" t="s">
        <v>78</v>
      </c>
      <c r="L578" t="s">
        <v>141</v>
      </c>
      <c r="M578" t="s">
        <v>142</v>
      </c>
      <c r="N578" t="s">
        <v>566</v>
      </c>
      <c r="O578" t="s">
        <v>89</v>
      </c>
      <c r="P578" t="str">
        <f>"4170071851                    "</f>
        <v xml:space="preserve">4170071851                    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0</v>
      </c>
      <c r="AJ578">
        <v>0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25.52</v>
      </c>
      <c r="AR578">
        <v>0</v>
      </c>
      <c r="AS578">
        <v>0</v>
      </c>
      <c r="AT578">
        <v>0</v>
      </c>
      <c r="AU578">
        <v>0</v>
      </c>
      <c r="AV578">
        <v>0</v>
      </c>
      <c r="AW578">
        <v>0</v>
      </c>
      <c r="AX578">
        <v>0</v>
      </c>
      <c r="AY578">
        <v>0</v>
      </c>
      <c r="AZ578">
        <v>0</v>
      </c>
      <c r="BA578">
        <v>0</v>
      </c>
      <c r="BB578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1</v>
      </c>
      <c r="BI578">
        <v>1</v>
      </c>
      <c r="BJ578">
        <v>0.7</v>
      </c>
      <c r="BK578">
        <v>1</v>
      </c>
      <c r="BL578">
        <v>76.06</v>
      </c>
      <c r="BM578">
        <v>11.41</v>
      </c>
      <c r="BN578">
        <v>87.47</v>
      </c>
      <c r="BO578">
        <v>87.47</v>
      </c>
      <c r="BQ578" t="s">
        <v>567</v>
      </c>
      <c r="BR578" t="s">
        <v>82</v>
      </c>
      <c r="BS578" s="3">
        <v>45996</v>
      </c>
      <c r="BT578" s="4">
        <v>0.42708333333333331</v>
      </c>
      <c r="BU578" t="s">
        <v>1150</v>
      </c>
      <c r="BV578" t="s">
        <v>84</v>
      </c>
      <c r="BY578">
        <v>3306</v>
      </c>
      <c r="CA578" t="s">
        <v>569</v>
      </c>
      <c r="CC578" t="s">
        <v>142</v>
      </c>
      <c r="CD578">
        <v>6056</v>
      </c>
      <c r="CE578" t="s">
        <v>86</v>
      </c>
      <c r="CF578" s="3">
        <v>45996</v>
      </c>
      <c r="CI578">
        <v>1</v>
      </c>
      <c r="CJ578">
        <v>1</v>
      </c>
      <c r="CK578">
        <v>21</v>
      </c>
      <c r="CL578" t="s">
        <v>87</v>
      </c>
    </row>
    <row r="579" spans="1:90" x14ac:dyDescent="0.3">
      <c r="A579" t="s">
        <v>72</v>
      </c>
      <c r="B579" t="s">
        <v>73</v>
      </c>
      <c r="C579" t="s">
        <v>74</v>
      </c>
      <c r="E579" t="str">
        <f>"080069675799"</f>
        <v>080069675799</v>
      </c>
      <c r="F579" s="3">
        <v>45995</v>
      </c>
      <c r="G579">
        <v>202609</v>
      </c>
      <c r="H579" t="s">
        <v>75</v>
      </c>
      <c r="I579" t="s">
        <v>76</v>
      </c>
      <c r="J579" t="s">
        <v>77</v>
      </c>
      <c r="K579" t="s">
        <v>78</v>
      </c>
      <c r="L579" t="s">
        <v>75</v>
      </c>
      <c r="M579" t="s">
        <v>76</v>
      </c>
      <c r="N579" t="s">
        <v>79</v>
      </c>
      <c r="O579" t="s">
        <v>340</v>
      </c>
      <c r="P579" t="str">
        <f>"4170071900                    "</f>
        <v xml:space="preserve">4170071900                    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22.18</v>
      </c>
      <c r="AR579">
        <v>0</v>
      </c>
      <c r="AS579">
        <v>0</v>
      </c>
      <c r="AT579">
        <v>0</v>
      </c>
      <c r="AU579">
        <v>0</v>
      </c>
      <c r="AV579">
        <v>0</v>
      </c>
      <c r="AW579">
        <v>0</v>
      </c>
      <c r="AX579">
        <v>0</v>
      </c>
      <c r="AY579">
        <v>0</v>
      </c>
      <c r="AZ579">
        <v>0</v>
      </c>
      <c r="BA579">
        <v>0</v>
      </c>
      <c r="BB579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1</v>
      </c>
      <c r="BI579">
        <v>8.9</v>
      </c>
      <c r="BJ579">
        <v>3.8</v>
      </c>
      <c r="BK579">
        <v>9</v>
      </c>
      <c r="BL579">
        <v>66.099999999999994</v>
      </c>
      <c r="BM579">
        <v>9.92</v>
      </c>
      <c r="BN579">
        <v>76.02</v>
      </c>
      <c r="BO579">
        <v>76.02</v>
      </c>
      <c r="BQ579" t="s">
        <v>81</v>
      </c>
      <c r="BR579" t="s">
        <v>82</v>
      </c>
      <c r="BS579" s="3">
        <v>45996</v>
      </c>
      <c r="BT579" s="4">
        <v>0.34722222222222221</v>
      </c>
      <c r="BU579" t="s">
        <v>83</v>
      </c>
      <c r="BV579" t="s">
        <v>84</v>
      </c>
      <c r="BY579">
        <v>19040.25</v>
      </c>
      <c r="CA579" t="s">
        <v>85</v>
      </c>
      <c r="CC579" t="s">
        <v>76</v>
      </c>
      <c r="CD579">
        <v>1619</v>
      </c>
      <c r="CE579" t="s">
        <v>93</v>
      </c>
      <c r="CF579" s="3">
        <v>45997</v>
      </c>
      <c r="CI579">
        <v>1</v>
      </c>
      <c r="CJ579">
        <v>1</v>
      </c>
      <c r="CK579">
        <v>32</v>
      </c>
      <c r="CL579" t="s">
        <v>87</v>
      </c>
    </row>
    <row r="580" spans="1:90" x14ac:dyDescent="0.3">
      <c r="A580" t="s">
        <v>72</v>
      </c>
      <c r="B580" t="s">
        <v>73</v>
      </c>
      <c r="C580" t="s">
        <v>74</v>
      </c>
      <c r="E580" t="str">
        <f>"080069675824"</f>
        <v>080069675824</v>
      </c>
      <c r="F580" s="3">
        <v>45995</v>
      </c>
      <c r="G580">
        <v>202609</v>
      </c>
      <c r="H580" t="s">
        <v>75</v>
      </c>
      <c r="I580" t="s">
        <v>76</v>
      </c>
      <c r="J580" t="s">
        <v>77</v>
      </c>
      <c r="K580" t="s">
        <v>78</v>
      </c>
      <c r="L580" t="s">
        <v>109</v>
      </c>
      <c r="M580" t="s">
        <v>110</v>
      </c>
      <c r="N580" t="s">
        <v>1275</v>
      </c>
      <c r="O580" t="s">
        <v>89</v>
      </c>
      <c r="P580" t="str">
        <f>"4170071778                    "</f>
        <v xml:space="preserve">4170071778                    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35.9</v>
      </c>
      <c r="AR580">
        <v>0</v>
      </c>
      <c r="AS580">
        <v>0</v>
      </c>
      <c r="AT580">
        <v>0</v>
      </c>
      <c r="AU580">
        <v>0</v>
      </c>
      <c r="AV580">
        <v>0</v>
      </c>
      <c r="AW580">
        <v>0</v>
      </c>
      <c r="AX580">
        <v>0</v>
      </c>
      <c r="AY580">
        <v>0</v>
      </c>
      <c r="AZ580">
        <v>0</v>
      </c>
      <c r="BA580">
        <v>0</v>
      </c>
      <c r="BB580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1</v>
      </c>
      <c r="BI580">
        <v>1.3</v>
      </c>
      <c r="BJ580">
        <v>0.8</v>
      </c>
      <c r="BK580">
        <v>1.5</v>
      </c>
      <c r="BL580">
        <v>106.98</v>
      </c>
      <c r="BM580">
        <v>16.05</v>
      </c>
      <c r="BN580">
        <v>123.03</v>
      </c>
      <c r="BO580">
        <v>123.03</v>
      </c>
      <c r="BQ580" t="s">
        <v>1276</v>
      </c>
      <c r="BR580" t="s">
        <v>82</v>
      </c>
      <c r="BS580" s="3">
        <v>45996</v>
      </c>
      <c r="BT580" s="4">
        <v>0.43958333333333333</v>
      </c>
      <c r="BU580" t="s">
        <v>1277</v>
      </c>
      <c r="BV580" t="s">
        <v>84</v>
      </c>
      <c r="BY580">
        <v>4027.17</v>
      </c>
      <c r="CA580" t="s">
        <v>1278</v>
      </c>
      <c r="CC580" t="s">
        <v>110</v>
      </c>
      <c r="CD580">
        <v>1756</v>
      </c>
      <c r="CE580" t="s">
        <v>86</v>
      </c>
      <c r="CF580" s="3">
        <v>45996</v>
      </c>
      <c r="CI580">
        <v>1</v>
      </c>
      <c r="CJ580">
        <v>1</v>
      </c>
      <c r="CK580">
        <v>24</v>
      </c>
      <c r="CL580" t="s">
        <v>87</v>
      </c>
    </row>
    <row r="581" spans="1:90" x14ac:dyDescent="0.3">
      <c r="A581" t="s">
        <v>72</v>
      </c>
      <c r="B581" t="s">
        <v>73</v>
      </c>
      <c r="C581" t="s">
        <v>74</v>
      </c>
      <c r="E581" t="str">
        <f>"080069675858"</f>
        <v>080069675858</v>
      </c>
      <c r="F581" s="3">
        <v>45995</v>
      </c>
      <c r="G581">
        <v>202609</v>
      </c>
      <c r="H581" t="s">
        <v>75</v>
      </c>
      <c r="I581" t="s">
        <v>76</v>
      </c>
      <c r="J581" t="s">
        <v>77</v>
      </c>
      <c r="K581" t="s">
        <v>78</v>
      </c>
      <c r="L581" t="s">
        <v>94</v>
      </c>
      <c r="M581" t="s">
        <v>95</v>
      </c>
      <c r="N581" t="s">
        <v>919</v>
      </c>
      <c r="O581" t="s">
        <v>89</v>
      </c>
      <c r="P581" t="str">
        <f>"4170071821                    "</f>
        <v xml:space="preserve">4170071821                    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>
        <v>0</v>
      </c>
      <c r="AJ581">
        <v>0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25.52</v>
      </c>
      <c r="AR581">
        <v>0</v>
      </c>
      <c r="AS581">
        <v>0</v>
      </c>
      <c r="AT581">
        <v>0</v>
      </c>
      <c r="AU581">
        <v>0</v>
      </c>
      <c r="AV581">
        <v>0</v>
      </c>
      <c r="AW581">
        <v>0</v>
      </c>
      <c r="AX581">
        <v>0</v>
      </c>
      <c r="AY581">
        <v>0</v>
      </c>
      <c r="AZ581">
        <v>0</v>
      </c>
      <c r="BA581">
        <v>0</v>
      </c>
      <c r="BB581">
        <v>0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1</v>
      </c>
      <c r="BI581">
        <v>2</v>
      </c>
      <c r="BJ581">
        <v>1.4</v>
      </c>
      <c r="BK581">
        <v>2</v>
      </c>
      <c r="BL581">
        <v>76.06</v>
      </c>
      <c r="BM581">
        <v>11.41</v>
      </c>
      <c r="BN581">
        <v>87.47</v>
      </c>
      <c r="BO581">
        <v>87.47</v>
      </c>
      <c r="BQ581" t="s">
        <v>920</v>
      </c>
      <c r="BR581" t="s">
        <v>82</v>
      </c>
      <c r="BS581" s="3">
        <v>45996</v>
      </c>
      <c r="BT581" s="4">
        <v>0.40833333333333333</v>
      </c>
      <c r="BU581" t="s">
        <v>1279</v>
      </c>
      <c r="BV581" t="s">
        <v>84</v>
      </c>
      <c r="BY581">
        <v>7000</v>
      </c>
      <c r="CA581" t="s">
        <v>1166</v>
      </c>
      <c r="CC581" t="s">
        <v>95</v>
      </c>
      <c r="CD581">
        <v>3610</v>
      </c>
      <c r="CE581" t="s">
        <v>86</v>
      </c>
      <c r="CF581" s="3">
        <v>45997</v>
      </c>
      <c r="CI581">
        <v>1</v>
      </c>
      <c r="CJ581">
        <v>1</v>
      </c>
      <c r="CK581">
        <v>21</v>
      </c>
      <c r="CL581" t="s">
        <v>87</v>
      </c>
    </row>
    <row r="582" spans="1:90" x14ac:dyDescent="0.3">
      <c r="A582" t="s">
        <v>72</v>
      </c>
      <c r="B582" t="s">
        <v>73</v>
      </c>
      <c r="C582" t="s">
        <v>74</v>
      </c>
      <c r="E582" t="str">
        <f>"080069675896"</f>
        <v>080069675896</v>
      </c>
      <c r="F582" s="3">
        <v>45995</v>
      </c>
      <c r="G582">
        <v>202609</v>
      </c>
      <c r="H582" t="s">
        <v>75</v>
      </c>
      <c r="I582" t="s">
        <v>76</v>
      </c>
      <c r="J582" t="s">
        <v>77</v>
      </c>
      <c r="K582" t="s">
        <v>78</v>
      </c>
      <c r="L582" t="s">
        <v>156</v>
      </c>
      <c r="M582" t="s">
        <v>157</v>
      </c>
      <c r="N582" t="s">
        <v>508</v>
      </c>
      <c r="O582" t="s">
        <v>89</v>
      </c>
      <c r="P582" t="str">
        <f>"4170071831                    "</f>
        <v xml:space="preserve">4170071831                    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25.52</v>
      </c>
      <c r="AR582">
        <v>0</v>
      </c>
      <c r="AS582">
        <v>0</v>
      </c>
      <c r="AT582">
        <v>0</v>
      </c>
      <c r="AU582">
        <v>0</v>
      </c>
      <c r="AV582">
        <v>0</v>
      </c>
      <c r="AW582">
        <v>0</v>
      </c>
      <c r="AX582">
        <v>0</v>
      </c>
      <c r="AY582">
        <v>0</v>
      </c>
      <c r="AZ582">
        <v>0</v>
      </c>
      <c r="BA582">
        <v>0</v>
      </c>
      <c r="BB582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1</v>
      </c>
      <c r="BI582">
        <v>2</v>
      </c>
      <c r="BJ582">
        <v>1.9</v>
      </c>
      <c r="BK582">
        <v>2</v>
      </c>
      <c r="BL582">
        <v>76.06</v>
      </c>
      <c r="BM582">
        <v>11.41</v>
      </c>
      <c r="BN582">
        <v>87.47</v>
      </c>
      <c r="BO582">
        <v>87.47</v>
      </c>
      <c r="BQ582" t="s">
        <v>509</v>
      </c>
      <c r="BR582" t="s">
        <v>82</v>
      </c>
      <c r="BS582" s="3">
        <v>45996</v>
      </c>
      <c r="BT582" s="4">
        <v>0.48194444444444445</v>
      </c>
      <c r="BU582" t="s">
        <v>1259</v>
      </c>
      <c r="BV582" t="s">
        <v>87</v>
      </c>
      <c r="BW582" t="s">
        <v>153</v>
      </c>
      <c r="BX582" t="s">
        <v>979</v>
      </c>
      <c r="BY582">
        <v>9600</v>
      </c>
      <c r="CA582" t="s">
        <v>1192</v>
      </c>
      <c r="CC582" t="s">
        <v>157</v>
      </c>
      <c r="CD582">
        <v>7535</v>
      </c>
      <c r="CE582" t="s">
        <v>86</v>
      </c>
      <c r="CI582">
        <v>1</v>
      </c>
      <c r="CJ582">
        <v>1</v>
      </c>
      <c r="CK582">
        <v>21</v>
      </c>
      <c r="CL582" t="s">
        <v>87</v>
      </c>
    </row>
    <row r="583" spans="1:90" x14ac:dyDescent="0.3">
      <c r="A583" t="s">
        <v>72</v>
      </c>
      <c r="B583" t="s">
        <v>73</v>
      </c>
      <c r="C583" t="s">
        <v>74</v>
      </c>
      <c r="E583" t="str">
        <f>"080069675925"</f>
        <v>080069675925</v>
      </c>
      <c r="F583" s="3">
        <v>45995</v>
      </c>
      <c r="G583">
        <v>202609</v>
      </c>
      <c r="H583" t="s">
        <v>75</v>
      </c>
      <c r="I583" t="s">
        <v>76</v>
      </c>
      <c r="J583" t="s">
        <v>77</v>
      </c>
      <c r="K583" t="s">
        <v>78</v>
      </c>
      <c r="L583" t="s">
        <v>241</v>
      </c>
      <c r="M583" t="s">
        <v>242</v>
      </c>
      <c r="N583" t="s">
        <v>243</v>
      </c>
      <c r="O583" t="s">
        <v>89</v>
      </c>
      <c r="P583" t="str">
        <f>"4170071842                    "</f>
        <v xml:space="preserve">4170071842                    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25.52</v>
      </c>
      <c r="AR583">
        <v>0</v>
      </c>
      <c r="AS583">
        <v>0</v>
      </c>
      <c r="AT583">
        <v>0</v>
      </c>
      <c r="AU583">
        <v>0</v>
      </c>
      <c r="AV583">
        <v>0</v>
      </c>
      <c r="AW583">
        <v>0</v>
      </c>
      <c r="AX583">
        <v>0</v>
      </c>
      <c r="AY583">
        <v>0</v>
      </c>
      <c r="AZ583">
        <v>0</v>
      </c>
      <c r="BA583">
        <v>0</v>
      </c>
      <c r="BB583">
        <v>0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1</v>
      </c>
      <c r="BI583">
        <v>1</v>
      </c>
      <c r="BJ583">
        <v>1.1000000000000001</v>
      </c>
      <c r="BK583">
        <v>1.5</v>
      </c>
      <c r="BL583">
        <v>76.06</v>
      </c>
      <c r="BM583">
        <v>11.41</v>
      </c>
      <c r="BN583">
        <v>87.47</v>
      </c>
      <c r="BO583">
        <v>87.47</v>
      </c>
      <c r="BQ583" t="s">
        <v>244</v>
      </c>
      <c r="BR583" t="s">
        <v>82</v>
      </c>
      <c r="BS583" s="3">
        <v>45996</v>
      </c>
      <c r="BT583" s="4">
        <v>0.41666666666666669</v>
      </c>
      <c r="BU583" t="s">
        <v>1274</v>
      </c>
      <c r="BV583" t="s">
        <v>84</v>
      </c>
      <c r="BY583">
        <v>5510</v>
      </c>
      <c r="CA583" t="s">
        <v>1200</v>
      </c>
      <c r="CC583" t="s">
        <v>242</v>
      </c>
      <c r="CD583">
        <v>4300</v>
      </c>
      <c r="CE583" t="s">
        <v>86</v>
      </c>
      <c r="CF583" s="3">
        <v>45997</v>
      </c>
      <c r="CI583">
        <v>1</v>
      </c>
      <c r="CJ583">
        <v>1</v>
      </c>
      <c r="CK583">
        <v>21</v>
      </c>
      <c r="CL583" t="s">
        <v>87</v>
      </c>
    </row>
    <row r="584" spans="1:90" x14ac:dyDescent="0.3">
      <c r="A584" t="s">
        <v>72</v>
      </c>
      <c r="B584" t="s">
        <v>73</v>
      </c>
      <c r="C584" t="s">
        <v>74</v>
      </c>
      <c r="E584" t="str">
        <f>"080069675940"</f>
        <v>080069675940</v>
      </c>
      <c r="F584" s="3">
        <v>45995</v>
      </c>
      <c r="G584">
        <v>202609</v>
      </c>
      <c r="H584" t="s">
        <v>75</v>
      </c>
      <c r="I584" t="s">
        <v>76</v>
      </c>
      <c r="J584" t="s">
        <v>77</v>
      </c>
      <c r="K584" t="s">
        <v>78</v>
      </c>
      <c r="L584" t="s">
        <v>141</v>
      </c>
      <c r="M584" t="s">
        <v>142</v>
      </c>
      <c r="N584" t="s">
        <v>844</v>
      </c>
      <c r="O584" t="s">
        <v>89</v>
      </c>
      <c r="P584" t="str">
        <f>"4170071906                    "</f>
        <v xml:space="preserve">4170071906                    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25.52</v>
      </c>
      <c r="AR584">
        <v>0</v>
      </c>
      <c r="AS584">
        <v>0</v>
      </c>
      <c r="AT584">
        <v>0</v>
      </c>
      <c r="AU584">
        <v>0</v>
      </c>
      <c r="AV584">
        <v>0</v>
      </c>
      <c r="AW584">
        <v>0</v>
      </c>
      <c r="AX584">
        <v>0</v>
      </c>
      <c r="AY584">
        <v>0</v>
      </c>
      <c r="AZ584">
        <v>0</v>
      </c>
      <c r="BA584">
        <v>0</v>
      </c>
      <c r="BB584">
        <v>0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1</v>
      </c>
      <c r="BI584">
        <v>1</v>
      </c>
      <c r="BJ584">
        <v>0.9</v>
      </c>
      <c r="BK584">
        <v>1</v>
      </c>
      <c r="BL584">
        <v>76.06</v>
      </c>
      <c r="BM584">
        <v>11.41</v>
      </c>
      <c r="BN584">
        <v>87.47</v>
      </c>
      <c r="BO584">
        <v>87.47</v>
      </c>
      <c r="BQ584" t="s">
        <v>845</v>
      </c>
      <c r="BR584" t="s">
        <v>82</v>
      </c>
      <c r="BS584" s="3">
        <v>45996</v>
      </c>
      <c r="BT584" s="4">
        <v>0.43402777777777779</v>
      </c>
      <c r="BU584" t="s">
        <v>1280</v>
      </c>
      <c r="BV584" t="s">
        <v>84</v>
      </c>
      <c r="BY584">
        <v>4275</v>
      </c>
      <c r="CA584" t="s">
        <v>1203</v>
      </c>
      <c r="CC584" t="s">
        <v>142</v>
      </c>
      <c r="CD584">
        <v>6000</v>
      </c>
      <c r="CE584" t="s">
        <v>86</v>
      </c>
      <c r="CF584" s="3">
        <v>45996</v>
      </c>
      <c r="CI584">
        <v>1</v>
      </c>
      <c r="CJ584">
        <v>1</v>
      </c>
      <c r="CK584">
        <v>21</v>
      </c>
      <c r="CL584" t="s">
        <v>87</v>
      </c>
    </row>
    <row r="585" spans="1:90" x14ac:dyDescent="0.3">
      <c r="A585" t="s">
        <v>72</v>
      </c>
      <c r="B585" t="s">
        <v>73</v>
      </c>
      <c r="C585" t="s">
        <v>74</v>
      </c>
      <c r="E585" t="str">
        <f>"080069675956"</f>
        <v>080069675956</v>
      </c>
      <c r="F585" s="3">
        <v>45995</v>
      </c>
      <c r="G585">
        <v>202609</v>
      </c>
      <c r="H585" t="s">
        <v>75</v>
      </c>
      <c r="I585" t="s">
        <v>76</v>
      </c>
      <c r="J585" t="s">
        <v>77</v>
      </c>
      <c r="K585" t="s">
        <v>78</v>
      </c>
      <c r="L585" t="s">
        <v>546</v>
      </c>
      <c r="M585" t="s">
        <v>547</v>
      </c>
      <c r="N585" t="s">
        <v>548</v>
      </c>
      <c r="O585" t="s">
        <v>89</v>
      </c>
      <c r="P585" t="str">
        <f>"4170071741                    "</f>
        <v xml:space="preserve">4170071741                    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183.44</v>
      </c>
      <c r="AR585">
        <v>0</v>
      </c>
      <c r="AS585">
        <v>0</v>
      </c>
      <c r="AT585">
        <v>0</v>
      </c>
      <c r="AU585">
        <v>0</v>
      </c>
      <c r="AV585">
        <v>0</v>
      </c>
      <c r="AW585">
        <v>0</v>
      </c>
      <c r="AX585">
        <v>0</v>
      </c>
      <c r="AY585">
        <v>0</v>
      </c>
      <c r="AZ585">
        <v>0</v>
      </c>
      <c r="BA585">
        <v>0</v>
      </c>
      <c r="BB585">
        <v>0</v>
      </c>
      <c r="BC585">
        <v>0</v>
      </c>
      <c r="BD585">
        <v>0</v>
      </c>
      <c r="BE585">
        <v>0</v>
      </c>
      <c r="BF585">
        <v>0</v>
      </c>
      <c r="BG585">
        <v>0</v>
      </c>
      <c r="BH585">
        <v>1</v>
      </c>
      <c r="BI585">
        <v>7.9</v>
      </c>
      <c r="BJ585">
        <v>3.9</v>
      </c>
      <c r="BK585">
        <v>8</v>
      </c>
      <c r="BL585">
        <v>546.69000000000005</v>
      </c>
      <c r="BM585">
        <v>82</v>
      </c>
      <c r="BN585">
        <v>628.69000000000005</v>
      </c>
      <c r="BO585">
        <v>628.69000000000005</v>
      </c>
      <c r="BQ585" t="s">
        <v>549</v>
      </c>
      <c r="BR585" t="s">
        <v>82</v>
      </c>
      <c r="BS585" s="3">
        <v>45996</v>
      </c>
      <c r="BT585" s="4">
        <v>0.43402777777777779</v>
      </c>
      <c r="BU585" t="s">
        <v>1281</v>
      </c>
      <c r="BV585" t="s">
        <v>84</v>
      </c>
      <c r="BY585">
        <v>19373.2</v>
      </c>
      <c r="CA585" s="5" t="s">
        <v>1282</v>
      </c>
      <c r="CC585" t="s">
        <v>547</v>
      </c>
      <c r="CD585">
        <v>2302</v>
      </c>
      <c r="CE585" t="s">
        <v>86</v>
      </c>
      <c r="CI585">
        <v>1</v>
      </c>
      <c r="CJ585">
        <v>1</v>
      </c>
      <c r="CK585">
        <v>23</v>
      </c>
      <c r="CL585" t="s">
        <v>87</v>
      </c>
    </row>
    <row r="586" spans="1:90" x14ac:dyDescent="0.3">
      <c r="A586" t="s">
        <v>72</v>
      </c>
      <c r="B586" t="s">
        <v>73</v>
      </c>
      <c r="C586" t="s">
        <v>74</v>
      </c>
      <c r="E586" t="str">
        <f>"080069675963"</f>
        <v>080069675963</v>
      </c>
      <c r="F586" s="3">
        <v>45995</v>
      </c>
      <c r="G586">
        <v>202609</v>
      </c>
      <c r="H586" t="s">
        <v>75</v>
      </c>
      <c r="I586" t="s">
        <v>76</v>
      </c>
      <c r="J586" t="s">
        <v>77</v>
      </c>
      <c r="K586" t="s">
        <v>78</v>
      </c>
      <c r="L586" t="s">
        <v>94</v>
      </c>
      <c r="M586" t="s">
        <v>95</v>
      </c>
      <c r="N586" t="s">
        <v>96</v>
      </c>
      <c r="O586" t="s">
        <v>80</v>
      </c>
      <c r="P586" t="str">
        <f>"4170071796                    "</f>
        <v xml:space="preserve">4170071796                    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96.28</v>
      </c>
      <c r="AR586">
        <v>0</v>
      </c>
      <c r="AS586">
        <v>0</v>
      </c>
      <c r="AT586">
        <v>0</v>
      </c>
      <c r="AU586">
        <v>0</v>
      </c>
      <c r="AV586">
        <v>0</v>
      </c>
      <c r="AW586">
        <v>0</v>
      </c>
      <c r="AX586">
        <v>0</v>
      </c>
      <c r="AY586">
        <v>0</v>
      </c>
      <c r="AZ586">
        <v>0</v>
      </c>
      <c r="BA586">
        <v>0</v>
      </c>
      <c r="BB586">
        <v>0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2</v>
      </c>
      <c r="BI586">
        <v>32.1</v>
      </c>
      <c r="BJ586">
        <v>37.5</v>
      </c>
      <c r="BK586">
        <v>38</v>
      </c>
      <c r="BL586">
        <v>293.04000000000002</v>
      </c>
      <c r="BM586">
        <v>43.96</v>
      </c>
      <c r="BN586">
        <v>337</v>
      </c>
      <c r="BO586">
        <v>337</v>
      </c>
      <c r="BQ586" t="s">
        <v>97</v>
      </c>
      <c r="BR586" t="s">
        <v>82</v>
      </c>
      <c r="BS586" s="3">
        <v>45996</v>
      </c>
      <c r="BT586" s="4">
        <v>0.42083333333333334</v>
      </c>
      <c r="BU586" t="s">
        <v>98</v>
      </c>
      <c r="BV586" t="s">
        <v>84</v>
      </c>
      <c r="BY586">
        <v>187272</v>
      </c>
      <c r="CA586" t="s">
        <v>99</v>
      </c>
      <c r="CC586" t="s">
        <v>95</v>
      </c>
      <c r="CD586">
        <v>3610</v>
      </c>
      <c r="CE586" t="s">
        <v>86</v>
      </c>
      <c r="CF586" s="3">
        <v>45996</v>
      </c>
      <c r="CI586">
        <v>1</v>
      </c>
      <c r="CJ586">
        <v>1</v>
      </c>
      <c r="CK586">
        <v>41</v>
      </c>
      <c r="CL586" t="s">
        <v>87</v>
      </c>
    </row>
    <row r="587" spans="1:90" x14ac:dyDescent="0.3">
      <c r="A587" t="s">
        <v>72</v>
      </c>
      <c r="B587" t="s">
        <v>73</v>
      </c>
      <c r="C587" t="s">
        <v>74</v>
      </c>
      <c r="E587" t="str">
        <f>"080069676004"</f>
        <v>080069676004</v>
      </c>
      <c r="F587" s="3">
        <v>45995</v>
      </c>
      <c r="G587">
        <v>202609</v>
      </c>
      <c r="H587" t="s">
        <v>75</v>
      </c>
      <c r="I587" t="s">
        <v>76</v>
      </c>
      <c r="J587" t="s">
        <v>77</v>
      </c>
      <c r="K587" t="s">
        <v>78</v>
      </c>
      <c r="L587" t="s">
        <v>1116</v>
      </c>
      <c r="M587" t="s">
        <v>1283</v>
      </c>
      <c r="N587" t="s">
        <v>1284</v>
      </c>
      <c r="O587" t="s">
        <v>80</v>
      </c>
      <c r="P587" t="str">
        <f>"4170071739                    "</f>
        <v xml:space="preserve">4170071739                    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83.84</v>
      </c>
      <c r="AR587">
        <v>0</v>
      </c>
      <c r="AS587">
        <v>0</v>
      </c>
      <c r="AT587">
        <v>0</v>
      </c>
      <c r="AU587">
        <v>0</v>
      </c>
      <c r="AV587">
        <v>0</v>
      </c>
      <c r="AW587">
        <v>0</v>
      </c>
      <c r="AX587">
        <v>0</v>
      </c>
      <c r="AY587">
        <v>0</v>
      </c>
      <c r="AZ587">
        <v>0</v>
      </c>
      <c r="BA587">
        <v>0</v>
      </c>
      <c r="BB587">
        <v>0</v>
      </c>
      <c r="BC587">
        <v>0</v>
      </c>
      <c r="BD587">
        <v>0</v>
      </c>
      <c r="BE587">
        <v>0</v>
      </c>
      <c r="BF587">
        <v>0</v>
      </c>
      <c r="BG587">
        <v>0</v>
      </c>
      <c r="BH587">
        <v>1</v>
      </c>
      <c r="BI587">
        <v>11.5</v>
      </c>
      <c r="BJ587">
        <v>19</v>
      </c>
      <c r="BK587">
        <v>19</v>
      </c>
      <c r="BL587">
        <v>255.95</v>
      </c>
      <c r="BM587">
        <v>38.39</v>
      </c>
      <c r="BN587">
        <v>294.33999999999997</v>
      </c>
      <c r="BO587">
        <v>294.33999999999997</v>
      </c>
      <c r="BQ587" t="s">
        <v>1285</v>
      </c>
      <c r="BR587" t="s">
        <v>82</v>
      </c>
      <c r="BS587" t="s">
        <v>500</v>
      </c>
      <c r="BY587">
        <v>94886.52</v>
      </c>
      <c r="CC587" t="s">
        <v>1283</v>
      </c>
      <c r="CD587">
        <v>8405</v>
      </c>
      <c r="CE587" t="s">
        <v>86</v>
      </c>
      <c r="CI587">
        <v>5</v>
      </c>
      <c r="CJ587" t="s">
        <v>500</v>
      </c>
      <c r="CK587">
        <v>43</v>
      </c>
      <c r="CL587" t="s">
        <v>87</v>
      </c>
    </row>
    <row r="588" spans="1:90" x14ac:dyDescent="0.3">
      <c r="A588" t="s">
        <v>72</v>
      </c>
      <c r="B588" t="s">
        <v>73</v>
      </c>
      <c r="C588" t="s">
        <v>74</v>
      </c>
      <c r="E588" t="str">
        <f>"080069676031"</f>
        <v>080069676031</v>
      </c>
      <c r="F588" s="3">
        <v>45995</v>
      </c>
      <c r="G588">
        <v>202609</v>
      </c>
      <c r="H588" t="s">
        <v>75</v>
      </c>
      <c r="I588" t="s">
        <v>76</v>
      </c>
      <c r="J588" t="s">
        <v>77</v>
      </c>
      <c r="K588" t="s">
        <v>78</v>
      </c>
      <c r="L588" t="s">
        <v>772</v>
      </c>
      <c r="M588" t="s">
        <v>773</v>
      </c>
      <c r="N588" t="s">
        <v>1286</v>
      </c>
      <c r="O588" t="s">
        <v>89</v>
      </c>
      <c r="P588" t="str">
        <f>"4170071907                    "</f>
        <v xml:space="preserve">4170071907                    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25.52</v>
      </c>
      <c r="AR588">
        <v>0</v>
      </c>
      <c r="AS588">
        <v>0</v>
      </c>
      <c r="AT588">
        <v>0</v>
      </c>
      <c r="AU588">
        <v>0</v>
      </c>
      <c r="AV588">
        <v>0</v>
      </c>
      <c r="AW588">
        <v>17.41</v>
      </c>
      <c r="AX588">
        <v>0</v>
      </c>
      <c r="AY588">
        <v>0</v>
      </c>
      <c r="AZ588">
        <v>0</v>
      </c>
      <c r="BA588">
        <v>0</v>
      </c>
      <c r="BB588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1</v>
      </c>
      <c r="BI588">
        <v>1</v>
      </c>
      <c r="BJ588">
        <v>0.2</v>
      </c>
      <c r="BK588">
        <v>1</v>
      </c>
      <c r="BL588">
        <v>93.47</v>
      </c>
      <c r="BM588">
        <v>14.02</v>
      </c>
      <c r="BN588">
        <v>107.49</v>
      </c>
      <c r="BO588">
        <v>107.49</v>
      </c>
      <c r="BQ588" t="s">
        <v>1287</v>
      </c>
      <c r="BR588" t="s">
        <v>82</v>
      </c>
      <c r="BS588" t="s">
        <v>500</v>
      </c>
      <c r="BY588">
        <v>1200</v>
      </c>
      <c r="BZ588" t="s">
        <v>30</v>
      </c>
      <c r="CC588" t="s">
        <v>773</v>
      </c>
      <c r="CD588">
        <v>4110</v>
      </c>
      <c r="CE588" t="s">
        <v>134</v>
      </c>
      <c r="CI588">
        <v>1</v>
      </c>
      <c r="CJ588" t="s">
        <v>500</v>
      </c>
      <c r="CK588">
        <v>21</v>
      </c>
      <c r="CL588" t="s">
        <v>87</v>
      </c>
    </row>
    <row r="589" spans="1:90" x14ac:dyDescent="0.3">
      <c r="A589" t="s">
        <v>72</v>
      </c>
      <c r="B589" t="s">
        <v>73</v>
      </c>
      <c r="C589" t="s">
        <v>74</v>
      </c>
      <c r="E589" t="str">
        <f>"080069676040"</f>
        <v>080069676040</v>
      </c>
      <c r="F589" s="3">
        <v>45995</v>
      </c>
      <c r="G589">
        <v>202609</v>
      </c>
      <c r="H589" t="s">
        <v>75</v>
      </c>
      <c r="I589" t="s">
        <v>76</v>
      </c>
      <c r="J589" t="s">
        <v>77</v>
      </c>
      <c r="K589" t="s">
        <v>78</v>
      </c>
      <c r="L589" t="s">
        <v>156</v>
      </c>
      <c r="M589" t="s">
        <v>157</v>
      </c>
      <c r="N589" t="s">
        <v>434</v>
      </c>
      <c r="O589" t="s">
        <v>89</v>
      </c>
      <c r="P589" t="str">
        <f>"4170071805                    "</f>
        <v xml:space="preserve">4170071805                    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44.66</v>
      </c>
      <c r="AR589">
        <v>0</v>
      </c>
      <c r="AS589">
        <v>0</v>
      </c>
      <c r="AT589">
        <v>0</v>
      </c>
      <c r="AU589">
        <v>0</v>
      </c>
      <c r="AV589">
        <v>0</v>
      </c>
      <c r="AW589">
        <v>0</v>
      </c>
      <c r="AX589">
        <v>0</v>
      </c>
      <c r="AY589">
        <v>0</v>
      </c>
      <c r="AZ589">
        <v>0</v>
      </c>
      <c r="BA589">
        <v>0</v>
      </c>
      <c r="BB589">
        <v>0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1</v>
      </c>
      <c r="BI589">
        <v>3</v>
      </c>
      <c r="BJ589">
        <v>3.4</v>
      </c>
      <c r="BK589">
        <v>3.5</v>
      </c>
      <c r="BL589">
        <v>133.09</v>
      </c>
      <c r="BM589">
        <v>19.96</v>
      </c>
      <c r="BN589">
        <v>153.05000000000001</v>
      </c>
      <c r="BO589">
        <v>153.05000000000001</v>
      </c>
      <c r="BQ589" t="s">
        <v>435</v>
      </c>
      <c r="BR589" t="s">
        <v>82</v>
      </c>
      <c r="BS589" s="3">
        <v>45996</v>
      </c>
      <c r="BT589" s="4">
        <v>0.39583333333333331</v>
      </c>
      <c r="BU589" t="s">
        <v>1168</v>
      </c>
      <c r="BV589" t="s">
        <v>84</v>
      </c>
      <c r="BY589">
        <v>16965</v>
      </c>
      <c r="CA589" t="s">
        <v>264</v>
      </c>
      <c r="CC589" t="s">
        <v>157</v>
      </c>
      <c r="CD589">
        <v>7441</v>
      </c>
      <c r="CE589" t="s">
        <v>86</v>
      </c>
      <c r="CF589" s="3">
        <v>45999</v>
      </c>
      <c r="CI589">
        <v>1</v>
      </c>
      <c r="CJ589">
        <v>1</v>
      </c>
      <c r="CK589">
        <v>21</v>
      </c>
      <c r="CL589" t="s">
        <v>87</v>
      </c>
    </row>
    <row r="590" spans="1:90" x14ac:dyDescent="0.3">
      <c r="A590" t="s">
        <v>72</v>
      </c>
      <c r="B590" t="s">
        <v>73</v>
      </c>
      <c r="C590" t="s">
        <v>74</v>
      </c>
      <c r="E590" t="str">
        <f>"080069676049"</f>
        <v>080069676049</v>
      </c>
      <c r="F590" s="3">
        <v>45995</v>
      </c>
      <c r="G590">
        <v>202609</v>
      </c>
      <c r="H590" t="s">
        <v>75</v>
      </c>
      <c r="I590" t="s">
        <v>76</v>
      </c>
      <c r="J590" t="s">
        <v>77</v>
      </c>
      <c r="K590" t="s">
        <v>78</v>
      </c>
      <c r="L590" t="s">
        <v>156</v>
      </c>
      <c r="M590" t="s">
        <v>157</v>
      </c>
      <c r="N590" t="s">
        <v>1288</v>
      </c>
      <c r="O590" t="s">
        <v>89</v>
      </c>
      <c r="P590" t="str">
        <f>"4170071843                    "</f>
        <v xml:space="preserve">4170071843                    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25.52</v>
      </c>
      <c r="AR590">
        <v>0</v>
      </c>
      <c r="AS590">
        <v>0</v>
      </c>
      <c r="AT590">
        <v>0</v>
      </c>
      <c r="AU590">
        <v>0</v>
      </c>
      <c r="AV590">
        <v>0</v>
      </c>
      <c r="AW590">
        <v>0</v>
      </c>
      <c r="AX590">
        <v>0</v>
      </c>
      <c r="AY590">
        <v>0</v>
      </c>
      <c r="AZ590">
        <v>0</v>
      </c>
      <c r="BA590">
        <v>0</v>
      </c>
      <c r="BB590">
        <v>0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1</v>
      </c>
      <c r="BI590">
        <v>1</v>
      </c>
      <c r="BJ590">
        <v>0.2</v>
      </c>
      <c r="BK590">
        <v>1</v>
      </c>
      <c r="BL590">
        <v>76.06</v>
      </c>
      <c r="BM590">
        <v>11.41</v>
      </c>
      <c r="BN590">
        <v>87.47</v>
      </c>
      <c r="BO590">
        <v>87.47</v>
      </c>
      <c r="BQ590" t="s">
        <v>1289</v>
      </c>
      <c r="BR590" t="s">
        <v>82</v>
      </c>
      <c r="BS590" s="3">
        <v>45996</v>
      </c>
      <c r="BT590" s="4">
        <v>0.52222222222222225</v>
      </c>
      <c r="BU590" t="s">
        <v>1290</v>
      </c>
      <c r="BV590" t="s">
        <v>87</v>
      </c>
      <c r="BW590" t="s">
        <v>153</v>
      </c>
      <c r="BX590" t="s">
        <v>154</v>
      </c>
      <c r="BY590">
        <v>1200</v>
      </c>
      <c r="CA590" t="s">
        <v>950</v>
      </c>
      <c r="CC590" t="s">
        <v>157</v>
      </c>
      <c r="CD590">
        <v>7500</v>
      </c>
      <c r="CE590" t="s">
        <v>134</v>
      </c>
      <c r="CF590" s="3">
        <v>45999</v>
      </c>
      <c r="CI590">
        <v>1</v>
      </c>
      <c r="CJ590">
        <v>1</v>
      </c>
      <c r="CK590">
        <v>21</v>
      </c>
      <c r="CL590" t="s">
        <v>87</v>
      </c>
    </row>
    <row r="591" spans="1:90" x14ac:dyDescent="0.3">
      <c r="A591" t="s">
        <v>72</v>
      </c>
      <c r="B591" t="s">
        <v>73</v>
      </c>
      <c r="C591" t="s">
        <v>74</v>
      </c>
      <c r="E591" t="str">
        <f>"080069676089"</f>
        <v>080069676089</v>
      </c>
      <c r="F591" s="3">
        <v>45995</v>
      </c>
      <c r="G591">
        <v>202609</v>
      </c>
      <c r="H591" t="s">
        <v>75</v>
      </c>
      <c r="I591" t="s">
        <v>76</v>
      </c>
      <c r="J591" t="s">
        <v>77</v>
      </c>
      <c r="K591" t="s">
        <v>78</v>
      </c>
      <c r="L591" t="s">
        <v>141</v>
      </c>
      <c r="M591" t="s">
        <v>142</v>
      </c>
      <c r="N591" t="s">
        <v>585</v>
      </c>
      <c r="O591" t="s">
        <v>89</v>
      </c>
      <c r="P591" t="str">
        <f>"4170071903                    "</f>
        <v xml:space="preserve">4170071903                    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25.52</v>
      </c>
      <c r="AR591">
        <v>0</v>
      </c>
      <c r="AS591">
        <v>0</v>
      </c>
      <c r="AT591">
        <v>0</v>
      </c>
      <c r="AU591">
        <v>0</v>
      </c>
      <c r="AV591">
        <v>0</v>
      </c>
      <c r="AW591">
        <v>0</v>
      </c>
      <c r="AX591">
        <v>0</v>
      </c>
      <c r="AY591">
        <v>0</v>
      </c>
      <c r="AZ591">
        <v>0</v>
      </c>
      <c r="BA591">
        <v>0</v>
      </c>
      <c r="BB591">
        <v>0</v>
      </c>
      <c r="BC591">
        <v>0</v>
      </c>
      <c r="BD591">
        <v>0</v>
      </c>
      <c r="BE591">
        <v>0</v>
      </c>
      <c r="BF591">
        <v>0</v>
      </c>
      <c r="BG591">
        <v>0</v>
      </c>
      <c r="BH591">
        <v>1</v>
      </c>
      <c r="BI591">
        <v>1</v>
      </c>
      <c r="BJ591">
        <v>0.2</v>
      </c>
      <c r="BK591">
        <v>1</v>
      </c>
      <c r="BL591">
        <v>76.06</v>
      </c>
      <c r="BM591">
        <v>11.41</v>
      </c>
      <c r="BN591">
        <v>87.47</v>
      </c>
      <c r="BO591">
        <v>87.47</v>
      </c>
      <c r="BQ591" t="s">
        <v>586</v>
      </c>
      <c r="BR591" t="s">
        <v>82</v>
      </c>
      <c r="BS591" s="3">
        <v>45996</v>
      </c>
      <c r="BT591" s="4">
        <v>0.42708333333333331</v>
      </c>
      <c r="BU591" t="s">
        <v>587</v>
      </c>
      <c r="BV591" t="s">
        <v>84</v>
      </c>
      <c r="BY591">
        <v>1200</v>
      </c>
      <c r="CA591" t="s">
        <v>569</v>
      </c>
      <c r="CC591" t="s">
        <v>142</v>
      </c>
      <c r="CD591">
        <v>6001</v>
      </c>
      <c r="CE591" t="s">
        <v>134</v>
      </c>
      <c r="CF591" s="3">
        <v>45996</v>
      </c>
      <c r="CI591">
        <v>1</v>
      </c>
      <c r="CJ591">
        <v>1</v>
      </c>
      <c r="CK591">
        <v>21</v>
      </c>
      <c r="CL591" t="s">
        <v>87</v>
      </c>
    </row>
    <row r="592" spans="1:90" x14ac:dyDescent="0.3">
      <c r="A592" t="s">
        <v>72</v>
      </c>
      <c r="B592" t="s">
        <v>73</v>
      </c>
      <c r="C592" t="s">
        <v>74</v>
      </c>
      <c r="E592" t="str">
        <f>"080069676096"</f>
        <v>080069676096</v>
      </c>
      <c r="F592" s="3">
        <v>45995</v>
      </c>
      <c r="G592">
        <v>202609</v>
      </c>
      <c r="H592" t="s">
        <v>75</v>
      </c>
      <c r="I592" t="s">
        <v>76</v>
      </c>
      <c r="J592" t="s">
        <v>77</v>
      </c>
      <c r="K592" t="s">
        <v>78</v>
      </c>
      <c r="L592" t="s">
        <v>533</v>
      </c>
      <c r="M592" t="s">
        <v>533</v>
      </c>
      <c r="N592" t="s">
        <v>1291</v>
      </c>
      <c r="O592" t="s">
        <v>89</v>
      </c>
      <c r="P592" t="str">
        <f>"4170071891                    "</f>
        <v xml:space="preserve">4170071891                    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49.45</v>
      </c>
      <c r="AR592">
        <v>0</v>
      </c>
      <c r="AS592">
        <v>0</v>
      </c>
      <c r="AT592">
        <v>0</v>
      </c>
      <c r="AU592">
        <v>0</v>
      </c>
      <c r="AV592">
        <v>0</v>
      </c>
      <c r="AW592">
        <v>0</v>
      </c>
      <c r="AX592">
        <v>0</v>
      </c>
      <c r="AY592">
        <v>0</v>
      </c>
      <c r="AZ592">
        <v>0</v>
      </c>
      <c r="BA592">
        <v>0</v>
      </c>
      <c r="BB592">
        <v>0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1</v>
      </c>
      <c r="BI592">
        <v>1</v>
      </c>
      <c r="BJ592">
        <v>1.8</v>
      </c>
      <c r="BK592">
        <v>2</v>
      </c>
      <c r="BL592">
        <v>147.38</v>
      </c>
      <c r="BM592">
        <v>22.11</v>
      </c>
      <c r="BN592">
        <v>169.49</v>
      </c>
      <c r="BO592">
        <v>169.49</v>
      </c>
      <c r="BQ592" t="s">
        <v>1292</v>
      </c>
      <c r="BR592" t="s">
        <v>82</v>
      </c>
      <c r="BS592" s="3">
        <v>45996</v>
      </c>
      <c r="BT592" s="4">
        <v>0.73263888888888884</v>
      </c>
      <c r="BU592" t="s">
        <v>1293</v>
      </c>
      <c r="BV592" t="s">
        <v>87</v>
      </c>
      <c r="BW592" t="s">
        <v>153</v>
      </c>
      <c r="BX592" t="s">
        <v>345</v>
      </c>
      <c r="BY592">
        <v>8816</v>
      </c>
      <c r="CA592" t="s">
        <v>537</v>
      </c>
      <c r="CC592" t="s">
        <v>533</v>
      </c>
      <c r="CD592">
        <v>7646</v>
      </c>
      <c r="CE592" t="s">
        <v>86</v>
      </c>
      <c r="CI592">
        <v>1</v>
      </c>
      <c r="CJ592">
        <v>1</v>
      </c>
      <c r="CK592">
        <v>23</v>
      </c>
      <c r="CL592" t="s">
        <v>87</v>
      </c>
    </row>
    <row r="593" spans="1:90" x14ac:dyDescent="0.3">
      <c r="A593" t="s">
        <v>72</v>
      </c>
      <c r="B593" t="s">
        <v>73</v>
      </c>
      <c r="C593" t="s">
        <v>74</v>
      </c>
      <c r="E593" t="str">
        <f>"080069676104"</f>
        <v>080069676104</v>
      </c>
      <c r="F593" s="3">
        <v>45995</v>
      </c>
      <c r="G593">
        <v>202609</v>
      </c>
      <c r="H593" t="s">
        <v>75</v>
      </c>
      <c r="I593" t="s">
        <v>76</v>
      </c>
      <c r="J593" t="s">
        <v>77</v>
      </c>
      <c r="K593" t="s">
        <v>78</v>
      </c>
      <c r="L593" t="s">
        <v>502</v>
      </c>
      <c r="M593" t="s">
        <v>503</v>
      </c>
      <c r="N593" t="s">
        <v>671</v>
      </c>
      <c r="O593" t="s">
        <v>89</v>
      </c>
      <c r="P593" t="str">
        <f>"4170071936                    "</f>
        <v xml:space="preserve">4170071936                    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19.940000000000001</v>
      </c>
      <c r="AR593">
        <v>0</v>
      </c>
      <c r="AS593">
        <v>0</v>
      </c>
      <c r="AT593">
        <v>0</v>
      </c>
      <c r="AU593">
        <v>0</v>
      </c>
      <c r="AV593">
        <v>0</v>
      </c>
      <c r="AW593">
        <v>0</v>
      </c>
      <c r="AX593">
        <v>0</v>
      </c>
      <c r="AY593">
        <v>0</v>
      </c>
      <c r="AZ593">
        <v>0</v>
      </c>
      <c r="BA593">
        <v>0</v>
      </c>
      <c r="BB593">
        <v>0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1</v>
      </c>
      <c r="BI593">
        <v>1</v>
      </c>
      <c r="BJ593">
        <v>0.2</v>
      </c>
      <c r="BK593">
        <v>1</v>
      </c>
      <c r="BL593">
        <v>59.42</v>
      </c>
      <c r="BM593">
        <v>8.91</v>
      </c>
      <c r="BN593">
        <v>68.33</v>
      </c>
      <c r="BO593">
        <v>68.33</v>
      </c>
      <c r="BQ593" t="s">
        <v>1197</v>
      </c>
      <c r="BR593" t="s">
        <v>82</v>
      </c>
      <c r="BS593" s="3">
        <v>45996</v>
      </c>
      <c r="BT593" s="4">
        <v>0.39583333333333331</v>
      </c>
      <c r="BU593" t="s">
        <v>1198</v>
      </c>
      <c r="BV593" t="s">
        <v>84</v>
      </c>
      <c r="BY593">
        <v>1200</v>
      </c>
      <c r="CA593" t="s">
        <v>507</v>
      </c>
      <c r="CC593" t="s">
        <v>503</v>
      </c>
      <c r="CD593">
        <v>1559</v>
      </c>
      <c r="CE593" t="s">
        <v>134</v>
      </c>
      <c r="CF593" s="3">
        <v>45996</v>
      </c>
      <c r="CI593">
        <v>1</v>
      </c>
      <c r="CJ593">
        <v>1</v>
      </c>
      <c r="CK593">
        <v>22</v>
      </c>
      <c r="CL593" t="s">
        <v>87</v>
      </c>
    </row>
    <row r="594" spans="1:90" x14ac:dyDescent="0.3">
      <c r="A594" t="s">
        <v>72</v>
      </c>
      <c r="B594" t="s">
        <v>73</v>
      </c>
      <c r="C594" t="s">
        <v>74</v>
      </c>
      <c r="E594" t="str">
        <f>"080069676132"</f>
        <v>080069676132</v>
      </c>
      <c r="F594" s="3">
        <v>45995</v>
      </c>
      <c r="G594">
        <v>202609</v>
      </c>
      <c r="H594" t="s">
        <v>75</v>
      </c>
      <c r="I594" t="s">
        <v>76</v>
      </c>
      <c r="J594" t="s">
        <v>77</v>
      </c>
      <c r="K594" t="s">
        <v>78</v>
      </c>
      <c r="L594" t="s">
        <v>241</v>
      </c>
      <c r="M594" t="s">
        <v>242</v>
      </c>
      <c r="N594" t="s">
        <v>243</v>
      </c>
      <c r="O594" t="s">
        <v>89</v>
      </c>
      <c r="P594" t="str">
        <f>"4170071864                    "</f>
        <v xml:space="preserve">4170071864                    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25.52</v>
      </c>
      <c r="AR594">
        <v>0</v>
      </c>
      <c r="AS594">
        <v>0</v>
      </c>
      <c r="AT594">
        <v>0</v>
      </c>
      <c r="AU594">
        <v>0</v>
      </c>
      <c r="AV594">
        <v>0</v>
      </c>
      <c r="AW594">
        <v>0</v>
      </c>
      <c r="AX594">
        <v>0</v>
      </c>
      <c r="AY594">
        <v>0</v>
      </c>
      <c r="AZ594">
        <v>0</v>
      </c>
      <c r="BA594">
        <v>0</v>
      </c>
      <c r="BB594">
        <v>0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1</v>
      </c>
      <c r="BI594">
        <v>2</v>
      </c>
      <c r="BJ594">
        <v>1.8</v>
      </c>
      <c r="BK594">
        <v>2</v>
      </c>
      <c r="BL594">
        <v>76.06</v>
      </c>
      <c r="BM594">
        <v>11.41</v>
      </c>
      <c r="BN594">
        <v>87.47</v>
      </c>
      <c r="BO594">
        <v>87.47</v>
      </c>
      <c r="BQ594" t="s">
        <v>244</v>
      </c>
      <c r="BR594" t="s">
        <v>82</v>
      </c>
      <c r="BS594" s="3">
        <v>45996</v>
      </c>
      <c r="BT594" s="4">
        <v>0.41666666666666669</v>
      </c>
      <c r="BU594" t="s">
        <v>1274</v>
      </c>
      <c r="BV594" t="s">
        <v>84</v>
      </c>
      <c r="BY594">
        <v>8816</v>
      </c>
      <c r="CA594" t="s">
        <v>1200</v>
      </c>
      <c r="CC594" t="s">
        <v>242</v>
      </c>
      <c r="CD594">
        <v>4300</v>
      </c>
      <c r="CE594" t="s">
        <v>86</v>
      </c>
      <c r="CF594" s="3">
        <v>45997</v>
      </c>
      <c r="CI594">
        <v>1</v>
      </c>
      <c r="CJ594">
        <v>1</v>
      </c>
      <c r="CK594">
        <v>21</v>
      </c>
      <c r="CL594" t="s">
        <v>87</v>
      </c>
    </row>
    <row r="595" spans="1:90" x14ac:dyDescent="0.3">
      <c r="A595" t="s">
        <v>72</v>
      </c>
      <c r="B595" t="s">
        <v>73</v>
      </c>
      <c r="C595" t="s">
        <v>74</v>
      </c>
      <c r="E595" t="str">
        <f>"080069676133"</f>
        <v>080069676133</v>
      </c>
      <c r="F595" s="3">
        <v>45995</v>
      </c>
      <c r="G595">
        <v>202609</v>
      </c>
      <c r="H595" t="s">
        <v>75</v>
      </c>
      <c r="I595" t="s">
        <v>76</v>
      </c>
      <c r="J595" t="s">
        <v>77</v>
      </c>
      <c r="K595" t="s">
        <v>78</v>
      </c>
      <c r="L595" t="s">
        <v>75</v>
      </c>
      <c r="M595" t="s">
        <v>76</v>
      </c>
      <c r="N595" t="s">
        <v>328</v>
      </c>
      <c r="O595" t="s">
        <v>89</v>
      </c>
      <c r="P595" t="str">
        <f>"4170071871                    "</f>
        <v xml:space="preserve">4170071871                    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19.940000000000001</v>
      </c>
      <c r="AR595">
        <v>0</v>
      </c>
      <c r="AS595">
        <v>0</v>
      </c>
      <c r="AT595">
        <v>0</v>
      </c>
      <c r="AU595">
        <v>0</v>
      </c>
      <c r="AV595">
        <v>0</v>
      </c>
      <c r="AW595">
        <v>0</v>
      </c>
      <c r="AX595">
        <v>0</v>
      </c>
      <c r="AY595">
        <v>0</v>
      </c>
      <c r="AZ595">
        <v>0</v>
      </c>
      <c r="BA595">
        <v>0</v>
      </c>
      <c r="BB595">
        <v>0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1</v>
      </c>
      <c r="BI595">
        <v>1</v>
      </c>
      <c r="BJ595">
        <v>0.2</v>
      </c>
      <c r="BK595">
        <v>1</v>
      </c>
      <c r="BL595">
        <v>59.42</v>
      </c>
      <c r="BM595">
        <v>8.91</v>
      </c>
      <c r="BN595">
        <v>68.33</v>
      </c>
      <c r="BO595">
        <v>68.33</v>
      </c>
      <c r="BQ595" t="s">
        <v>329</v>
      </c>
      <c r="BR595" t="s">
        <v>82</v>
      </c>
      <c r="BS595" s="3">
        <v>45996</v>
      </c>
      <c r="BT595" s="4">
        <v>0.38263888888888886</v>
      </c>
      <c r="BU595" t="s">
        <v>330</v>
      </c>
      <c r="BV595" t="s">
        <v>84</v>
      </c>
      <c r="BY595">
        <v>1200</v>
      </c>
      <c r="CA595" t="s">
        <v>331</v>
      </c>
      <c r="CC595" t="s">
        <v>76</v>
      </c>
      <c r="CD595">
        <v>1645</v>
      </c>
      <c r="CE595" t="s">
        <v>134</v>
      </c>
      <c r="CF595" s="3">
        <v>45996</v>
      </c>
      <c r="CI595">
        <v>1</v>
      </c>
      <c r="CJ595">
        <v>1</v>
      </c>
      <c r="CK595">
        <v>22</v>
      </c>
      <c r="CL595" t="s">
        <v>87</v>
      </c>
    </row>
    <row r="596" spans="1:90" x14ac:dyDescent="0.3">
      <c r="A596" t="s">
        <v>72</v>
      </c>
      <c r="B596" t="s">
        <v>73</v>
      </c>
      <c r="C596" t="s">
        <v>74</v>
      </c>
      <c r="E596" t="str">
        <f>"080069676166"</f>
        <v>080069676166</v>
      </c>
      <c r="F596" s="3">
        <v>45995</v>
      </c>
      <c r="G596">
        <v>202609</v>
      </c>
      <c r="H596" t="s">
        <v>75</v>
      </c>
      <c r="I596" t="s">
        <v>76</v>
      </c>
      <c r="J596" t="s">
        <v>77</v>
      </c>
      <c r="K596" t="s">
        <v>78</v>
      </c>
      <c r="L596" t="s">
        <v>120</v>
      </c>
      <c r="M596" t="s">
        <v>121</v>
      </c>
      <c r="N596" t="s">
        <v>163</v>
      </c>
      <c r="O596" t="s">
        <v>89</v>
      </c>
      <c r="P596" t="str">
        <f>"4170071913                    "</f>
        <v xml:space="preserve">4170071913                    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25.52</v>
      </c>
      <c r="AR596">
        <v>0</v>
      </c>
      <c r="AS596">
        <v>0</v>
      </c>
      <c r="AT596">
        <v>0</v>
      </c>
      <c r="AU596">
        <v>0</v>
      </c>
      <c r="AV596">
        <v>0</v>
      </c>
      <c r="AW596">
        <v>0</v>
      </c>
      <c r="AX596">
        <v>0</v>
      </c>
      <c r="AY596">
        <v>0</v>
      </c>
      <c r="AZ596">
        <v>0</v>
      </c>
      <c r="BA596">
        <v>0</v>
      </c>
      <c r="BB596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1</v>
      </c>
      <c r="BI596">
        <v>1</v>
      </c>
      <c r="BJ596">
        <v>0.2</v>
      </c>
      <c r="BK596">
        <v>1</v>
      </c>
      <c r="BL596">
        <v>76.06</v>
      </c>
      <c r="BM596">
        <v>11.41</v>
      </c>
      <c r="BN596">
        <v>87.47</v>
      </c>
      <c r="BO596">
        <v>87.47</v>
      </c>
      <c r="BQ596" t="s">
        <v>164</v>
      </c>
      <c r="BR596" t="s">
        <v>82</v>
      </c>
      <c r="BS596" s="3">
        <v>45996</v>
      </c>
      <c r="BT596" s="4">
        <v>0.39930555555555558</v>
      </c>
      <c r="BU596" t="s">
        <v>165</v>
      </c>
      <c r="BV596" t="s">
        <v>84</v>
      </c>
      <c r="BY596">
        <v>1200</v>
      </c>
      <c r="CA596" t="s">
        <v>126</v>
      </c>
      <c r="CC596" t="s">
        <v>121</v>
      </c>
      <c r="CD596">
        <v>6230</v>
      </c>
      <c r="CE596" t="s">
        <v>134</v>
      </c>
      <c r="CF596" s="3">
        <v>45996</v>
      </c>
      <c r="CI596">
        <v>1</v>
      </c>
      <c r="CJ596">
        <v>1</v>
      </c>
      <c r="CK596">
        <v>21</v>
      </c>
      <c r="CL596" t="s">
        <v>87</v>
      </c>
    </row>
    <row r="597" spans="1:90" x14ac:dyDescent="0.3">
      <c r="A597" t="s">
        <v>72</v>
      </c>
      <c r="B597" t="s">
        <v>73</v>
      </c>
      <c r="C597" t="s">
        <v>74</v>
      </c>
      <c r="E597" t="str">
        <f>"080069676189"</f>
        <v>080069676189</v>
      </c>
      <c r="F597" s="3">
        <v>45995</v>
      </c>
      <c r="G597">
        <v>202609</v>
      </c>
      <c r="H597" t="s">
        <v>75</v>
      </c>
      <c r="I597" t="s">
        <v>76</v>
      </c>
      <c r="J597" t="s">
        <v>77</v>
      </c>
      <c r="K597" t="s">
        <v>78</v>
      </c>
      <c r="L597" t="s">
        <v>1024</v>
      </c>
      <c r="M597" t="s">
        <v>1025</v>
      </c>
      <c r="N597" t="s">
        <v>1026</v>
      </c>
      <c r="O597" t="s">
        <v>89</v>
      </c>
      <c r="P597" t="str">
        <f>"4170071847                    "</f>
        <v xml:space="preserve">4170071847                    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  <c r="AH597">
        <v>0</v>
      </c>
      <c r="AI597">
        <v>0</v>
      </c>
      <c r="AJ597">
        <v>0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49.45</v>
      </c>
      <c r="AR597">
        <v>0</v>
      </c>
      <c r="AS597">
        <v>0</v>
      </c>
      <c r="AT597">
        <v>0</v>
      </c>
      <c r="AU597">
        <v>0</v>
      </c>
      <c r="AV597">
        <v>0</v>
      </c>
      <c r="AW597">
        <v>0</v>
      </c>
      <c r="AX597">
        <v>0</v>
      </c>
      <c r="AY597">
        <v>0</v>
      </c>
      <c r="AZ597">
        <v>0</v>
      </c>
      <c r="BA597">
        <v>0</v>
      </c>
      <c r="BB59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1</v>
      </c>
      <c r="BI597">
        <v>1</v>
      </c>
      <c r="BJ597">
        <v>0.2</v>
      </c>
      <c r="BK597">
        <v>1</v>
      </c>
      <c r="BL597">
        <v>147.38</v>
      </c>
      <c r="BM597">
        <v>22.11</v>
      </c>
      <c r="BN597">
        <v>169.49</v>
      </c>
      <c r="BO597">
        <v>169.49</v>
      </c>
      <c r="BQ597" t="s">
        <v>1027</v>
      </c>
      <c r="BR597" t="s">
        <v>82</v>
      </c>
      <c r="BS597" s="3">
        <v>45996</v>
      </c>
      <c r="BT597" s="4">
        <v>0.48888888888888887</v>
      </c>
      <c r="BU597" t="s">
        <v>1028</v>
      </c>
      <c r="BV597" t="s">
        <v>84</v>
      </c>
      <c r="BY597">
        <v>1200</v>
      </c>
      <c r="CA597" t="s">
        <v>1029</v>
      </c>
      <c r="CC597" t="s">
        <v>1025</v>
      </c>
      <c r="CD597">
        <v>5257</v>
      </c>
      <c r="CE597" t="s">
        <v>134</v>
      </c>
      <c r="CI597">
        <v>1</v>
      </c>
      <c r="CJ597">
        <v>1</v>
      </c>
      <c r="CK597">
        <v>23</v>
      </c>
      <c r="CL597" t="s">
        <v>87</v>
      </c>
    </row>
    <row r="598" spans="1:90" x14ac:dyDescent="0.3">
      <c r="A598" t="s">
        <v>72</v>
      </c>
      <c r="B598" t="s">
        <v>73</v>
      </c>
      <c r="C598" t="s">
        <v>74</v>
      </c>
      <c r="E598" t="str">
        <f>"080069676186"</f>
        <v>080069676186</v>
      </c>
      <c r="F598" s="3">
        <v>45995</v>
      </c>
      <c r="G598">
        <v>202609</v>
      </c>
      <c r="H598" t="s">
        <v>75</v>
      </c>
      <c r="I598" t="s">
        <v>76</v>
      </c>
      <c r="J598" t="s">
        <v>77</v>
      </c>
      <c r="K598" t="s">
        <v>78</v>
      </c>
      <c r="L598" t="s">
        <v>100</v>
      </c>
      <c r="M598" t="s">
        <v>101</v>
      </c>
      <c r="N598" t="s">
        <v>1294</v>
      </c>
      <c r="O598" t="s">
        <v>89</v>
      </c>
      <c r="P598" t="str">
        <f>"4170071910                    "</f>
        <v xml:space="preserve">4170071910                    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102.06</v>
      </c>
      <c r="AR598">
        <v>0</v>
      </c>
      <c r="AS598">
        <v>0</v>
      </c>
      <c r="AT598">
        <v>0</v>
      </c>
      <c r="AU598">
        <v>0</v>
      </c>
      <c r="AV598">
        <v>0</v>
      </c>
      <c r="AW598">
        <v>0</v>
      </c>
      <c r="AX598">
        <v>0</v>
      </c>
      <c r="AY598">
        <v>0</v>
      </c>
      <c r="AZ598">
        <v>0</v>
      </c>
      <c r="BA598">
        <v>0</v>
      </c>
      <c r="BB598">
        <v>0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2</v>
      </c>
      <c r="BI598">
        <v>8</v>
      </c>
      <c r="BJ598">
        <v>3.5</v>
      </c>
      <c r="BK598">
        <v>8</v>
      </c>
      <c r="BL598">
        <v>304.16000000000003</v>
      </c>
      <c r="BM598">
        <v>45.62</v>
      </c>
      <c r="BN598">
        <v>349.78</v>
      </c>
      <c r="BO598">
        <v>349.78</v>
      </c>
      <c r="BQ598" t="s">
        <v>1295</v>
      </c>
      <c r="BR598" t="s">
        <v>82</v>
      </c>
      <c r="BS598" s="3">
        <v>45996</v>
      </c>
      <c r="BT598" s="4">
        <v>0.53055555555555556</v>
      </c>
      <c r="BU598" t="s">
        <v>1296</v>
      </c>
      <c r="BV598" t="s">
        <v>87</v>
      </c>
      <c r="BW598" t="s">
        <v>246</v>
      </c>
      <c r="BX598" t="s">
        <v>106</v>
      </c>
      <c r="BY598">
        <v>8816</v>
      </c>
      <c r="CA598" t="s">
        <v>1297</v>
      </c>
      <c r="CC598" t="s">
        <v>101</v>
      </c>
      <c r="CD598">
        <v>4000</v>
      </c>
      <c r="CE598" t="s">
        <v>939</v>
      </c>
      <c r="CF598" s="3">
        <v>45997</v>
      </c>
      <c r="CI598">
        <v>1</v>
      </c>
      <c r="CJ598">
        <v>1</v>
      </c>
      <c r="CK598">
        <v>21</v>
      </c>
      <c r="CL598" t="s">
        <v>87</v>
      </c>
    </row>
    <row r="599" spans="1:90" x14ac:dyDescent="0.3">
      <c r="A599" t="s">
        <v>72</v>
      </c>
      <c r="B599" t="s">
        <v>73</v>
      </c>
      <c r="C599" t="s">
        <v>74</v>
      </c>
      <c r="E599" t="str">
        <f>"080069676252"</f>
        <v>080069676252</v>
      </c>
      <c r="F599" s="3">
        <v>45995</v>
      </c>
      <c r="G599">
        <v>202609</v>
      </c>
      <c r="H599" t="s">
        <v>75</v>
      </c>
      <c r="I599" t="s">
        <v>76</v>
      </c>
      <c r="J599" t="s">
        <v>77</v>
      </c>
      <c r="K599" t="s">
        <v>78</v>
      </c>
      <c r="L599" t="s">
        <v>265</v>
      </c>
      <c r="M599" t="s">
        <v>266</v>
      </c>
      <c r="N599" t="s">
        <v>1298</v>
      </c>
      <c r="O599" t="s">
        <v>89</v>
      </c>
      <c r="P599" t="str">
        <f>"4170071909                    "</f>
        <v xml:space="preserve">4170071909                    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19.940000000000001</v>
      </c>
      <c r="AR599">
        <v>0</v>
      </c>
      <c r="AS599">
        <v>0</v>
      </c>
      <c r="AT599">
        <v>0</v>
      </c>
      <c r="AU599">
        <v>0</v>
      </c>
      <c r="AV599">
        <v>0</v>
      </c>
      <c r="AW599">
        <v>0</v>
      </c>
      <c r="AX599">
        <v>0</v>
      </c>
      <c r="AY599">
        <v>0</v>
      </c>
      <c r="AZ599">
        <v>0</v>
      </c>
      <c r="BA599">
        <v>0</v>
      </c>
      <c r="BB599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1</v>
      </c>
      <c r="BI599">
        <v>3</v>
      </c>
      <c r="BJ599">
        <v>1.1000000000000001</v>
      </c>
      <c r="BK599">
        <v>3</v>
      </c>
      <c r="BL599">
        <v>59.42</v>
      </c>
      <c r="BM599">
        <v>8.91</v>
      </c>
      <c r="BN599">
        <v>68.33</v>
      </c>
      <c r="BO599">
        <v>68.33</v>
      </c>
      <c r="BQ599" t="s">
        <v>1299</v>
      </c>
      <c r="BR599" t="s">
        <v>82</v>
      </c>
      <c r="BS599" s="3">
        <v>45996</v>
      </c>
      <c r="BT599" s="4">
        <v>0.43055555555555558</v>
      </c>
      <c r="BU599" t="s">
        <v>1300</v>
      </c>
      <c r="BV599" t="s">
        <v>84</v>
      </c>
      <c r="BY599">
        <v>5510</v>
      </c>
      <c r="CA599" t="s">
        <v>1301</v>
      </c>
      <c r="CC599" t="s">
        <v>266</v>
      </c>
      <c r="CD599">
        <v>1460</v>
      </c>
      <c r="CE599" t="s">
        <v>86</v>
      </c>
      <c r="CF599" s="3">
        <v>45996</v>
      </c>
      <c r="CI599">
        <v>1</v>
      </c>
      <c r="CJ599">
        <v>1</v>
      </c>
      <c r="CK599">
        <v>22</v>
      </c>
      <c r="CL599" t="s">
        <v>87</v>
      </c>
    </row>
    <row r="600" spans="1:90" x14ac:dyDescent="0.3">
      <c r="A600" t="s">
        <v>72</v>
      </c>
      <c r="B600" t="s">
        <v>73</v>
      </c>
      <c r="C600" t="s">
        <v>74</v>
      </c>
      <c r="E600" t="str">
        <f>"080069676256"</f>
        <v>080069676256</v>
      </c>
      <c r="F600" s="3">
        <v>45995</v>
      </c>
      <c r="G600">
        <v>202609</v>
      </c>
      <c r="H600" t="s">
        <v>75</v>
      </c>
      <c r="I600" t="s">
        <v>76</v>
      </c>
      <c r="J600" t="s">
        <v>77</v>
      </c>
      <c r="K600" t="s">
        <v>78</v>
      </c>
      <c r="L600" t="s">
        <v>302</v>
      </c>
      <c r="M600" t="s">
        <v>303</v>
      </c>
      <c r="N600" t="s">
        <v>425</v>
      </c>
      <c r="O600" t="s">
        <v>89</v>
      </c>
      <c r="P600" t="str">
        <f>"4170071846                    "</f>
        <v xml:space="preserve">4170071846                    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25.52</v>
      </c>
      <c r="AR600">
        <v>0</v>
      </c>
      <c r="AS600">
        <v>0</v>
      </c>
      <c r="AT600">
        <v>0</v>
      </c>
      <c r="AU600">
        <v>0</v>
      </c>
      <c r="AV600">
        <v>0</v>
      </c>
      <c r="AW600">
        <v>0</v>
      </c>
      <c r="AX600">
        <v>0</v>
      </c>
      <c r="AY600">
        <v>0</v>
      </c>
      <c r="AZ600">
        <v>0</v>
      </c>
      <c r="BA600">
        <v>0</v>
      </c>
      <c r="BB600">
        <v>0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1</v>
      </c>
      <c r="BI600">
        <v>1</v>
      </c>
      <c r="BJ600">
        <v>0.2</v>
      </c>
      <c r="BK600">
        <v>1</v>
      </c>
      <c r="BL600">
        <v>76.06</v>
      </c>
      <c r="BM600">
        <v>11.41</v>
      </c>
      <c r="BN600">
        <v>87.47</v>
      </c>
      <c r="BO600">
        <v>87.47</v>
      </c>
      <c r="BQ600" t="s">
        <v>426</v>
      </c>
      <c r="BR600" t="s">
        <v>82</v>
      </c>
      <c r="BS600" s="3">
        <v>45996</v>
      </c>
      <c r="BT600" s="4">
        <v>0.36875000000000002</v>
      </c>
      <c r="BU600" t="s">
        <v>1261</v>
      </c>
      <c r="BV600" t="s">
        <v>84</v>
      </c>
      <c r="BY600">
        <v>1200</v>
      </c>
      <c r="CA600">
        <v>7712195338085</v>
      </c>
      <c r="CC600" t="s">
        <v>303</v>
      </c>
      <c r="CD600" s="5" t="s">
        <v>350</v>
      </c>
      <c r="CE600" t="s">
        <v>134</v>
      </c>
      <c r="CF600" s="3">
        <v>45996</v>
      </c>
      <c r="CI600">
        <v>1</v>
      </c>
      <c r="CJ600">
        <v>1</v>
      </c>
      <c r="CK600">
        <v>21</v>
      </c>
      <c r="CL600" t="s">
        <v>87</v>
      </c>
    </row>
    <row r="601" spans="1:90" x14ac:dyDescent="0.3">
      <c r="A601" t="s">
        <v>72</v>
      </c>
      <c r="B601" t="s">
        <v>73</v>
      </c>
      <c r="C601" t="s">
        <v>74</v>
      </c>
      <c r="E601" t="str">
        <f>"080069676285"</f>
        <v>080069676285</v>
      </c>
      <c r="F601" s="3">
        <v>45995</v>
      </c>
      <c r="G601">
        <v>202609</v>
      </c>
      <c r="H601" t="s">
        <v>75</v>
      </c>
      <c r="I601" t="s">
        <v>76</v>
      </c>
      <c r="J601" t="s">
        <v>77</v>
      </c>
      <c r="K601" t="s">
        <v>78</v>
      </c>
      <c r="L601" t="s">
        <v>533</v>
      </c>
      <c r="M601" t="s">
        <v>533</v>
      </c>
      <c r="N601" t="s">
        <v>554</v>
      </c>
      <c r="O601" t="s">
        <v>89</v>
      </c>
      <c r="P601" t="str">
        <f>"4170071789                    "</f>
        <v xml:space="preserve">4170071789                    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49.45</v>
      </c>
      <c r="AR601">
        <v>0</v>
      </c>
      <c r="AS601">
        <v>0</v>
      </c>
      <c r="AT601">
        <v>0</v>
      </c>
      <c r="AU601">
        <v>0</v>
      </c>
      <c r="AV601">
        <v>0</v>
      </c>
      <c r="AW601">
        <v>0</v>
      </c>
      <c r="AX601">
        <v>0</v>
      </c>
      <c r="AY601">
        <v>0</v>
      </c>
      <c r="AZ601">
        <v>0</v>
      </c>
      <c r="BA601">
        <v>0</v>
      </c>
      <c r="BB601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1</v>
      </c>
      <c r="BI601">
        <v>1</v>
      </c>
      <c r="BJ601">
        <v>0.2</v>
      </c>
      <c r="BK601">
        <v>1</v>
      </c>
      <c r="BL601">
        <v>147.38</v>
      </c>
      <c r="BM601">
        <v>22.11</v>
      </c>
      <c r="BN601">
        <v>169.49</v>
      </c>
      <c r="BO601">
        <v>169.49</v>
      </c>
      <c r="BQ601" t="s">
        <v>555</v>
      </c>
      <c r="BR601" t="s">
        <v>82</v>
      </c>
      <c r="BS601" s="3">
        <v>45996</v>
      </c>
      <c r="BT601" s="4">
        <v>0.72638888888888886</v>
      </c>
      <c r="BU601" t="s">
        <v>1214</v>
      </c>
      <c r="BV601" t="s">
        <v>87</v>
      </c>
      <c r="BW601" t="s">
        <v>153</v>
      </c>
      <c r="BX601" t="s">
        <v>345</v>
      </c>
      <c r="BY601">
        <v>1200</v>
      </c>
      <c r="CA601" t="s">
        <v>537</v>
      </c>
      <c r="CC601" t="s">
        <v>533</v>
      </c>
      <c r="CD601">
        <v>7646</v>
      </c>
      <c r="CE601" t="s">
        <v>134</v>
      </c>
      <c r="CI601">
        <v>1</v>
      </c>
      <c r="CJ601">
        <v>1</v>
      </c>
      <c r="CK601">
        <v>23</v>
      </c>
      <c r="CL601" t="s">
        <v>87</v>
      </c>
    </row>
    <row r="602" spans="1:90" x14ac:dyDescent="0.3">
      <c r="A602" t="s">
        <v>72</v>
      </c>
      <c r="B602" t="s">
        <v>73</v>
      </c>
      <c r="C602" t="s">
        <v>74</v>
      </c>
      <c r="E602" t="str">
        <f>"080069676290"</f>
        <v>080069676290</v>
      </c>
      <c r="F602" s="3">
        <v>45995</v>
      </c>
      <c r="G602">
        <v>202609</v>
      </c>
      <c r="H602" t="s">
        <v>75</v>
      </c>
      <c r="I602" t="s">
        <v>76</v>
      </c>
      <c r="J602" t="s">
        <v>77</v>
      </c>
      <c r="K602" t="s">
        <v>78</v>
      </c>
      <c r="L602" t="s">
        <v>526</v>
      </c>
      <c r="M602" t="s">
        <v>527</v>
      </c>
      <c r="N602" t="s">
        <v>1110</v>
      </c>
      <c r="O602" t="s">
        <v>89</v>
      </c>
      <c r="P602" t="str">
        <f>"4170071887                    "</f>
        <v xml:space="preserve">4170071887                    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49.45</v>
      </c>
      <c r="AR602">
        <v>0</v>
      </c>
      <c r="AS602">
        <v>0</v>
      </c>
      <c r="AT602">
        <v>0</v>
      </c>
      <c r="AU602">
        <v>0</v>
      </c>
      <c r="AV602">
        <v>0</v>
      </c>
      <c r="AW602">
        <v>17.41</v>
      </c>
      <c r="AX602">
        <v>0</v>
      </c>
      <c r="AY602">
        <v>0</v>
      </c>
      <c r="AZ602">
        <v>0</v>
      </c>
      <c r="BA602">
        <v>0</v>
      </c>
      <c r="BB602">
        <v>0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1</v>
      </c>
      <c r="BI602">
        <v>1.1000000000000001</v>
      </c>
      <c r="BJ602">
        <v>1</v>
      </c>
      <c r="BK602">
        <v>1.5</v>
      </c>
      <c r="BL602">
        <v>164.79</v>
      </c>
      <c r="BM602">
        <v>24.72</v>
      </c>
      <c r="BN602">
        <v>189.51</v>
      </c>
      <c r="BO602">
        <v>189.51</v>
      </c>
      <c r="BQ602" t="s">
        <v>1111</v>
      </c>
      <c r="BR602" t="s">
        <v>82</v>
      </c>
      <c r="BS602" s="3">
        <v>45996</v>
      </c>
      <c r="BT602" s="4">
        <v>0.52083333333333337</v>
      </c>
      <c r="BU602" t="s">
        <v>1302</v>
      </c>
      <c r="BV602" t="s">
        <v>84</v>
      </c>
      <c r="BY602">
        <v>5018.66</v>
      </c>
      <c r="BZ602" t="s">
        <v>30</v>
      </c>
      <c r="CC602" t="s">
        <v>527</v>
      </c>
      <c r="CD602" s="5" t="s">
        <v>1113</v>
      </c>
      <c r="CE602" t="s">
        <v>86</v>
      </c>
      <c r="CI602">
        <v>1</v>
      </c>
      <c r="CJ602">
        <v>1</v>
      </c>
      <c r="CK602">
        <v>23</v>
      </c>
      <c r="CL602" t="s">
        <v>87</v>
      </c>
    </row>
    <row r="603" spans="1:90" x14ac:dyDescent="0.3">
      <c r="A603" t="s">
        <v>72</v>
      </c>
      <c r="B603" t="s">
        <v>73</v>
      </c>
      <c r="C603" t="s">
        <v>74</v>
      </c>
      <c r="E603" t="str">
        <f>"080069676329"</f>
        <v>080069676329</v>
      </c>
      <c r="F603" s="3">
        <v>45995</v>
      </c>
      <c r="G603">
        <v>202609</v>
      </c>
      <c r="H603" t="s">
        <v>75</v>
      </c>
      <c r="I603" t="s">
        <v>76</v>
      </c>
      <c r="J603" t="s">
        <v>77</v>
      </c>
      <c r="K603" t="s">
        <v>78</v>
      </c>
      <c r="L603" t="s">
        <v>141</v>
      </c>
      <c r="M603" t="s">
        <v>142</v>
      </c>
      <c r="N603" t="s">
        <v>844</v>
      </c>
      <c r="O603" t="s">
        <v>89</v>
      </c>
      <c r="P603" t="str">
        <f>"4170071783                    "</f>
        <v xml:space="preserve">4170071783                    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25.52</v>
      </c>
      <c r="AR603">
        <v>0</v>
      </c>
      <c r="AS603">
        <v>0</v>
      </c>
      <c r="AT603">
        <v>0</v>
      </c>
      <c r="AU603">
        <v>0</v>
      </c>
      <c r="AV603">
        <v>0</v>
      </c>
      <c r="AW603">
        <v>0</v>
      </c>
      <c r="AX603">
        <v>0</v>
      </c>
      <c r="AY603">
        <v>0</v>
      </c>
      <c r="AZ603">
        <v>0</v>
      </c>
      <c r="BA603">
        <v>0</v>
      </c>
      <c r="BB603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1</v>
      </c>
      <c r="BI603">
        <v>1</v>
      </c>
      <c r="BJ603">
        <v>0.2</v>
      </c>
      <c r="BK603">
        <v>1</v>
      </c>
      <c r="BL603">
        <v>76.06</v>
      </c>
      <c r="BM603">
        <v>11.41</v>
      </c>
      <c r="BN603">
        <v>87.47</v>
      </c>
      <c r="BO603">
        <v>87.47</v>
      </c>
      <c r="BQ603" t="s">
        <v>845</v>
      </c>
      <c r="BR603" t="s">
        <v>82</v>
      </c>
      <c r="BS603" s="3">
        <v>45996</v>
      </c>
      <c r="BT603" s="4">
        <v>0.43125000000000002</v>
      </c>
      <c r="BU603" t="s">
        <v>846</v>
      </c>
      <c r="BV603" t="s">
        <v>84</v>
      </c>
      <c r="BY603">
        <v>1200</v>
      </c>
      <c r="CA603" t="s">
        <v>1203</v>
      </c>
      <c r="CC603" t="s">
        <v>142</v>
      </c>
      <c r="CD603">
        <v>6000</v>
      </c>
      <c r="CE603" t="s">
        <v>134</v>
      </c>
      <c r="CF603" s="3">
        <v>45996</v>
      </c>
      <c r="CI603">
        <v>1</v>
      </c>
      <c r="CJ603">
        <v>1</v>
      </c>
      <c r="CK603">
        <v>21</v>
      </c>
      <c r="CL603" t="s">
        <v>87</v>
      </c>
    </row>
    <row r="604" spans="1:90" x14ac:dyDescent="0.3">
      <c r="A604" t="s">
        <v>72</v>
      </c>
      <c r="B604" t="s">
        <v>73</v>
      </c>
      <c r="C604" t="s">
        <v>74</v>
      </c>
      <c r="E604" t="str">
        <f>"080069676342"</f>
        <v>080069676342</v>
      </c>
      <c r="F604" s="3">
        <v>45995</v>
      </c>
      <c r="G604">
        <v>202609</v>
      </c>
      <c r="H604" t="s">
        <v>75</v>
      </c>
      <c r="I604" t="s">
        <v>76</v>
      </c>
      <c r="J604" t="s">
        <v>77</v>
      </c>
      <c r="K604" t="s">
        <v>78</v>
      </c>
      <c r="L604" t="s">
        <v>465</v>
      </c>
      <c r="M604" t="s">
        <v>466</v>
      </c>
      <c r="N604" t="s">
        <v>1303</v>
      </c>
      <c r="O604" t="s">
        <v>89</v>
      </c>
      <c r="P604" t="str">
        <f>"4170071897                    "</f>
        <v xml:space="preserve">4170071897                    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19.940000000000001</v>
      </c>
      <c r="AR604">
        <v>0</v>
      </c>
      <c r="AS604">
        <v>0</v>
      </c>
      <c r="AT604">
        <v>0</v>
      </c>
      <c r="AU604">
        <v>0</v>
      </c>
      <c r="AV604">
        <v>0</v>
      </c>
      <c r="AW604">
        <v>0</v>
      </c>
      <c r="AX604">
        <v>0</v>
      </c>
      <c r="AY604">
        <v>0</v>
      </c>
      <c r="AZ604">
        <v>0</v>
      </c>
      <c r="BA604">
        <v>0</v>
      </c>
      <c r="BB604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1</v>
      </c>
      <c r="BI604">
        <v>1.9</v>
      </c>
      <c r="BJ604">
        <v>0.9</v>
      </c>
      <c r="BK604">
        <v>2</v>
      </c>
      <c r="BL604">
        <v>59.42</v>
      </c>
      <c r="BM604">
        <v>8.91</v>
      </c>
      <c r="BN604">
        <v>68.33</v>
      </c>
      <c r="BO604">
        <v>68.33</v>
      </c>
      <c r="BQ604" t="s">
        <v>1304</v>
      </c>
      <c r="BR604" t="s">
        <v>82</v>
      </c>
      <c r="BS604" s="3">
        <v>45996</v>
      </c>
      <c r="BT604" s="4">
        <v>0.3972222222222222</v>
      </c>
      <c r="BU604" t="s">
        <v>1305</v>
      </c>
      <c r="BV604" t="s">
        <v>84</v>
      </c>
      <c r="BY604">
        <v>4686.84</v>
      </c>
      <c r="CA604" t="s">
        <v>497</v>
      </c>
      <c r="CC604" t="s">
        <v>466</v>
      </c>
      <c r="CD604">
        <v>1406</v>
      </c>
      <c r="CE604" t="s">
        <v>86</v>
      </c>
      <c r="CF604" s="3">
        <v>45997</v>
      </c>
      <c r="CI604">
        <v>1</v>
      </c>
      <c r="CJ604">
        <v>1</v>
      </c>
      <c r="CK604">
        <v>22</v>
      </c>
      <c r="CL604" t="s">
        <v>87</v>
      </c>
    </row>
    <row r="605" spans="1:90" x14ac:dyDescent="0.3">
      <c r="A605" t="s">
        <v>72</v>
      </c>
      <c r="B605" t="s">
        <v>73</v>
      </c>
      <c r="C605" t="s">
        <v>74</v>
      </c>
      <c r="E605" t="str">
        <f>"080069676348"</f>
        <v>080069676348</v>
      </c>
      <c r="F605" s="3">
        <v>45995</v>
      </c>
      <c r="G605">
        <v>202609</v>
      </c>
      <c r="H605" t="s">
        <v>75</v>
      </c>
      <c r="I605" t="s">
        <v>76</v>
      </c>
      <c r="J605" t="s">
        <v>77</v>
      </c>
      <c r="K605" t="s">
        <v>78</v>
      </c>
      <c r="L605" t="s">
        <v>389</v>
      </c>
      <c r="M605" t="s">
        <v>390</v>
      </c>
      <c r="N605" t="s">
        <v>1071</v>
      </c>
      <c r="O605" t="s">
        <v>89</v>
      </c>
      <c r="P605" t="str">
        <f>"4170071845                    "</f>
        <v xml:space="preserve">4170071845                    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49.45</v>
      </c>
      <c r="AR605">
        <v>0</v>
      </c>
      <c r="AS605">
        <v>0</v>
      </c>
      <c r="AT605">
        <v>0</v>
      </c>
      <c r="AU605">
        <v>0</v>
      </c>
      <c r="AV605">
        <v>0</v>
      </c>
      <c r="AW605">
        <v>0</v>
      </c>
      <c r="AX605">
        <v>0</v>
      </c>
      <c r="AY605">
        <v>0</v>
      </c>
      <c r="AZ605">
        <v>0</v>
      </c>
      <c r="BA605">
        <v>0</v>
      </c>
      <c r="BB605">
        <v>0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1</v>
      </c>
      <c r="BI605">
        <v>1</v>
      </c>
      <c r="BJ605">
        <v>0.2</v>
      </c>
      <c r="BK605">
        <v>1</v>
      </c>
      <c r="BL605">
        <v>147.38</v>
      </c>
      <c r="BM605">
        <v>22.11</v>
      </c>
      <c r="BN605">
        <v>169.49</v>
      </c>
      <c r="BO605">
        <v>169.49</v>
      </c>
      <c r="BQ605" t="s">
        <v>1072</v>
      </c>
      <c r="BR605" t="s">
        <v>82</v>
      </c>
      <c r="BS605" s="3">
        <v>45996</v>
      </c>
      <c r="BT605" s="4">
        <v>0.42777777777777776</v>
      </c>
      <c r="BU605" t="s">
        <v>1306</v>
      </c>
      <c r="BV605" t="s">
        <v>84</v>
      </c>
      <c r="BY605">
        <v>1200</v>
      </c>
      <c r="CA605">
        <v>7601035402088</v>
      </c>
      <c r="CC605" t="s">
        <v>390</v>
      </c>
      <c r="CD605" s="5" t="s">
        <v>395</v>
      </c>
      <c r="CE605" t="s">
        <v>134</v>
      </c>
      <c r="CF605" s="3">
        <v>45997</v>
      </c>
      <c r="CI605">
        <v>1</v>
      </c>
      <c r="CJ605">
        <v>1</v>
      </c>
      <c r="CK605">
        <v>23</v>
      </c>
      <c r="CL605" t="s">
        <v>87</v>
      </c>
    </row>
    <row r="606" spans="1:90" x14ac:dyDescent="0.3">
      <c r="A606" t="s">
        <v>72</v>
      </c>
      <c r="B606" t="s">
        <v>73</v>
      </c>
      <c r="C606" t="s">
        <v>74</v>
      </c>
      <c r="E606" t="str">
        <f>"080069676382"</f>
        <v>080069676382</v>
      </c>
      <c r="F606" s="3">
        <v>45995</v>
      </c>
      <c r="G606">
        <v>202609</v>
      </c>
      <c r="H606" t="s">
        <v>75</v>
      </c>
      <c r="I606" t="s">
        <v>76</v>
      </c>
      <c r="J606" t="s">
        <v>77</v>
      </c>
      <c r="K606" t="s">
        <v>78</v>
      </c>
      <c r="L606" t="s">
        <v>141</v>
      </c>
      <c r="M606" t="s">
        <v>142</v>
      </c>
      <c r="N606" t="s">
        <v>143</v>
      </c>
      <c r="O606" t="s">
        <v>80</v>
      </c>
      <c r="P606" t="str">
        <f>"4170071822                    "</f>
        <v xml:space="preserve">4170071822                    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84.04</v>
      </c>
      <c r="AR606">
        <v>0</v>
      </c>
      <c r="AS606">
        <v>0</v>
      </c>
      <c r="AT606">
        <v>0</v>
      </c>
      <c r="AU606">
        <v>0</v>
      </c>
      <c r="AV606">
        <v>0</v>
      </c>
      <c r="AW606">
        <v>0</v>
      </c>
      <c r="AX606">
        <v>0</v>
      </c>
      <c r="AY606">
        <v>0</v>
      </c>
      <c r="AZ606">
        <v>0</v>
      </c>
      <c r="BA606">
        <v>0</v>
      </c>
      <c r="BB606">
        <v>0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1</v>
      </c>
      <c r="BI606">
        <v>14.5</v>
      </c>
      <c r="BJ606">
        <v>32</v>
      </c>
      <c r="BK606">
        <v>32</v>
      </c>
      <c r="BL606">
        <v>256.56</v>
      </c>
      <c r="BM606">
        <v>38.479999999999997</v>
      </c>
      <c r="BN606">
        <v>295.04000000000002</v>
      </c>
      <c r="BO606">
        <v>295.04000000000002</v>
      </c>
      <c r="BQ606" t="s">
        <v>144</v>
      </c>
      <c r="BR606" t="s">
        <v>82</v>
      </c>
      <c r="BS606" t="s">
        <v>500</v>
      </c>
      <c r="BY606">
        <v>159970.98000000001</v>
      </c>
      <c r="CC606" t="s">
        <v>142</v>
      </c>
      <c r="CD606">
        <v>6001</v>
      </c>
      <c r="CE606" t="s">
        <v>86</v>
      </c>
      <c r="CI606">
        <v>3</v>
      </c>
      <c r="CJ606" t="s">
        <v>500</v>
      </c>
      <c r="CK606">
        <v>41</v>
      </c>
      <c r="CL606" t="s">
        <v>87</v>
      </c>
    </row>
    <row r="607" spans="1:90" x14ac:dyDescent="0.3">
      <c r="A607" t="s">
        <v>72</v>
      </c>
      <c r="B607" t="s">
        <v>73</v>
      </c>
      <c r="C607" t="s">
        <v>74</v>
      </c>
      <c r="E607" t="str">
        <f>"080069676386"</f>
        <v>080069676386</v>
      </c>
      <c r="F607" s="3">
        <v>45995</v>
      </c>
      <c r="G607">
        <v>202609</v>
      </c>
      <c r="H607" t="s">
        <v>75</v>
      </c>
      <c r="I607" t="s">
        <v>76</v>
      </c>
      <c r="J607" t="s">
        <v>77</v>
      </c>
      <c r="K607" t="s">
        <v>78</v>
      </c>
      <c r="L607" t="s">
        <v>608</v>
      </c>
      <c r="M607" t="s">
        <v>609</v>
      </c>
      <c r="N607" t="s">
        <v>610</v>
      </c>
      <c r="O607" t="s">
        <v>89</v>
      </c>
      <c r="P607" t="str">
        <f>"4170071931                    "</f>
        <v xml:space="preserve">4170071931                    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>
        <v>0</v>
      </c>
      <c r="AJ607">
        <v>0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49.45</v>
      </c>
      <c r="AR607">
        <v>0</v>
      </c>
      <c r="AS607">
        <v>0</v>
      </c>
      <c r="AT607">
        <v>0</v>
      </c>
      <c r="AU607">
        <v>0</v>
      </c>
      <c r="AV607">
        <v>0</v>
      </c>
      <c r="AW607">
        <v>0</v>
      </c>
      <c r="AX607">
        <v>0</v>
      </c>
      <c r="AY607">
        <v>0</v>
      </c>
      <c r="AZ607">
        <v>0</v>
      </c>
      <c r="BA607">
        <v>0</v>
      </c>
      <c r="BB607">
        <v>0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1</v>
      </c>
      <c r="BI607">
        <v>1</v>
      </c>
      <c r="BJ607">
        <v>0.2</v>
      </c>
      <c r="BK607">
        <v>1</v>
      </c>
      <c r="BL607">
        <v>147.38</v>
      </c>
      <c r="BM607">
        <v>22.11</v>
      </c>
      <c r="BN607">
        <v>169.49</v>
      </c>
      <c r="BO607">
        <v>169.49</v>
      </c>
      <c r="BQ607" t="s">
        <v>611</v>
      </c>
      <c r="BR607" t="s">
        <v>82</v>
      </c>
      <c r="BS607" s="3">
        <v>45996</v>
      </c>
      <c r="BT607" s="4">
        <v>0.60138888888888886</v>
      </c>
      <c r="BU607" t="s">
        <v>1219</v>
      </c>
      <c r="BV607" t="s">
        <v>84</v>
      </c>
      <c r="BY607">
        <v>1200</v>
      </c>
      <c r="CA607" t="s">
        <v>1218</v>
      </c>
      <c r="CC607" t="s">
        <v>609</v>
      </c>
      <c r="CD607">
        <v>6850</v>
      </c>
      <c r="CE607" t="s">
        <v>134</v>
      </c>
      <c r="CI607">
        <v>2</v>
      </c>
      <c r="CJ607">
        <v>1</v>
      </c>
      <c r="CK607">
        <v>23</v>
      </c>
      <c r="CL607" t="s">
        <v>87</v>
      </c>
    </row>
    <row r="608" spans="1:90" x14ac:dyDescent="0.3">
      <c r="A608" t="s">
        <v>72</v>
      </c>
      <c r="B608" t="s">
        <v>73</v>
      </c>
      <c r="C608" t="s">
        <v>74</v>
      </c>
      <c r="E608" t="str">
        <f>"080069676445"</f>
        <v>080069676445</v>
      </c>
      <c r="F608" s="3">
        <v>45995</v>
      </c>
      <c r="G608">
        <v>202609</v>
      </c>
      <c r="H608" t="s">
        <v>75</v>
      </c>
      <c r="I608" t="s">
        <v>76</v>
      </c>
      <c r="J608" t="s">
        <v>77</v>
      </c>
      <c r="K608" t="s">
        <v>78</v>
      </c>
      <c r="L608" t="s">
        <v>141</v>
      </c>
      <c r="M608" t="s">
        <v>142</v>
      </c>
      <c r="N608" t="s">
        <v>791</v>
      </c>
      <c r="O608" t="s">
        <v>89</v>
      </c>
      <c r="P608" t="str">
        <f>"4170071797                    "</f>
        <v xml:space="preserve">4170071797                    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25.52</v>
      </c>
      <c r="AR608">
        <v>0</v>
      </c>
      <c r="AS608">
        <v>0</v>
      </c>
      <c r="AT608">
        <v>0</v>
      </c>
      <c r="AU608">
        <v>0</v>
      </c>
      <c r="AV608">
        <v>0</v>
      </c>
      <c r="AW608">
        <v>0</v>
      </c>
      <c r="AX608">
        <v>0</v>
      </c>
      <c r="AY608">
        <v>0</v>
      </c>
      <c r="AZ608">
        <v>0</v>
      </c>
      <c r="BA608">
        <v>0</v>
      </c>
      <c r="BB608">
        <v>0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1</v>
      </c>
      <c r="BI608">
        <v>1</v>
      </c>
      <c r="BJ608">
        <v>1.9</v>
      </c>
      <c r="BK608">
        <v>2</v>
      </c>
      <c r="BL608">
        <v>76.06</v>
      </c>
      <c r="BM608">
        <v>11.41</v>
      </c>
      <c r="BN608">
        <v>87.47</v>
      </c>
      <c r="BO608">
        <v>87.47</v>
      </c>
      <c r="BQ608" t="s">
        <v>792</v>
      </c>
      <c r="BR608" t="s">
        <v>82</v>
      </c>
      <c r="BS608" s="3">
        <v>45996</v>
      </c>
      <c r="BT608" s="4">
        <v>0.42708333333333331</v>
      </c>
      <c r="BU608" t="s">
        <v>1307</v>
      </c>
      <c r="BV608" t="s">
        <v>84</v>
      </c>
      <c r="BY608">
        <v>9600</v>
      </c>
      <c r="CA608" t="s">
        <v>1203</v>
      </c>
      <c r="CC608" t="s">
        <v>142</v>
      </c>
      <c r="CD608">
        <v>6001</v>
      </c>
      <c r="CE608" t="s">
        <v>86</v>
      </c>
      <c r="CF608" s="3">
        <v>45996</v>
      </c>
      <c r="CI608">
        <v>1</v>
      </c>
      <c r="CJ608">
        <v>1</v>
      </c>
      <c r="CK608">
        <v>21</v>
      </c>
      <c r="CL608" t="s">
        <v>87</v>
      </c>
    </row>
    <row r="609" spans="1:90" x14ac:dyDescent="0.3">
      <c r="A609" t="s">
        <v>72</v>
      </c>
      <c r="B609" t="s">
        <v>73</v>
      </c>
      <c r="C609" t="s">
        <v>74</v>
      </c>
      <c r="E609" t="str">
        <f>"080069676446"</f>
        <v>080069676446</v>
      </c>
      <c r="F609" s="3">
        <v>45995</v>
      </c>
      <c r="G609">
        <v>202609</v>
      </c>
      <c r="H609" t="s">
        <v>75</v>
      </c>
      <c r="I609" t="s">
        <v>76</v>
      </c>
      <c r="J609" t="s">
        <v>77</v>
      </c>
      <c r="K609" t="s">
        <v>78</v>
      </c>
      <c r="L609" t="s">
        <v>241</v>
      </c>
      <c r="M609" t="s">
        <v>242</v>
      </c>
      <c r="N609" t="s">
        <v>243</v>
      </c>
      <c r="O609" t="s">
        <v>89</v>
      </c>
      <c r="P609" t="str">
        <f>"4170071933                    "</f>
        <v xml:space="preserve">4170071933                    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25.52</v>
      </c>
      <c r="AR609">
        <v>0</v>
      </c>
      <c r="AS609">
        <v>0</v>
      </c>
      <c r="AT609">
        <v>0</v>
      </c>
      <c r="AU609">
        <v>0</v>
      </c>
      <c r="AV609">
        <v>0</v>
      </c>
      <c r="AW609">
        <v>0</v>
      </c>
      <c r="AX609">
        <v>0</v>
      </c>
      <c r="AY609">
        <v>0</v>
      </c>
      <c r="AZ609">
        <v>0</v>
      </c>
      <c r="BA609">
        <v>0</v>
      </c>
      <c r="BB609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1</v>
      </c>
      <c r="BI609">
        <v>1</v>
      </c>
      <c r="BJ609">
        <v>0.2</v>
      </c>
      <c r="BK609">
        <v>1</v>
      </c>
      <c r="BL609">
        <v>76.06</v>
      </c>
      <c r="BM609">
        <v>11.41</v>
      </c>
      <c r="BN609">
        <v>87.47</v>
      </c>
      <c r="BO609">
        <v>87.47</v>
      </c>
      <c r="BQ609" t="s">
        <v>244</v>
      </c>
      <c r="BR609" t="s">
        <v>82</v>
      </c>
      <c r="BS609" s="3">
        <v>45996</v>
      </c>
      <c r="BT609" s="4">
        <v>0.41666666666666669</v>
      </c>
      <c r="BU609" t="s">
        <v>1274</v>
      </c>
      <c r="BV609" t="s">
        <v>84</v>
      </c>
      <c r="BY609">
        <v>1200</v>
      </c>
      <c r="CA609" t="s">
        <v>1200</v>
      </c>
      <c r="CC609" t="s">
        <v>242</v>
      </c>
      <c r="CD609">
        <v>4300</v>
      </c>
      <c r="CE609" t="s">
        <v>134</v>
      </c>
      <c r="CF609" s="3">
        <v>45997</v>
      </c>
      <c r="CI609">
        <v>1</v>
      </c>
      <c r="CJ609">
        <v>1</v>
      </c>
      <c r="CK609">
        <v>21</v>
      </c>
      <c r="CL609" t="s">
        <v>87</v>
      </c>
    </row>
    <row r="610" spans="1:90" x14ac:dyDescent="0.3">
      <c r="A610" t="s">
        <v>72</v>
      </c>
      <c r="B610" t="s">
        <v>73</v>
      </c>
      <c r="C610" t="s">
        <v>74</v>
      </c>
      <c r="E610" t="str">
        <f>"080069676495"</f>
        <v>080069676495</v>
      </c>
      <c r="F610" s="3">
        <v>45995</v>
      </c>
      <c r="G610">
        <v>202609</v>
      </c>
      <c r="H610" t="s">
        <v>75</v>
      </c>
      <c r="I610" t="s">
        <v>76</v>
      </c>
      <c r="J610" t="s">
        <v>77</v>
      </c>
      <c r="K610" t="s">
        <v>78</v>
      </c>
      <c r="L610" t="s">
        <v>1308</v>
      </c>
      <c r="M610" t="s">
        <v>1309</v>
      </c>
      <c r="N610" t="s">
        <v>1310</v>
      </c>
      <c r="O610" t="s">
        <v>80</v>
      </c>
      <c r="P610" t="str">
        <f>"4170071808                    "</f>
        <v xml:space="preserve">4170071808                    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147.83000000000001</v>
      </c>
      <c r="AR610">
        <v>0</v>
      </c>
      <c r="AS610">
        <v>0</v>
      </c>
      <c r="AT610">
        <v>0</v>
      </c>
      <c r="AU610">
        <v>0</v>
      </c>
      <c r="AV610">
        <v>0</v>
      </c>
      <c r="AW610">
        <v>0</v>
      </c>
      <c r="AX610">
        <v>0</v>
      </c>
      <c r="AY610">
        <v>0</v>
      </c>
      <c r="AZ610">
        <v>0</v>
      </c>
      <c r="BA610">
        <v>0</v>
      </c>
      <c r="BB610">
        <v>0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1</v>
      </c>
      <c r="BI610">
        <v>18.600000000000001</v>
      </c>
      <c r="BJ610">
        <v>36.1</v>
      </c>
      <c r="BK610">
        <v>37</v>
      </c>
      <c r="BL610">
        <v>446.66</v>
      </c>
      <c r="BM610">
        <v>67</v>
      </c>
      <c r="BN610">
        <v>513.66</v>
      </c>
      <c r="BO610">
        <v>513.66</v>
      </c>
      <c r="BQ610" t="s">
        <v>1311</v>
      </c>
      <c r="BR610" t="s">
        <v>82</v>
      </c>
      <c r="BS610" s="3">
        <v>45996</v>
      </c>
      <c r="BT610" s="4">
        <v>0.5229166666666667</v>
      </c>
      <c r="BU610" t="s">
        <v>1312</v>
      </c>
      <c r="BV610" t="s">
        <v>84</v>
      </c>
      <c r="BY610">
        <v>180384.45</v>
      </c>
      <c r="CA610" t="s">
        <v>1313</v>
      </c>
      <c r="CC610" t="s">
        <v>1309</v>
      </c>
      <c r="CD610">
        <v>1389</v>
      </c>
      <c r="CE610" t="s">
        <v>86</v>
      </c>
      <c r="CI610">
        <v>1</v>
      </c>
      <c r="CJ610">
        <v>1</v>
      </c>
      <c r="CK610">
        <v>43</v>
      </c>
      <c r="CL610" t="s">
        <v>87</v>
      </c>
    </row>
    <row r="611" spans="1:90" x14ac:dyDescent="0.3">
      <c r="A611" t="s">
        <v>72</v>
      </c>
      <c r="B611" t="s">
        <v>73</v>
      </c>
      <c r="C611" t="s">
        <v>74</v>
      </c>
      <c r="E611" t="str">
        <f>"080069676905"</f>
        <v>080069676905</v>
      </c>
      <c r="F611" s="3">
        <v>45995</v>
      </c>
      <c r="G611">
        <v>202609</v>
      </c>
      <c r="H611" t="s">
        <v>75</v>
      </c>
      <c r="I611" t="s">
        <v>76</v>
      </c>
      <c r="J611" t="s">
        <v>77</v>
      </c>
      <c r="K611" t="s">
        <v>78</v>
      </c>
      <c r="L611" t="s">
        <v>156</v>
      </c>
      <c r="M611" t="s">
        <v>157</v>
      </c>
      <c r="N611" t="s">
        <v>1314</v>
      </c>
      <c r="O611" t="s">
        <v>89</v>
      </c>
      <c r="P611" t="str">
        <f>"4170071883                    "</f>
        <v xml:space="preserve">4170071883                    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25.52</v>
      </c>
      <c r="AR611">
        <v>0</v>
      </c>
      <c r="AS611">
        <v>0</v>
      </c>
      <c r="AT611">
        <v>0</v>
      </c>
      <c r="AU611">
        <v>0</v>
      </c>
      <c r="AV611">
        <v>0</v>
      </c>
      <c r="AW611">
        <v>0</v>
      </c>
      <c r="AX611">
        <v>0</v>
      </c>
      <c r="AY611">
        <v>0</v>
      </c>
      <c r="AZ611">
        <v>0</v>
      </c>
      <c r="BA611">
        <v>0</v>
      </c>
      <c r="BB611">
        <v>0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1</v>
      </c>
      <c r="BI611">
        <v>2</v>
      </c>
      <c r="BJ611">
        <v>1.1000000000000001</v>
      </c>
      <c r="BK611">
        <v>2</v>
      </c>
      <c r="BL611">
        <v>76.06</v>
      </c>
      <c r="BM611">
        <v>11.41</v>
      </c>
      <c r="BN611">
        <v>87.47</v>
      </c>
      <c r="BO611">
        <v>87.47</v>
      </c>
      <c r="BQ611" t="s">
        <v>1315</v>
      </c>
      <c r="BR611" t="s">
        <v>82</v>
      </c>
      <c r="BS611" s="3">
        <v>45996</v>
      </c>
      <c r="BT611" s="4">
        <v>0.41319444444444442</v>
      </c>
      <c r="BU611" t="s">
        <v>1316</v>
      </c>
      <c r="BV611" t="s">
        <v>84</v>
      </c>
      <c r="BY611">
        <v>5510</v>
      </c>
      <c r="CA611" t="s">
        <v>264</v>
      </c>
      <c r="CC611" t="s">
        <v>157</v>
      </c>
      <c r="CD611">
        <v>7405</v>
      </c>
      <c r="CE611" t="s">
        <v>86</v>
      </c>
      <c r="CF611" s="3">
        <v>45999</v>
      </c>
      <c r="CI611">
        <v>1</v>
      </c>
      <c r="CJ611">
        <v>1</v>
      </c>
      <c r="CK611">
        <v>21</v>
      </c>
      <c r="CL611" t="s">
        <v>87</v>
      </c>
    </row>
    <row r="612" spans="1:90" x14ac:dyDescent="0.3">
      <c r="A612" t="s">
        <v>72</v>
      </c>
      <c r="B612" t="s">
        <v>73</v>
      </c>
      <c r="C612" t="s">
        <v>74</v>
      </c>
      <c r="E612" t="str">
        <f>"080069676947"</f>
        <v>080069676947</v>
      </c>
      <c r="F612" s="3">
        <v>45995</v>
      </c>
      <c r="G612">
        <v>202609</v>
      </c>
      <c r="H612" t="s">
        <v>75</v>
      </c>
      <c r="I612" t="s">
        <v>76</v>
      </c>
      <c r="J612" t="s">
        <v>77</v>
      </c>
      <c r="K612" t="s">
        <v>78</v>
      </c>
      <c r="L612" t="s">
        <v>156</v>
      </c>
      <c r="M612" t="s">
        <v>157</v>
      </c>
      <c r="N612" t="s">
        <v>261</v>
      </c>
      <c r="O612" t="s">
        <v>89</v>
      </c>
      <c r="P612" t="str">
        <f>"4170071839                    "</f>
        <v xml:space="preserve">4170071839                    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25.52</v>
      </c>
      <c r="AR612">
        <v>0</v>
      </c>
      <c r="AS612">
        <v>0</v>
      </c>
      <c r="AT612">
        <v>0</v>
      </c>
      <c r="AU612">
        <v>0</v>
      </c>
      <c r="AV612">
        <v>0</v>
      </c>
      <c r="AW612">
        <v>0</v>
      </c>
      <c r="AX612">
        <v>0</v>
      </c>
      <c r="AY612">
        <v>0</v>
      </c>
      <c r="AZ612">
        <v>0</v>
      </c>
      <c r="BA612">
        <v>0</v>
      </c>
      <c r="BB612">
        <v>0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1</v>
      </c>
      <c r="BI612">
        <v>2</v>
      </c>
      <c r="BJ612">
        <v>1.8</v>
      </c>
      <c r="BK612">
        <v>2</v>
      </c>
      <c r="BL612">
        <v>76.06</v>
      </c>
      <c r="BM612">
        <v>11.41</v>
      </c>
      <c r="BN612">
        <v>87.47</v>
      </c>
      <c r="BO612">
        <v>87.47</v>
      </c>
      <c r="BQ612" t="s">
        <v>262</v>
      </c>
      <c r="BR612" t="s">
        <v>82</v>
      </c>
      <c r="BS612" s="3">
        <v>45996</v>
      </c>
      <c r="BT612" s="4">
        <v>0.39861111111111114</v>
      </c>
      <c r="BU612" t="s">
        <v>263</v>
      </c>
      <c r="BV612" t="s">
        <v>84</v>
      </c>
      <c r="BY612">
        <v>8816</v>
      </c>
      <c r="CA612" t="s">
        <v>264</v>
      </c>
      <c r="CC612" t="s">
        <v>157</v>
      </c>
      <c r="CD612">
        <v>7441</v>
      </c>
      <c r="CE612" t="s">
        <v>86</v>
      </c>
      <c r="CF612" s="3">
        <v>45999</v>
      </c>
      <c r="CI612">
        <v>1</v>
      </c>
      <c r="CJ612">
        <v>1</v>
      </c>
      <c r="CK612">
        <v>21</v>
      </c>
      <c r="CL612" t="s">
        <v>87</v>
      </c>
    </row>
    <row r="613" spans="1:90" x14ac:dyDescent="0.3">
      <c r="A613" t="s">
        <v>72</v>
      </c>
      <c r="B613" t="s">
        <v>73</v>
      </c>
      <c r="C613" t="s">
        <v>74</v>
      </c>
      <c r="E613" t="str">
        <f>"080069676979"</f>
        <v>080069676979</v>
      </c>
      <c r="F613" s="3">
        <v>45995</v>
      </c>
      <c r="G613">
        <v>202609</v>
      </c>
      <c r="H613" t="s">
        <v>75</v>
      </c>
      <c r="I613" t="s">
        <v>76</v>
      </c>
      <c r="J613" t="s">
        <v>77</v>
      </c>
      <c r="K613" t="s">
        <v>78</v>
      </c>
      <c r="L613" t="s">
        <v>389</v>
      </c>
      <c r="M613" t="s">
        <v>390</v>
      </c>
      <c r="N613" t="s">
        <v>1071</v>
      </c>
      <c r="O613" t="s">
        <v>89</v>
      </c>
      <c r="P613" t="str">
        <f>"4170071715                    "</f>
        <v xml:space="preserve">4170071715                    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  <c r="AI613">
        <v>0</v>
      </c>
      <c r="AJ613">
        <v>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94.12</v>
      </c>
      <c r="AR613">
        <v>0</v>
      </c>
      <c r="AS613">
        <v>0</v>
      </c>
      <c r="AT613">
        <v>0</v>
      </c>
      <c r="AU613">
        <v>0</v>
      </c>
      <c r="AV613">
        <v>0</v>
      </c>
      <c r="AW613">
        <v>0</v>
      </c>
      <c r="AX613">
        <v>0</v>
      </c>
      <c r="AY613">
        <v>0</v>
      </c>
      <c r="AZ613">
        <v>0</v>
      </c>
      <c r="BA613">
        <v>0</v>
      </c>
      <c r="BB613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1</v>
      </c>
      <c r="BI613">
        <v>4</v>
      </c>
      <c r="BJ613">
        <v>1.1000000000000001</v>
      </c>
      <c r="BK613">
        <v>4</v>
      </c>
      <c r="BL613">
        <v>280.49</v>
      </c>
      <c r="BM613">
        <v>42.07</v>
      </c>
      <c r="BN613">
        <v>322.56</v>
      </c>
      <c r="BO613">
        <v>322.56</v>
      </c>
      <c r="BQ613" t="s">
        <v>1072</v>
      </c>
      <c r="BR613" t="s">
        <v>82</v>
      </c>
      <c r="BS613" s="3">
        <v>45996</v>
      </c>
      <c r="BT613" s="4">
        <v>0.42569444444444443</v>
      </c>
      <c r="BU613" t="s">
        <v>1306</v>
      </c>
      <c r="BV613" t="s">
        <v>84</v>
      </c>
      <c r="BY613">
        <v>5510</v>
      </c>
      <c r="CA613">
        <v>7601035402088</v>
      </c>
      <c r="CC613" t="s">
        <v>390</v>
      </c>
      <c r="CD613" s="5" t="s">
        <v>395</v>
      </c>
      <c r="CE613" t="s">
        <v>86</v>
      </c>
      <c r="CF613" s="3">
        <v>45997</v>
      </c>
      <c r="CI613">
        <v>1</v>
      </c>
      <c r="CJ613">
        <v>1</v>
      </c>
      <c r="CK613">
        <v>23</v>
      </c>
      <c r="CL613" t="s">
        <v>87</v>
      </c>
    </row>
    <row r="614" spans="1:90" x14ac:dyDescent="0.3">
      <c r="A614" t="s">
        <v>72</v>
      </c>
      <c r="B614" t="s">
        <v>73</v>
      </c>
      <c r="C614" t="s">
        <v>74</v>
      </c>
      <c r="E614" t="str">
        <f>"080069677028"</f>
        <v>080069677028</v>
      </c>
      <c r="F614" s="3">
        <v>45995</v>
      </c>
      <c r="G614">
        <v>202609</v>
      </c>
      <c r="H614" t="s">
        <v>75</v>
      </c>
      <c r="I614" t="s">
        <v>76</v>
      </c>
      <c r="J614" t="s">
        <v>77</v>
      </c>
      <c r="K614" t="s">
        <v>78</v>
      </c>
      <c r="L614" t="s">
        <v>897</v>
      </c>
      <c r="M614" t="s">
        <v>898</v>
      </c>
      <c r="N614" t="s">
        <v>1317</v>
      </c>
      <c r="O614" t="s">
        <v>89</v>
      </c>
      <c r="P614" t="str">
        <f>"4170071841                    "</f>
        <v xml:space="preserve">4170071841                    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49.45</v>
      </c>
      <c r="AR614">
        <v>0</v>
      </c>
      <c r="AS614">
        <v>0</v>
      </c>
      <c r="AT614">
        <v>0</v>
      </c>
      <c r="AU614">
        <v>0</v>
      </c>
      <c r="AV614">
        <v>0</v>
      </c>
      <c r="AW614">
        <v>0</v>
      </c>
      <c r="AX614">
        <v>0</v>
      </c>
      <c r="AY614">
        <v>0</v>
      </c>
      <c r="AZ614">
        <v>0</v>
      </c>
      <c r="BA614">
        <v>0</v>
      </c>
      <c r="BB614">
        <v>0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1</v>
      </c>
      <c r="BI614">
        <v>1</v>
      </c>
      <c r="BJ614">
        <v>0.2</v>
      </c>
      <c r="BK614">
        <v>1</v>
      </c>
      <c r="BL614">
        <v>147.38</v>
      </c>
      <c r="BM614">
        <v>22.11</v>
      </c>
      <c r="BN614">
        <v>169.49</v>
      </c>
      <c r="BO614">
        <v>169.49</v>
      </c>
      <c r="BQ614" t="s">
        <v>1318</v>
      </c>
      <c r="BR614" t="s">
        <v>82</v>
      </c>
      <c r="BS614" t="s">
        <v>500</v>
      </c>
      <c r="BY614">
        <v>1200</v>
      </c>
      <c r="CC614" t="s">
        <v>898</v>
      </c>
      <c r="CD614">
        <v>3370</v>
      </c>
      <c r="CE614" t="s">
        <v>134</v>
      </c>
      <c r="CI614">
        <v>2</v>
      </c>
      <c r="CJ614" t="s">
        <v>500</v>
      </c>
      <c r="CK614">
        <v>23</v>
      </c>
      <c r="CL614" t="s">
        <v>87</v>
      </c>
    </row>
    <row r="615" spans="1:90" x14ac:dyDescent="0.3">
      <c r="A615" t="s">
        <v>72</v>
      </c>
      <c r="B615" t="s">
        <v>73</v>
      </c>
      <c r="C615" t="s">
        <v>74</v>
      </c>
      <c r="E615" t="str">
        <f>"080069677086"</f>
        <v>080069677086</v>
      </c>
      <c r="F615" s="3">
        <v>45995</v>
      </c>
      <c r="G615">
        <v>202609</v>
      </c>
      <c r="H615" t="s">
        <v>75</v>
      </c>
      <c r="I615" t="s">
        <v>76</v>
      </c>
      <c r="J615" t="s">
        <v>77</v>
      </c>
      <c r="K615" t="s">
        <v>78</v>
      </c>
      <c r="L615" t="s">
        <v>94</v>
      </c>
      <c r="M615" t="s">
        <v>95</v>
      </c>
      <c r="N615" t="s">
        <v>1319</v>
      </c>
      <c r="O615" t="s">
        <v>89</v>
      </c>
      <c r="P615" t="str">
        <f>"4170071848                    "</f>
        <v xml:space="preserve">4170071848                    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  <c r="AG615">
        <v>0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25.52</v>
      </c>
      <c r="AR615">
        <v>0</v>
      </c>
      <c r="AS615">
        <v>0</v>
      </c>
      <c r="AT615">
        <v>0</v>
      </c>
      <c r="AU615">
        <v>0</v>
      </c>
      <c r="AV615">
        <v>0</v>
      </c>
      <c r="AW615">
        <v>0</v>
      </c>
      <c r="AX615">
        <v>0</v>
      </c>
      <c r="AY615">
        <v>0</v>
      </c>
      <c r="AZ615">
        <v>0</v>
      </c>
      <c r="BA615">
        <v>0</v>
      </c>
      <c r="BB615">
        <v>0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1</v>
      </c>
      <c r="BI615">
        <v>1</v>
      </c>
      <c r="BJ615">
        <v>0.2</v>
      </c>
      <c r="BK615">
        <v>1</v>
      </c>
      <c r="BL615">
        <v>76.06</v>
      </c>
      <c r="BM615">
        <v>11.41</v>
      </c>
      <c r="BN615">
        <v>87.47</v>
      </c>
      <c r="BO615">
        <v>87.47</v>
      </c>
      <c r="BQ615" t="s">
        <v>1320</v>
      </c>
      <c r="BR615" t="s">
        <v>82</v>
      </c>
      <c r="BS615" s="3">
        <v>45996</v>
      </c>
      <c r="BT615" s="4">
        <v>0.41041666666666665</v>
      </c>
      <c r="BU615" t="s">
        <v>1321</v>
      </c>
      <c r="BV615" t="s">
        <v>84</v>
      </c>
      <c r="BY615">
        <v>1200</v>
      </c>
      <c r="CA615" t="s">
        <v>912</v>
      </c>
      <c r="CC615" t="s">
        <v>95</v>
      </c>
      <c r="CD615">
        <v>3610</v>
      </c>
      <c r="CE615" t="s">
        <v>134</v>
      </c>
      <c r="CF615" s="3">
        <v>45996</v>
      </c>
      <c r="CI615">
        <v>1</v>
      </c>
      <c r="CJ615">
        <v>1</v>
      </c>
      <c r="CK615">
        <v>21</v>
      </c>
      <c r="CL615" t="s">
        <v>87</v>
      </c>
    </row>
    <row r="616" spans="1:90" x14ac:dyDescent="0.3">
      <c r="A616" t="s">
        <v>72</v>
      </c>
      <c r="B616" t="s">
        <v>73</v>
      </c>
      <c r="C616" t="s">
        <v>74</v>
      </c>
      <c r="E616" t="str">
        <f>"080069677113"</f>
        <v>080069677113</v>
      </c>
      <c r="F616" s="3">
        <v>45995</v>
      </c>
      <c r="G616">
        <v>202609</v>
      </c>
      <c r="H616" t="s">
        <v>75</v>
      </c>
      <c r="I616" t="s">
        <v>76</v>
      </c>
      <c r="J616" t="s">
        <v>77</v>
      </c>
      <c r="K616" t="s">
        <v>78</v>
      </c>
      <c r="L616" t="s">
        <v>100</v>
      </c>
      <c r="M616" t="s">
        <v>101</v>
      </c>
      <c r="N616" t="s">
        <v>166</v>
      </c>
      <c r="O616" t="s">
        <v>89</v>
      </c>
      <c r="P616" t="str">
        <f>"4170071860                    "</f>
        <v xml:space="preserve">4170071860                    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25.52</v>
      </c>
      <c r="AR616">
        <v>0</v>
      </c>
      <c r="AS616">
        <v>0</v>
      </c>
      <c r="AT616">
        <v>0</v>
      </c>
      <c r="AU616">
        <v>0</v>
      </c>
      <c r="AV616">
        <v>0</v>
      </c>
      <c r="AW616">
        <v>0</v>
      </c>
      <c r="AX616">
        <v>0</v>
      </c>
      <c r="AY616">
        <v>0</v>
      </c>
      <c r="AZ616">
        <v>0</v>
      </c>
      <c r="BA616">
        <v>0</v>
      </c>
      <c r="BB616">
        <v>0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1</v>
      </c>
      <c r="BI616">
        <v>1</v>
      </c>
      <c r="BJ616">
        <v>0.2</v>
      </c>
      <c r="BK616">
        <v>1</v>
      </c>
      <c r="BL616">
        <v>76.06</v>
      </c>
      <c r="BM616">
        <v>11.41</v>
      </c>
      <c r="BN616">
        <v>87.47</v>
      </c>
      <c r="BO616">
        <v>87.47</v>
      </c>
      <c r="BQ616" t="s">
        <v>167</v>
      </c>
      <c r="BR616" t="s">
        <v>82</v>
      </c>
      <c r="BS616" s="3">
        <v>45996</v>
      </c>
      <c r="BT616" s="4">
        <v>0.41666666666666669</v>
      </c>
      <c r="BU616" t="s">
        <v>1322</v>
      </c>
      <c r="BV616" t="s">
        <v>84</v>
      </c>
      <c r="BY616">
        <v>1200</v>
      </c>
      <c r="CA616" t="s">
        <v>912</v>
      </c>
      <c r="CC616" t="s">
        <v>101</v>
      </c>
      <c r="CD616">
        <v>4000</v>
      </c>
      <c r="CE616" t="s">
        <v>134</v>
      </c>
      <c r="CF616" s="3">
        <v>45996</v>
      </c>
      <c r="CI616">
        <v>1</v>
      </c>
      <c r="CJ616">
        <v>1</v>
      </c>
      <c r="CK616">
        <v>21</v>
      </c>
      <c r="CL616" t="s">
        <v>87</v>
      </c>
    </row>
    <row r="617" spans="1:90" x14ac:dyDescent="0.3">
      <c r="A617" t="s">
        <v>72</v>
      </c>
      <c r="B617" t="s">
        <v>73</v>
      </c>
      <c r="C617" t="s">
        <v>74</v>
      </c>
      <c r="E617" t="str">
        <f>"080069677155"</f>
        <v>080069677155</v>
      </c>
      <c r="F617" s="3">
        <v>45995</v>
      </c>
      <c r="G617">
        <v>202609</v>
      </c>
      <c r="H617" t="s">
        <v>75</v>
      </c>
      <c r="I617" t="s">
        <v>76</v>
      </c>
      <c r="J617" t="s">
        <v>77</v>
      </c>
      <c r="K617" t="s">
        <v>78</v>
      </c>
      <c r="L617" t="s">
        <v>100</v>
      </c>
      <c r="M617" t="s">
        <v>101</v>
      </c>
      <c r="N617" t="s">
        <v>102</v>
      </c>
      <c r="O617" t="s">
        <v>89</v>
      </c>
      <c r="P617" t="str">
        <f>"4170071857                    "</f>
        <v xml:space="preserve">4170071857                    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  <c r="AG617">
        <v>0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25.52</v>
      </c>
      <c r="AR617">
        <v>0</v>
      </c>
      <c r="AS617">
        <v>0</v>
      </c>
      <c r="AT617">
        <v>0</v>
      </c>
      <c r="AU617">
        <v>0</v>
      </c>
      <c r="AV617">
        <v>0</v>
      </c>
      <c r="AW617">
        <v>0</v>
      </c>
      <c r="AX617">
        <v>0</v>
      </c>
      <c r="AY617">
        <v>0</v>
      </c>
      <c r="AZ617">
        <v>0</v>
      </c>
      <c r="BA617">
        <v>0</v>
      </c>
      <c r="BB617">
        <v>0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1</v>
      </c>
      <c r="BI617">
        <v>1</v>
      </c>
      <c r="BJ617">
        <v>0.2</v>
      </c>
      <c r="BK617">
        <v>1</v>
      </c>
      <c r="BL617">
        <v>76.06</v>
      </c>
      <c r="BM617">
        <v>11.41</v>
      </c>
      <c r="BN617">
        <v>87.47</v>
      </c>
      <c r="BO617">
        <v>87.47</v>
      </c>
      <c r="BQ617" t="s">
        <v>103</v>
      </c>
      <c r="BR617" t="s">
        <v>82</v>
      </c>
      <c r="BS617" s="3">
        <v>45996</v>
      </c>
      <c r="BT617" s="4">
        <v>0.35069444444444442</v>
      </c>
      <c r="BU617" t="s">
        <v>1186</v>
      </c>
      <c r="BV617" t="s">
        <v>84</v>
      </c>
      <c r="BY617">
        <v>1200</v>
      </c>
      <c r="CA617" t="s">
        <v>107</v>
      </c>
      <c r="CC617" t="s">
        <v>101</v>
      </c>
      <c r="CD617">
        <v>4000</v>
      </c>
      <c r="CE617" t="s">
        <v>134</v>
      </c>
      <c r="CF617" s="3">
        <v>45996</v>
      </c>
      <c r="CI617">
        <v>1</v>
      </c>
      <c r="CJ617">
        <v>1</v>
      </c>
      <c r="CK617">
        <v>21</v>
      </c>
      <c r="CL617" t="s">
        <v>87</v>
      </c>
    </row>
    <row r="618" spans="1:90" x14ac:dyDescent="0.3">
      <c r="A618" t="s">
        <v>72</v>
      </c>
      <c r="B618" t="s">
        <v>73</v>
      </c>
      <c r="C618" t="s">
        <v>74</v>
      </c>
      <c r="E618" t="str">
        <f>"R080069429553"</f>
        <v>R080069429553</v>
      </c>
      <c r="F618" s="3">
        <v>45995</v>
      </c>
      <c r="G618">
        <v>202609</v>
      </c>
      <c r="H618" t="s">
        <v>75</v>
      </c>
      <c r="I618" t="s">
        <v>76</v>
      </c>
      <c r="J618" t="s">
        <v>1323</v>
      </c>
      <c r="K618" t="s">
        <v>78</v>
      </c>
      <c r="L618" t="s">
        <v>533</v>
      </c>
      <c r="M618" t="s">
        <v>533</v>
      </c>
      <c r="N618" t="s">
        <v>1324</v>
      </c>
      <c r="O618" t="s">
        <v>80</v>
      </c>
      <c r="P618" t="str">
        <f>"4170070467                    "</f>
        <v xml:space="preserve">4170070467                    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0</v>
      </c>
      <c r="AJ618">
        <v>0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80.28</v>
      </c>
      <c r="AR618">
        <v>0</v>
      </c>
      <c r="AS618">
        <v>0</v>
      </c>
      <c r="AT618">
        <v>0</v>
      </c>
      <c r="AU618">
        <v>0</v>
      </c>
      <c r="AV618">
        <v>0</v>
      </c>
      <c r="AW618">
        <v>0</v>
      </c>
      <c r="AX618">
        <v>0</v>
      </c>
      <c r="AY618">
        <v>0</v>
      </c>
      <c r="AZ618">
        <v>0</v>
      </c>
      <c r="BA618">
        <v>0</v>
      </c>
      <c r="BB618">
        <v>0</v>
      </c>
      <c r="BC618">
        <v>0</v>
      </c>
      <c r="BD618">
        <v>0</v>
      </c>
      <c r="BE618">
        <v>0</v>
      </c>
      <c r="BF618">
        <v>0</v>
      </c>
      <c r="BG618">
        <v>0</v>
      </c>
      <c r="BH618">
        <v>1</v>
      </c>
      <c r="BI618">
        <v>8</v>
      </c>
      <c r="BJ618">
        <v>17.7</v>
      </c>
      <c r="BK618">
        <v>18</v>
      </c>
      <c r="BL618">
        <v>245.35</v>
      </c>
      <c r="BM618">
        <v>36.799999999999997</v>
      </c>
      <c r="BN618">
        <v>282.14999999999998</v>
      </c>
      <c r="BO618">
        <v>282.14999999999998</v>
      </c>
      <c r="BQ618" t="s">
        <v>1325</v>
      </c>
      <c r="BR618" t="s">
        <v>82</v>
      </c>
      <c r="BS618" t="s">
        <v>500</v>
      </c>
      <c r="BY618">
        <v>88320</v>
      </c>
      <c r="CC618" t="s">
        <v>533</v>
      </c>
      <c r="CD618">
        <v>7646</v>
      </c>
      <c r="CE618" t="s">
        <v>86</v>
      </c>
      <c r="CI618">
        <v>1</v>
      </c>
      <c r="CJ618" t="s">
        <v>500</v>
      </c>
      <c r="CK618">
        <v>43</v>
      </c>
      <c r="CL618" t="s">
        <v>87</v>
      </c>
    </row>
    <row r="619" spans="1:90" x14ac:dyDescent="0.3">
      <c r="A619" t="s">
        <v>72</v>
      </c>
      <c r="B619" t="s">
        <v>73</v>
      </c>
      <c r="C619" t="s">
        <v>74</v>
      </c>
      <c r="E619" t="str">
        <f>"080069677195"</f>
        <v>080069677195</v>
      </c>
      <c r="F619" s="3">
        <v>45995</v>
      </c>
      <c r="G619">
        <v>202609</v>
      </c>
      <c r="H619" t="s">
        <v>75</v>
      </c>
      <c r="I619" t="s">
        <v>76</v>
      </c>
      <c r="J619" t="s">
        <v>77</v>
      </c>
      <c r="K619" t="s">
        <v>78</v>
      </c>
      <c r="L619" t="s">
        <v>208</v>
      </c>
      <c r="M619" t="s">
        <v>209</v>
      </c>
      <c r="N619" t="s">
        <v>1326</v>
      </c>
      <c r="O619" t="s">
        <v>89</v>
      </c>
      <c r="P619" t="str">
        <f>"4170071853                    "</f>
        <v xml:space="preserve">4170071853                    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25.52</v>
      </c>
      <c r="AR619">
        <v>0</v>
      </c>
      <c r="AS619">
        <v>0</v>
      </c>
      <c r="AT619">
        <v>0</v>
      </c>
      <c r="AU619">
        <v>0</v>
      </c>
      <c r="AV619">
        <v>0</v>
      </c>
      <c r="AW619">
        <v>0</v>
      </c>
      <c r="AX619">
        <v>0</v>
      </c>
      <c r="AY619">
        <v>0</v>
      </c>
      <c r="AZ619">
        <v>0</v>
      </c>
      <c r="BA619">
        <v>0</v>
      </c>
      <c r="BB619">
        <v>0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1</v>
      </c>
      <c r="BI619">
        <v>1</v>
      </c>
      <c r="BJ619">
        <v>0.2</v>
      </c>
      <c r="BK619">
        <v>1</v>
      </c>
      <c r="BL619">
        <v>76.06</v>
      </c>
      <c r="BM619">
        <v>11.41</v>
      </c>
      <c r="BN619">
        <v>87.47</v>
      </c>
      <c r="BO619">
        <v>87.47</v>
      </c>
      <c r="BQ619" t="s">
        <v>1327</v>
      </c>
      <c r="BR619" t="s">
        <v>82</v>
      </c>
      <c r="BS619" s="3">
        <v>45996</v>
      </c>
      <c r="BT619" s="4">
        <v>0.36805555555555558</v>
      </c>
      <c r="BU619" t="s">
        <v>1328</v>
      </c>
      <c r="BV619" t="s">
        <v>84</v>
      </c>
      <c r="BY619">
        <v>1200</v>
      </c>
      <c r="CA619">
        <v>7104145194083</v>
      </c>
      <c r="CC619" t="s">
        <v>209</v>
      </c>
      <c r="CD619" s="5" t="s">
        <v>213</v>
      </c>
      <c r="CE619" t="s">
        <v>134</v>
      </c>
      <c r="CF619" s="3">
        <v>45996</v>
      </c>
      <c r="CI619">
        <v>1</v>
      </c>
      <c r="CJ619">
        <v>1</v>
      </c>
      <c r="CK619">
        <v>21</v>
      </c>
      <c r="CL619" t="s">
        <v>87</v>
      </c>
    </row>
    <row r="620" spans="1:90" x14ac:dyDescent="0.3">
      <c r="A620" t="s">
        <v>72</v>
      </c>
      <c r="B620" t="s">
        <v>73</v>
      </c>
      <c r="C620" t="s">
        <v>74</v>
      </c>
      <c r="E620" t="str">
        <f>"080069677217"</f>
        <v>080069677217</v>
      </c>
      <c r="F620" s="3">
        <v>45995</v>
      </c>
      <c r="G620">
        <v>202609</v>
      </c>
      <c r="H620" t="s">
        <v>75</v>
      </c>
      <c r="I620" t="s">
        <v>76</v>
      </c>
      <c r="J620" t="s">
        <v>77</v>
      </c>
      <c r="K620" t="s">
        <v>78</v>
      </c>
      <c r="L620" t="s">
        <v>156</v>
      </c>
      <c r="M620" t="s">
        <v>157</v>
      </c>
      <c r="N620" t="s">
        <v>443</v>
      </c>
      <c r="O620" t="s">
        <v>89</v>
      </c>
      <c r="P620" t="str">
        <f>"4170071872                    "</f>
        <v xml:space="preserve">4170071872                    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25.52</v>
      </c>
      <c r="AR620">
        <v>0</v>
      </c>
      <c r="AS620">
        <v>0</v>
      </c>
      <c r="AT620">
        <v>0</v>
      </c>
      <c r="AU620">
        <v>0</v>
      </c>
      <c r="AV620">
        <v>0</v>
      </c>
      <c r="AW620">
        <v>0</v>
      </c>
      <c r="AX620">
        <v>0</v>
      </c>
      <c r="AY620">
        <v>0</v>
      </c>
      <c r="AZ620">
        <v>0</v>
      </c>
      <c r="BA620">
        <v>0</v>
      </c>
      <c r="BB620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1</v>
      </c>
      <c r="BI620">
        <v>1</v>
      </c>
      <c r="BJ620">
        <v>0.2</v>
      </c>
      <c r="BK620">
        <v>1</v>
      </c>
      <c r="BL620">
        <v>76.06</v>
      </c>
      <c r="BM620">
        <v>11.41</v>
      </c>
      <c r="BN620">
        <v>87.47</v>
      </c>
      <c r="BO620">
        <v>87.47</v>
      </c>
      <c r="BQ620" t="s">
        <v>444</v>
      </c>
      <c r="BR620" t="s">
        <v>82</v>
      </c>
      <c r="BS620" s="3">
        <v>45996</v>
      </c>
      <c r="BT620" s="4">
        <v>0.40277777777777779</v>
      </c>
      <c r="BU620" t="s">
        <v>1169</v>
      </c>
      <c r="BV620" t="s">
        <v>84</v>
      </c>
      <c r="BY620">
        <v>1200</v>
      </c>
      <c r="CA620" t="s">
        <v>346</v>
      </c>
      <c r="CC620" t="s">
        <v>157</v>
      </c>
      <c r="CD620">
        <v>7530</v>
      </c>
      <c r="CE620" t="s">
        <v>134</v>
      </c>
      <c r="CI620">
        <v>1</v>
      </c>
      <c r="CJ620">
        <v>1</v>
      </c>
      <c r="CK620">
        <v>21</v>
      </c>
      <c r="CL620" t="s">
        <v>87</v>
      </c>
    </row>
    <row r="621" spans="1:90" x14ac:dyDescent="0.3">
      <c r="A621" t="s">
        <v>72</v>
      </c>
      <c r="B621" t="s">
        <v>73</v>
      </c>
      <c r="C621" t="s">
        <v>74</v>
      </c>
      <c r="E621" t="str">
        <f>"080069677242"</f>
        <v>080069677242</v>
      </c>
      <c r="F621" s="3">
        <v>45995</v>
      </c>
      <c r="G621">
        <v>202609</v>
      </c>
      <c r="H621" t="s">
        <v>75</v>
      </c>
      <c r="I621" t="s">
        <v>76</v>
      </c>
      <c r="J621" t="s">
        <v>77</v>
      </c>
      <c r="K621" t="s">
        <v>78</v>
      </c>
      <c r="L621" t="s">
        <v>141</v>
      </c>
      <c r="M621" t="s">
        <v>142</v>
      </c>
      <c r="N621" t="s">
        <v>312</v>
      </c>
      <c r="O621" t="s">
        <v>89</v>
      </c>
      <c r="P621" t="str">
        <f>"4170071844                    "</f>
        <v xml:space="preserve">4170071844                    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25.52</v>
      </c>
      <c r="AR621">
        <v>0</v>
      </c>
      <c r="AS621">
        <v>0</v>
      </c>
      <c r="AT621">
        <v>0</v>
      </c>
      <c r="AU621">
        <v>0</v>
      </c>
      <c r="AV621">
        <v>0</v>
      </c>
      <c r="AW621">
        <v>0</v>
      </c>
      <c r="AX621">
        <v>0</v>
      </c>
      <c r="AY621">
        <v>0</v>
      </c>
      <c r="AZ621">
        <v>0</v>
      </c>
      <c r="BA621">
        <v>0</v>
      </c>
      <c r="BB621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1</v>
      </c>
      <c r="BI621">
        <v>1</v>
      </c>
      <c r="BJ621">
        <v>0.2</v>
      </c>
      <c r="BK621">
        <v>1</v>
      </c>
      <c r="BL621">
        <v>76.06</v>
      </c>
      <c r="BM621">
        <v>11.41</v>
      </c>
      <c r="BN621">
        <v>87.47</v>
      </c>
      <c r="BO621">
        <v>87.47</v>
      </c>
      <c r="BQ621" t="s">
        <v>313</v>
      </c>
      <c r="BR621" t="s">
        <v>82</v>
      </c>
      <c r="BS621" s="3">
        <v>45996</v>
      </c>
      <c r="BT621" s="4">
        <v>0.41041666666666665</v>
      </c>
      <c r="BU621" t="s">
        <v>952</v>
      </c>
      <c r="BV621" t="s">
        <v>84</v>
      </c>
      <c r="BY621">
        <v>1200</v>
      </c>
      <c r="CA621" t="s">
        <v>315</v>
      </c>
      <c r="CC621" t="s">
        <v>142</v>
      </c>
      <c r="CD621">
        <v>6001</v>
      </c>
      <c r="CE621" t="s">
        <v>134</v>
      </c>
      <c r="CF621" s="3">
        <v>45996</v>
      </c>
      <c r="CI621">
        <v>1</v>
      </c>
      <c r="CJ621">
        <v>1</v>
      </c>
      <c r="CK621">
        <v>21</v>
      </c>
      <c r="CL621" t="s">
        <v>87</v>
      </c>
    </row>
    <row r="622" spans="1:90" x14ac:dyDescent="0.3">
      <c r="A622" t="s">
        <v>72</v>
      </c>
      <c r="B622" t="s">
        <v>73</v>
      </c>
      <c r="C622" t="s">
        <v>74</v>
      </c>
      <c r="E622" t="str">
        <f>"080069677516"</f>
        <v>080069677516</v>
      </c>
      <c r="F622" s="3">
        <v>45995</v>
      </c>
      <c r="G622">
        <v>202609</v>
      </c>
      <c r="H622" t="s">
        <v>75</v>
      </c>
      <c r="I622" t="s">
        <v>76</v>
      </c>
      <c r="J622" t="s">
        <v>77</v>
      </c>
      <c r="K622" t="s">
        <v>78</v>
      </c>
      <c r="L622" t="s">
        <v>295</v>
      </c>
      <c r="M622" t="s">
        <v>296</v>
      </c>
      <c r="N622" t="s">
        <v>1329</v>
      </c>
      <c r="O622" t="s">
        <v>89</v>
      </c>
      <c r="P622" t="str">
        <f>"4170071850                    "</f>
        <v xml:space="preserve">4170071850                    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  <c r="AG622">
        <v>0</v>
      </c>
      <c r="AH622">
        <v>0</v>
      </c>
      <c r="AI622">
        <v>0</v>
      </c>
      <c r="AJ622">
        <v>0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19.940000000000001</v>
      </c>
      <c r="AR622">
        <v>0</v>
      </c>
      <c r="AS622">
        <v>0</v>
      </c>
      <c r="AT622">
        <v>0</v>
      </c>
      <c r="AU622">
        <v>0</v>
      </c>
      <c r="AV622">
        <v>0</v>
      </c>
      <c r="AW622">
        <v>0</v>
      </c>
      <c r="AX622">
        <v>0</v>
      </c>
      <c r="AY622">
        <v>0</v>
      </c>
      <c r="AZ622">
        <v>0</v>
      </c>
      <c r="BA622">
        <v>0</v>
      </c>
      <c r="BB622">
        <v>0</v>
      </c>
      <c r="BC622">
        <v>0</v>
      </c>
      <c r="BD622">
        <v>0</v>
      </c>
      <c r="BE622">
        <v>0</v>
      </c>
      <c r="BF622">
        <v>0</v>
      </c>
      <c r="BG622">
        <v>0</v>
      </c>
      <c r="BH622">
        <v>1</v>
      </c>
      <c r="BI622">
        <v>1</v>
      </c>
      <c r="BJ622">
        <v>0.2</v>
      </c>
      <c r="BK622">
        <v>1</v>
      </c>
      <c r="BL622">
        <v>59.42</v>
      </c>
      <c r="BM622">
        <v>8.91</v>
      </c>
      <c r="BN622">
        <v>68.33</v>
      </c>
      <c r="BO622">
        <v>68.33</v>
      </c>
      <c r="BQ622" t="s">
        <v>1330</v>
      </c>
      <c r="BR622" t="s">
        <v>82</v>
      </c>
      <c r="BS622" s="3">
        <v>45996</v>
      </c>
      <c r="BT622" s="4">
        <v>0.40625</v>
      </c>
      <c r="BU622" t="s">
        <v>1331</v>
      </c>
      <c r="BV622" t="s">
        <v>84</v>
      </c>
      <c r="BY622">
        <v>1200</v>
      </c>
      <c r="CA622" t="s">
        <v>319</v>
      </c>
      <c r="CC622" t="s">
        <v>296</v>
      </c>
      <c r="CD622">
        <v>1501</v>
      </c>
      <c r="CE622" t="s">
        <v>134</v>
      </c>
      <c r="CF622" s="3">
        <v>45996</v>
      </c>
      <c r="CI622">
        <v>1</v>
      </c>
      <c r="CJ622">
        <v>1</v>
      </c>
      <c r="CK622">
        <v>22</v>
      </c>
      <c r="CL622" t="s">
        <v>87</v>
      </c>
    </row>
    <row r="623" spans="1:90" x14ac:dyDescent="0.3">
      <c r="A623" t="s">
        <v>72</v>
      </c>
      <c r="B623" t="s">
        <v>73</v>
      </c>
      <c r="C623" t="s">
        <v>74</v>
      </c>
      <c r="E623" t="str">
        <f>"080069677529"</f>
        <v>080069677529</v>
      </c>
      <c r="F623" s="3">
        <v>45995</v>
      </c>
      <c r="G623">
        <v>202609</v>
      </c>
      <c r="H623" t="s">
        <v>75</v>
      </c>
      <c r="I623" t="s">
        <v>76</v>
      </c>
      <c r="J623" t="s">
        <v>77</v>
      </c>
      <c r="K623" t="s">
        <v>78</v>
      </c>
      <c r="L623" t="s">
        <v>100</v>
      </c>
      <c r="M623" t="s">
        <v>101</v>
      </c>
      <c r="N623" t="s">
        <v>199</v>
      </c>
      <c r="O623" t="s">
        <v>89</v>
      </c>
      <c r="P623" t="str">
        <f>"4170071879                    "</f>
        <v xml:space="preserve">4170071879                    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70.17</v>
      </c>
      <c r="AR623">
        <v>0</v>
      </c>
      <c r="AS623">
        <v>0</v>
      </c>
      <c r="AT623">
        <v>0</v>
      </c>
      <c r="AU623">
        <v>0</v>
      </c>
      <c r="AV623">
        <v>0</v>
      </c>
      <c r="AW623">
        <v>0</v>
      </c>
      <c r="AX623">
        <v>0</v>
      </c>
      <c r="AY623">
        <v>0</v>
      </c>
      <c r="AZ623">
        <v>0</v>
      </c>
      <c r="BA623">
        <v>0</v>
      </c>
      <c r="BB623">
        <v>0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1</v>
      </c>
      <c r="BI623">
        <v>2</v>
      </c>
      <c r="BJ623">
        <v>5.0999999999999996</v>
      </c>
      <c r="BK623">
        <v>5.5</v>
      </c>
      <c r="BL623">
        <v>209.12</v>
      </c>
      <c r="BM623">
        <v>31.37</v>
      </c>
      <c r="BN623">
        <v>240.49</v>
      </c>
      <c r="BO623">
        <v>240.49</v>
      </c>
      <c r="BQ623" t="s">
        <v>200</v>
      </c>
      <c r="BR623" t="s">
        <v>82</v>
      </c>
      <c r="BS623" s="3">
        <v>45996</v>
      </c>
      <c r="BT623" s="4">
        <v>0.43125000000000002</v>
      </c>
      <c r="BU623" t="s">
        <v>1332</v>
      </c>
      <c r="BV623" t="s">
        <v>84</v>
      </c>
      <c r="BY623">
        <v>25600</v>
      </c>
      <c r="CA623" t="s">
        <v>323</v>
      </c>
      <c r="CC623" t="s">
        <v>101</v>
      </c>
      <c r="CD623">
        <v>4001</v>
      </c>
      <c r="CE623" t="s">
        <v>93</v>
      </c>
      <c r="CF623" s="3">
        <v>45997</v>
      </c>
      <c r="CI623">
        <v>1</v>
      </c>
      <c r="CJ623">
        <v>1</v>
      </c>
      <c r="CK623">
        <v>21</v>
      </c>
      <c r="CL623" t="s">
        <v>87</v>
      </c>
    </row>
    <row r="624" spans="1:90" x14ac:dyDescent="0.3">
      <c r="A624" t="s">
        <v>72</v>
      </c>
      <c r="B624" t="s">
        <v>73</v>
      </c>
      <c r="C624" t="s">
        <v>74</v>
      </c>
      <c r="E624" t="str">
        <f>"080069677569"</f>
        <v>080069677569</v>
      </c>
      <c r="F624" s="3">
        <v>45995</v>
      </c>
      <c r="G624">
        <v>202609</v>
      </c>
      <c r="H624" t="s">
        <v>75</v>
      </c>
      <c r="I624" t="s">
        <v>76</v>
      </c>
      <c r="J624" t="s">
        <v>77</v>
      </c>
      <c r="K624" t="s">
        <v>78</v>
      </c>
      <c r="L624" t="s">
        <v>156</v>
      </c>
      <c r="M624" t="s">
        <v>157</v>
      </c>
      <c r="N624" t="s">
        <v>943</v>
      </c>
      <c r="O624" t="s">
        <v>89</v>
      </c>
      <c r="P624" t="str">
        <f>"4170071880                    "</f>
        <v xml:space="preserve">4170071880                    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>
        <v>0</v>
      </c>
      <c r="AJ624">
        <v>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25.52</v>
      </c>
      <c r="AR624">
        <v>0</v>
      </c>
      <c r="AS624">
        <v>0</v>
      </c>
      <c r="AT624">
        <v>0</v>
      </c>
      <c r="AU624">
        <v>0</v>
      </c>
      <c r="AV624">
        <v>0</v>
      </c>
      <c r="AW624">
        <v>0</v>
      </c>
      <c r="AX624">
        <v>0</v>
      </c>
      <c r="AY624">
        <v>0</v>
      </c>
      <c r="AZ624">
        <v>0</v>
      </c>
      <c r="BA624">
        <v>0</v>
      </c>
      <c r="BB624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1</v>
      </c>
      <c r="BI624">
        <v>1</v>
      </c>
      <c r="BJ624">
        <v>0.2</v>
      </c>
      <c r="BK624">
        <v>1</v>
      </c>
      <c r="BL624">
        <v>76.06</v>
      </c>
      <c r="BM624">
        <v>11.41</v>
      </c>
      <c r="BN624">
        <v>87.47</v>
      </c>
      <c r="BO624">
        <v>87.47</v>
      </c>
      <c r="BQ624" t="s">
        <v>944</v>
      </c>
      <c r="BR624" t="s">
        <v>82</v>
      </c>
      <c r="BS624" s="3">
        <v>45996</v>
      </c>
      <c r="BT624" s="4">
        <v>0.41249999999999998</v>
      </c>
      <c r="BU624" t="s">
        <v>945</v>
      </c>
      <c r="BV624" t="s">
        <v>84</v>
      </c>
      <c r="BY624">
        <v>1200</v>
      </c>
      <c r="CA624" t="s">
        <v>346</v>
      </c>
      <c r="CC624" t="s">
        <v>157</v>
      </c>
      <c r="CD624">
        <v>7530</v>
      </c>
      <c r="CE624" t="s">
        <v>134</v>
      </c>
      <c r="CI624">
        <v>1</v>
      </c>
      <c r="CJ624">
        <v>1</v>
      </c>
      <c r="CK624">
        <v>21</v>
      </c>
      <c r="CL624" t="s">
        <v>87</v>
      </c>
    </row>
    <row r="625" spans="1:90" x14ac:dyDescent="0.3">
      <c r="A625" t="s">
        <v>72</v>
      </c>
      <c r="B625" t="s">
        <v>73</v>
      </c>
      <c r="C625" t="s">
        <v>74</v>
      </c>
      <c r="E625" t="str">
        <f>"080069677596"</f>
        <v>080069677596</v>
      </c>
      <c r="F625" s="3">
        <v>45995</v>
      </c>
      <c r="G625">
        <v>202609</v>
      </c>
      <c r="H625" t="s">
        <v>75</v>
      </c>
      <c r="I625" t="s">
        <v>76</v>
      </c>
      <c r="J625" t="s">
        <v>77</v>
      </c>
      <c r="K625" t="s">
        <v>78</v>
      </c>
      <c r="L625" t="s">
        <v>141</v>
      </c>
      <c r="M625" t="s">
        <v>142</v>
      </c>
      <c r="N625" t="s">
        <v>791</v>
      </c>
      <c r="O625" t="s">
        <v>89</v>
      </c>
      <c r="P625" t="str">
        <f>"4170071985                    "</f>
        <v xml:space="preserve">4170071985                    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25.52</v>
      </c>
      <c r="AR625">
        <v>0</v>
      </c>
      <c r="AS625">
        <v>0</v>
      </c>
      <c r="AT625">
        <v>0</v>
      </c>
      <c r="AU625">
        <v>0</v>
      </c>
      <c r="AV625">
        <v>0</v>
      </c>
      <c r="AW625">
        <v>0</v>
      </c>
      <c r="AX625">
        <v>0</v>
      </c>
      <c r="AY625">
        <v>0</v>
      </c>
      <c r="AZ625">
        <v>0</v>
      </c>
      <c r="BA625">
        <v>0</v>
      </c>
      <c r="BB625">
        <v>0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1</v>
      </c>
      <c r="BI625">
        <v>2</v>
      </c>
      <c r="BJ625">
        <v>1.1000000000000001</v>
      </c>
      <c r="BK625">
        <v>2</v>
      </c>
      <c r="BL625">
        <v>76.06</v>
      </c>
      <c r="BM625">
        <v>11.41</v>
      </c>
      <c r="BN625">
        <v>87.47</v>
      </c>
      <c r="BO625">
        <v>87.47</v>
      </c>
      <c r="BQ625" t="s">
        <v>792</v>
      </c>
      <c r="BR625" t="s">
        <v>82</v>
      </c>
      <c r="BS625" s="3">
        <v>45996</v>
      </c>
      <c r="BT625" s="4">
        <v>0.42708333333333331</v>
      </c>
      <c r="BU625" t="s">
        <v>1307</v>
      </c>
      <c r="BV625" t="s">
        <v>84</v>
      </c>
      <c r="BY625">
        <v>5510</v>
      </c>
      <c r="CA625" t="s">
        <v>1203</v>
      </c>
      <c r="CC625" t="s">
        <v>142</v>
      </c>
      <c r="CD625">
        <v>6001</v>
      </c>
      <c r="CE625" t="s">
        <v>86</v>
      </c>
      <c r="CF625" s="3">
        <v>45996</v>
      </c>
      <c r="CI625">
        <v>1</v>
      </c>
      <c r="CJ625">
        <v>1</v>
      </c>
      <c r="CK625">
        <v>21</v>
      </c>
      <c r="CL625" t="s">
        <v>87</v>
      </c>
    </row>
    <row r="626" spans="1:90" x14ac:dyDescent="0.3">
      <c r="A626" t="s">
        <v>72</v>
      </c>
      <c r="B626" t="s">
        <v>73</v>
      </c>
      <c r="C626" t="s">
        <v>74</v>
      </c>
      <c r="E626" t="str">
        <f>"080069677637"</f>
        <v>080069677637</v>
      </c>
      <c r="F626" s="3">
        <v>45995</v>
      </c>
      <c r="G626">
        <v>202609</v>
      </c>
      <c r="H626" t="s">
        <v>75</v>
      </c>
      <c r="I626" t="s">
        <v>76</v>
      </c>
      <c r="J626" t="s">
        <v>77</v>
      </c>
      <c r="K626" t="s">
        <v>78</v>
      </c>
      <c r="L626" t="s">
        <v>302</v>
      </c>
      <c r="M626" t="s">
        <v>303</v>
      </c>
      <c r="N626" t="s">
        <v>644</v>
      </c>
      <c r="O626" t="s">
        <v>89</v>
      </c>
      <c r="P626" t="str">
        <f>"4170071870                    "</f>
        <v xml:space="preserve">4170071870                    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0</v>
      </c>
      <c r="AJ626">
        <v>0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25.52</v>
      </c>
      <c r="AR626">
        <v>0</v>
      </c>
      <c r="AS626">
        <v>0</v>
      </c>
      <c r="AT626">
        <v>0</v>
      </c>
      <c r="AU626">
        <v>0</v>
      </c>
      <c r="AV626">
        <v>0</v>
      </c>
      <c r="AW626">
        <v>0</v>
      </c>
      <c r="AX626">
        <v>0</v>
      </c>
      <c r="AY626">
        <v>0</v>
      </c>
      <c r="AZ626">
        <v>0</v>
      </c>
      <c r="BA626">
        <v>0</v>
      </c>
      <c r="BB626">
        <v>0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1</v>
      </c>
      <c r="BI626">
        <v>1</v>
      </c>
      <c r="BJ626">
        <v>0.2</v>
      </c>
      <c r="BK626">
        <v>1</v>
      </c>
      <c r="BL626">
        <v>76.06</v>
      </c>
      <c r="BM626">
        <v>11.41</v>
      </c>
      <c r="BN626">
        <v>87.47</v>
      </c>
      <c r="BO626">
        <v>87.47</v>
      </c>
      <c r="BQ626" t="s">
        <v>645</v>
      </c>
      <c r="BR626" t="s">
        <v>82</v>
      </c>
      <c r="BS626" s="3">
        <v>45996</v>
      </c>
      <c r="BT626" s="4">
        <v>0.40625</v>
      </c>
      <c r="BU626" t="s">
        <v>646</v>
      </c>
      <c r="BV626" t="s">
        <v>84</v>
      </c>
      <c r="BY626">
        <v>1200</v>
      </c>
      <c r="CA626">
        <v>8303236124087</v>
      </c>
      <c r="CC626" t="s">
        <v>303</v>
      </c>
      <c r="CD626" s="5" t="s">
        <v>307</v>
      </c>
      <c r="CE626" t="s">
        <v>134</v>
      </c>
      <c r="CF626" s="3">
        <v>45996</v>
      </c>
      <c r="CI626">
        <v>1</v>
      </c>
      <c r="CJ626">
        <v>1</v>
      </c>
      <c r="CK626">
        <v>21</v>
      </c>
      <c r="CL626" t="s">
        <v>87</v>
      </c>
    </row>
    <row r="627" spans="1:90" x14ac:dyDescent="0.3">
      <c r="A627" t="s">
        <v>72</v>
      </c>
      <c r="B627" t="s">
        <v>73</v>
      </c>
      <c r="C627" t="s">
        <v>74</v>
      </c>
      <c r="E627" t="str">
        <f>"080069677648"</f>
        <v>080069677648</v>
      </c>
      <c r="F627" s="3">
        <v>45995</v>
      </c>
      <c r="G627">
        <v>202609</v>
      </c>
      <c r="H627" t="s">
        <v>75</v>
      </c>
      <c r="I627" t="s">
        <v>76</v>
      </c>
      <c r="J627" t="s">
        <v>77</v>
      </c>
      <c r="K627" t="s">
        <v>78</v>
      </c>
      <c r="L627" t="s">
        <v>100</v>
      </c>
      <c r="M627" t="s">
        <v>101</v>
      </c>
      <c r="N627" t="s">
        <v>166</v>
      </c>
      <c r="O627" t="s">
        <v>89</v>
      </c>
      <c r="P627" t="str">
        <f>"4170071868                    "</f>
        <v xml:space="preserve">4170071868                    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38.28</v>
      </c>
      <c r="AR627">
        <v>0</v>
      </c>
      <c r="AS627">
        <v>0</v>
      </c>
      <c r="AT627">
        <v>0</v>
      </c>
      <c r="AU627">
        <v>0</v>
      </c>
      <c r="AV627">
        <v>0</v>
      </c>
      <c r="AW627">
        <v>0</v>
      </c>
      <c r="AX627">
        <v>0</v>
      </c>
      <c r="AY627">
        <v>0</v>
      </c>
      <c r="AZ627">
        <v>0</v>
      </c>
      <c r="BA627">
        <v>0</v>
      </c>
      <c r="BB62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1</v>
      </c>
      <c r="BI627">
        <v>3</v>
      </c>
      <c r="BJ627">
        <v>1.1000000000000001</v>
      </c>
      <c r="BK627">
        <v>3</v>
      </c>
      <c r="BL627">
        <v>114.08</v>
      </c>
      <c r="BM627">
        <v>17.11</v>
      </c>
      <c r="BN627">
        <v>131.19</v>
      </c>
      <c r="BO627">
        <v>131.19</v>
      </c>
      <c r="BQ627" t="s">
        <v>167</v>
      </c>
      <c r="BR627" t="s">
        <v>82</v>
      </c>
      <c r="BS627" s="3">
        <v>45996</v>
      </c>
      <c r="BT627" s="4">
        <v>0.41666666666666669</v>
      </c>
      <c r="BU627" t="s">
        <v>1322</v>
      </c>
      <c r="BV627" t="s">
        <v>84</v>
      </c>
      <c r="BY627">
        <v>5510</v>
      </c>
      <c r="CA627" t="s">
        <v>912</v>
      </c>
      <c r="CC627" t="s">
        <v>101</v>
      </c>
      <c r="CD627">
        <v>4000</v>
      </c>
      <c r="CE627" t="s">
        <v>86</v>
      </c>
      <c r="CF627" s="3">
        <v>45996</v>
      </c>
      <c r="CI627">
        <v>1</v>
      </c>
      <c r="CJ627">
        <v>1</v>
      </c>
      <c r="CK627">
        <v>21</v>
      </c>
      <c r="CL627" t="s">
        <v>87</v>
      </c>
    </row>
    <row r="628" spans="1:90" x14ac:dyDescent="0.3">
      <c r="A628" t="s">
        <v>72</v>
      </c>
      <c r="B628" t="s">
        <v>73</v>
      </c>
      <c r="C628" t="s">
        <v>74</v>
      </c>
      <c r="E628" t="str">
        <f>"080069677661"</f>
        <v>080069677661</v>
      </c>
      <c r="F628" s="3">
        <v>45995</v>
      </c>
      <c r="G628">
        <v>202609</v>
      </c>
      <c r="H628" t="s">
        <v>75</v>
      </c>
      <c r="I628" t="s">
        <v>76</v>
      </c>
      <c r="J628" t="s">
        <v>77</v>
      </c>
      <c r="K628" t="s">
        <v>78</v>
      </c>
      <c r="L628" t="s">
        <v>100</v>
      </c>
      <c r="M628" t="s">
        <v>101</v>
      </c>
      <c r="N628" t="s">
        <v>1333</v>
      </c>
      <c r="O628" t="s">
        <v>89</v>
      </c>
      <c r="P628" t="str">
        <f>"4170071954                    "</f>
        <v xml:space="preserve">4170071954                    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25.52</v>
      </c>
      <c r="AR628">
        <v>0</v>
      </c>
      <c r="AS628">
        <v>0</v>
      </c>
      <c r="AT628">
        <v>0</v>
      </c>
      <c r="AU628">
        <v>0</v>
      </c>
      <c r="AV628">
        <v>0</v>
      </c>
      <c r="AW628">
        <v>0</v>
      </c>
      <c r="AX628">
        <v>0</v>
      </c>
      <c r="AY628">
        <v>0</v>
      </c>
      <c r="AZ628">
        <v>0</v>
      </c>
      <c r="BA628">
        <v>0</v>
      </c>
      <c r="BB628">
        <v>0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1</v>
      </c>
      <c r="BI628">
        <v>1</v>
      </c>
      <c r="BJ628">
        <v>0.2</v>
      </c>
      <c r="BK628">
        <v>1</v>
      </c>
      <c r="BL628">
        <v>76.06</v>
      </c>
      <c r="BM628">
        <v>11.41</v>
      </c>
      <c r="BN628">
        <v>87.47</v>
      </c>
      <c r="BO628">
        <v>87.47</v>
      </c>
      <c r="BQ628" t="s">
        <v>1334</v>
      </c>
      <c r="BR628" t="s">
        <v>82</v>
      </c>
      <c r="BS628" s="3">
        <v>45996</v>
      </c>
      <c r="BT628" s="4">
        <v>0.40833333333333333</v>
      </c>
      <c r="BU628" t="s">
        <v>322</v>
      </c>
      <c r="BV628" t="s">
        <v>84</v>
      </c>
      <c r="BY628">
        <v>1200</v>
      </c>
      <c r="CA628" t="s">
        <v>323</v>
      </c>
      <c r="CC628" t="s">
        <v>101</v>
      </c>
      <c r="CD628">
        <v>4001</v>
      </c>
      <c r="CE628" t="s">
        <v>134</v>
      </c>
      <c r="CF628" s="3">
        <v>45997</v>
      </c>
      <c r="CI628">
        <v>1</v>
      </c>
      <c r="CJ628">
        <v>1</v>
      </c>
      <c r="CK628">
        <v>21</v>
      </c>
      <c r="CL628" t="s">
        <v>87</v>
      </c>
    </row>
    <row r="629" spans="1:90" x14ac:dyDescent="0.3">
      <c r="A629" t="s">
        <v>72</v>
      </c>
      <c r="B629" t="s">
        <v>73</v>
      </c>
      <c r="C629" t="s">
        <v>74</v>
      </c>
      <c r="E629" t="str">
        <f>"080069677691"</f>
        <v>080069677691</v>
      </c>
      <c r="F629" s="3">
        <v>45995</v>
      </c>
      <c r="G629">
        <v>202609</v>
      </c>
      <c r="H629" t="s">
        <v>75</v>
      </c>
      <c r="I629" t="s">
        <v>76</v>
      </c>
      <c r="J629" t="s">
        <v>77</v>
      </c>
      <c r="K629" t="s">
        <v>78</v>
      </c>
      <c r="L629" t="s">
        <v>100</v>
      </c>
      <c r="M629" t="s">
        <v>101</v>
      </c>
      <c r="N629" t="s">
        <v>166</v>
      </c>
      <c r="O629" t="s">
        <v>80</v>
      </c>
      <c r="P629" t="str">
        <f>"4170071816                    "</f>
        <v xml:space="preserve">4170071816                    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0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57.52</v>
      </c>
      <c r="AR629">
        <v>0</v>
      </c>
      <c r="AS629">
        <v>0</v>
      </c>
      <c r="AT629">
        <v>0</v>
      </c>
      <c r="AU629">
        <v>0</v>
      </c>
      <c r="AV629">
        <v>0</v>
      </c>
      <c r="AW629">
        <v>0</v>
      </c>
      <c r="AX629">
        <v>0</v>
      </c>
      <c r="AY629">
        <v>0</v>
      </c>
      <c r="AZ629">
        <v>0</v>
      </c>
      <c r="BA629">
        <v>0</v>
      </c>
      <c r="BB629">
        <v>0</v>
      </c>
      <c r="BC629">
        <v>0</v>
      </c>
      <c r="BD629">
        <v>0</v>
      </c>
      <c r="BE629">
        <v>0</v>
      </c>
      <c r="BF629">
        <v>0</v>
      </c>
      <c r="BG629">
        <v>0</v>
      </c>
      <c r="BH629">
        <v>1</v>
      </c>
      <c r="BI629">
        <v>7.6</v>
      </c>
      <c r="BJ629">
        <v>18.5</v>
      </c>
      <c r="BK629">
        <v>19</v>
      </c>
      <c r="BL629">
        <v>177.52</v>
      </c>
      <c r="BM629">
        <v>26.63</v>
      </c>
      <c r="BN629">
        <v>204.15</v>
      </c>
      <c r="BO629">
        <v>204.15</v>
      </c>
      <c r="BQ629" t="s">
        <v>167</v>
      </c>
      <c r="BR629" t="s">
        <v>82</v>
      </c>
      <c r="BS629" s="3">
        <v>45996</v>
      </c>
      <c r="BT629" s="4">
        <v>0.41666666666666669</v>
      </c>
      <c r="BU629" t="s">
        <v>1322</v>
      </c>
      <c r="BV629" t="s">
        <v>84</v>
      </c>
      <c r="BY629">
        <v>92575.56</v>
      </c>
      <c r="CA629" t="s">
        <v>912</v>
      </c>
      <c r="CC629" t="s">
        <v>101</v>
      </c>
      <c r="CD629">
        <v>4000</v>
      </c>
      <c r="CE629" t="s">
        <v>86</v>
      </c>
      <c r="CF629" s="3">
        <v>45996</v>
      </c>
      <c r="CI629">
        <v>1</v>
      </c>
      <c r="CJ629">
        <v>1</v>
      </c>
      <c r="CK629">
        <v>41</v>
      </c>
      <c r="CL629" t="s">
        <v>87</v>
      </c>
    </row>
    <row r="630" spans="1:90" x14ac:dyDescent="0.3">
      <c r="A630" t="s">
        <v>72</v>
      </c>
      <c r="B630" t="s">
        <v>73</v>
      </c>
      <c r="C630" t="s">
        <v>74</v>
      </c>
      <c r="E630" t="str">
        <f>"080069677845"</f>
        <v>080069677845</v>
      </c>
      <c r="F630" s="3">
        <v>45995</v>
      </c>
      <c r="G630">
        <v>202609</v>
      </c>
      <c r="H630" t="s">
        <v>75</v>
      </c>
      <c r="I630" t="s">
        <v>76</v>
      </c>
      <c r="J630" t="s">
        <v>77</v>
      </c>
      <c r="K630" t="s">
        <v>78</v>
      </c>
      <c r="L630" t="s">
        <v>141</v>
      </c>
      <c r="M630" t="s">
        <v>142</v>
      </c>
      <c r="N630" t="s">
        <v>630</v>
      </c>
      <c r="O630" t="s">
        <v>89</v>
      </c>
      <c r="P630" t="str">
        <f>"4170071852                    "</f>
        <v xml:space="preserve">4170071852                    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51.04</v>
      </c>
      <c r="AR630">
        <v>0</v>
      </c>
      <c r="AS630">
        <v>0</v>
      </c>
      <c r="AT630">
        <v>0</v>
      </c>
      <c r="AU630">
        <v>0</v>
      </c>
      <c r="AV630">
        <v>0</v>
      </c>
      <c r="AW630">
        <v>0</v>
      </c>
      <c r="AX630">
        <v>0</v>
      </c>
      <c r="AY630">
        <v>0</v>
      </c>
      <c r="AZ630">
        <v>0</v>
      </c>
      <c r="BA630">
        <v>0</v>
      </c>
      <c r="BB630">
        <v>0</v>
      </c>
      <c r="BC630">
        <v>0</v>
      </c>
      <c r="BD630">
        <v>0</v>
      </c>
      <c r="BE630">
        <v>0</v>
      </c>
      <c r="BF630">
        <v>0</v>
      </c>
      <c r="BG630">
        <v>0</v>
      </c>
      <c r="BH630">
        <v>1</v>
      </c>
      <c r="BI630">
        <v>3</v>
      </c>
      <c r="BJ630">
        <v>4</v>
      </c>
      <c r="BK630">
        <v>4</v>
      </c>
      <c r="BL630">
        <v>152.1</v>
      </c>
      <c r="BM630">
        <v>22.82</v>
      </c>
      <c r="BN630">
        <v>174.92</v>
      </c>
      <c r="BO630">
        <v>174.92</v>
      </c>
      <c r="BQ630" t="s">
        <v>631</v>
      </c>
      <c r="BR630" t="s">
        <v>82</v>
      </c>
      <c r="BS630" s="3">
        <v>45996</v>
      </c>
      <c r="BT630" s="4">
        <v>0.38819444444444445</v>
      </c>
      <c r="BU630" t="s">
        <v>360</v>
      </c>
      <c r="BV630" t="s">
        <v>84</v>
      </c>
      <c r="BY630">
        <v>20216</v>
      </c>
      <c r="CA630" t="s">
        <v>489</v>
      </c>
      <c r="CC630" t="s">
        <v>142</v>
      </c>
      <c r="CD630">
        <v>6001</v>
      </c>
      <c r="CE630" t="s">
        <v>93</v>
      </c>
      <c r="CF630" s="3">
        <v>45996</v>
      </c>
      <c r="CI630">
        <v>1</v>
      </c>
      <c r="CJ630">
        <v>1</v>
      </c>
      <c r="CK630">
        <v>21</v>
      </c>
      <c r="CL630" t="s">
        <v>87</v>
      </c>
    </row>
    <row r="631" spans="1:90" x14ac:dyDescent="0.3">
      <c r="A631" t="s">
        <v>72</v>
      </c>
      <c r="B631" t="s">
        <v>73</v>
      </c>
      <c r="C631" t="s">
        <v>74</v>
      </c>
      <c r="E631" t="str">
        <f>"080069677867"</f>
        <v>080069677867</v>
      </c>
      <c r="F631" s="3">
        <v>45995</v>
      </c>
      <c r="G631">
        <v>202609</v>
      </c>
      <c r="H631" t="s">
        <v>75</v>
      </c>
      <c r="I631" t="s">
        <v>76</v>
      </c>
      <c r="J631" t="s">
        <v>77</v>
      </c>
      <c r="K631" t="s">
        <v>78</v>
      </c>
      <c r="L631" t="s">
        <v>546</v>
      </c>
      <c r="M631" t="s">
        <v>547</v>
      </c>
      <c r="N631" t="s">
        <v>570</v>
      </c>
      <c r="O631" t="s">
        <v>89</v>
      </c>
      <c r="P631" t="str">
        <f>"4170071859                    "</f>
        <v xml:space="preserve">4170071859                    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116.45</v>
      </c>
      <c r="AR631">
        <v>0</v>
      </c>
      <c r="AS631">
        <v>0</v>
      </c>
      <c r="AT631">
        <v>0</v>
      </c>
      <c r="AU631">
        <v>0</v>
      </c>
      <c r="AV631">
        <v>0</v>
      </c>
      <c r="AW631">
        <v>0</v>
      </c>
      <c r="AX631">
        <v>0</v>
      </c>
      <c r="AY631">
        <v>0</v>
      </c>
      <c r="AZ631">
        <v>0</v>
      </c>
      <c r="BA631">
        <v>0</v>
      </c>
      <c r="BB631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1</v>
      </c>
      <c r="BI631">
        <v>2.9</v>
      </c>
      <c r="BJ631">
        <v>4.7</v>
      </c>
      <c r="BK631">
        <v>5</v>
      </c>
      <c r="BL631">
        <v>347.04</v>
      </c>
      <c r="BM631">
        <v>52.06</v>
      </c>
      <c r="BN631">
        <v>399.1</v>
      </c>
      <c r="BO631">
        <v>399.1</v>
      </c>
      <c r="BQ631" t="s">
        <v>571</v>
      </c>
      <c r="BR631" t="s">
        <v>82</v>
      </c>
      <c r="BS631" s="3">
        <v>45996</v>
      </c>
      <c r="BT631" s="4">
        <v>0.4375</v>
      </c>
      <c r="BU631" t="s">
        <v>572</v>
      </c>
      <c r="BV631" t="s">
        <v>84</v>
      </c>
      <c r="BY631">
        <v>23591.79</v>
      </c>
      <c r="CA631">
        <v>9703035538081</v>
      </c>
      <c r="CC631" t="s">
        <v>547</v>
      </c>
      <c r="CD631">
        <v>2302</v>
      </c>
      <c r="CE631" t="s">
        <v>93</v>
      </c>
      <c r="CI631">
        <v>1</v>
      </c>
      <c r="CJ631">
        <v>1</v>
      </c>
      <c r="CK631">
        <v>23</v>
      </c>
      <c r="CL631" t="s">
        <v>87</v>
      </c>
    </row>
    <row r="632" spans="1:90" x14ac:dyDescent="0.3">
      <c r="A632" t="s">
        <v>72</v>
      </c>
      <c r="B632" t="s">
        <v>73</v>
      </c>
      <c r="C632" t="s">
        <v>74</v>
      </c>
      <c r="E632" t="str">
        <f>"080069677902"</f>
        <v>080069677902</v>
      </c>
      <c r="F632" s="3">
        <v>45995</v>
      </c>
      <c r="G632">
        <v>202609</v>
      </c>
      <c r="H632" t="s">
        <v>75</v>
      </c>
      <c r="I632" t="s">
        <v>76</v>
      </c>
      <c r="J632" t="s">
        <v>77</v>
      </c>
      <c r="K632" t="s">
        <v>78</v>
      </c>
      <c r="L632" t="s">
        <v>156</v>
      </c>
      <c r="M632" t="s">
        <v>157</v>
      </c>
      <c r="N632" t="s">
        <v>863</v>
      </c>
      <c r="O632" t="s">
        <v>89</v>
      </c>
      <c r="P632" t="str">
        <f>"4170071920                    "</f>
        <v xml:space="preserve">4170071920                    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25.52</v>
      </c>
      <c r="AR632">
        <v>0</v>
      </c>
      <c r="AS632">
        <v>0</v>
      </c>
      <c r="AT632">
        <v>0</v>
      </c>
      <c r="AU632">
        <v>0</v>
      </c>
      <c r="AV632">
        <v>0</v>
      </c>
      <c r="AW632">
        <v>0</v>
      </c>
      <c r="AX632">
        <v>0</v>
      </c>
      <c r="AY632">
        <v>0</v>
      </c>
      <c r="AZ632">
        <v>0</v>
      </c>
      <c r="BA632">
        <v>0</v>
      </c>
      <c r="BB632">
        <v>0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1</v>
      </c>
      <c r="BI632">
        <v>2</v>
      </c>
      <c r="BJ632">
        <v>1.9</v>
      </c>
      <c r="BK632">
        <v>2</v>
      </c>
      <c r="BL632">
        <v>76.06</v>
      </c>
      <c r="BM632">
        <v>11.41</v>
      </c>
      <c r="BN632">
        <v>87.47</v>
      </c>
      <c r="BO632">
        <v>87.47</v>
      </c>
      <c r="BQ632" t="s">
        <v>864</v>
      </c>
      <c r="BR632" t="s">
        <v>82</v>
      </c>
      <c r="BS632" s="3">
        <v>45996</v>
      </c>
      <c r="BT632" s="4">
        <v>0.50555555555555554</v>
      </c>
      <c r="BU632" t="s">
        <v>660</v>
      </c>
      <c r="BV632" t="s">
        <v>87</v>
      </c>
      <c r="BW632" t="s">
        <v>153</v>
      </c>
      <c r="BX632" t="s">
        <v>345</v>
      </c>
      <c r="BY632">
        <v>9600</v>
      </c>
      <c r="CA632" t="s">
        <v>661</v>
      </c>
      <c r="CC632" t="s">
        <v>157</v>
      </c>
      <c r="CD632">
        <v>7550</v>
      </c>
      <c r="CE632" t="s">
        <v>86</v>
      </c>
      <c r="CI632">
        <v>1</v>
      </c>
      <c r="CJ632">
        <v>1</v>
      </c>
      <c r="CK632">
        <v>21</v>
      </c>
      <c r="CL632" t="s">
        <v>87</v>
      </c>
    </row>
    <row r="633" spans="1:90" x14ac:dyDescent="0.3">
      <c r="A633" t="s">
        <v>72</v>
      </c>
      <c r="B633" t="s">
        <v>73</v>
      </c>
      <c r="C633" t="s">
        <v>74</v>
      </c>
      <c r="E633" t="str">
        <f>"080069677939"</f>
        <v>080069677939</v>
      </c>
      <c r="F633" s="3">
        <v>45995</v>
      </c>
      <c r="G633">
        <v>202609</v>
      </c>
      <c r="H633" t="s">
        <v>75</v>
      </c>
      <c r="I633" t="s">
        <v>76</v>
      </c>
      <c r="J633" t="s">
        <v>77</v>
      </c>
      <c r="K633" t="s">
        <v>78</v>
      </c>
      <c r="L633" t="s">
        <v>94</v>
      </c>
      <c r="M633" t="s">
        <v>95</v>
      </c>
      <c r="N633" t="s">
        <v>96</v>
      </c>
      <c r="O633" t="s">
        <v>80</v>
      </c>
      <c r="P633" t="str">
        <f>"4170071809                    "</f>
        <v xml:space="preserve">4170071809                    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  <c r="AG633">
        <v>0</v>
      </c>
      <c r="AH633">
        <v>0</v>
      </c>
      <c r="AI633">
        <v>0</v>
      </c>
      <c r="AJ633">
        <v>0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61.6</v>
      </c>
      <c r="AR633">
        <v>0</v>
      </c>
      <c r="AS633">
        <v>0</v>
      </c>
      <c r="AT633">
        <v>0</v>
      </c>
      <c r="AU633">
        <v>0</v>
      </c>
      <c r="AV633">
        <v>0</v>
      </c>
      <c r="AW633">
        <v>0</v>
      </c>
      <c r="AX633">
        <v>0</v>
      </c>
      <c r="AY633">
        <v>0</v>
      </c>
      <c r="AZ633">
        <v>0</v>
      </c>
      <c r="BA633">
        <v>0</v>
      </c>
      <c r="BB633">
        <v>0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1</v>
      </c>
      <c r="BI633">
        <v>20.3</v>
      </c>
      <c r="BJ633">
        <v>17.899999999999999</v>
      </c>
      <c r="BK633">
        <v>21</v>
      </c>
      <c r="BL633">
        <v>189.68</v>
      </c>
      <c r="BM633">
        <v>28.45</v>
      </c>
      <c r="BN633">
        <v>218.13</v>
      </c>
      <c r="BO633">
        <v>218.13</v>
      </c>
      <c r="BQ633" t="s">
        <v>97</v>
      </c>
      <c r="BR633" t="s">
        <v>82</v>
      </c>
      <c r="BS633" s="3">
        <v>45996</v>
      </c>
      <c r="BT633" s="4">
        <v>0.39097222222222222</v>
      </c>
      <c r="BU633" t="s">
        <v>98</v>
      </c>
      <c r="BV633" t="s">
        <v>84</v>
      </c>
      <c r="BY633">
        <v>89692.160000000003</v>
      </c>
      <c r="CA633" t="s">
        <v>99</v>
      </c>
      <c r="CC633" t="s">
        <v>95</v>
      </c>
      <c r="CD633">
        <v>3610</v>
      </c>
      <c r="CE633" t="s">
        <v>86</v>
      </c>
      <c r="CF633" s="3">
        <v>45996</v>
      </c>
      <c r="CI633">
        <v>1</v>
      </c>
      <c r="CJ633">
        <v>1</v>
      </c>
      <c r="CK633">
        <v>41</v>
      </c>
      <c r="CL633" t="s">
        <v>87</v>
      </c>
    </row>
    <row r="634" spans="1:90" x14ac:dyDescent="0.3">
      <c r="A634" t="s">
        <v>72</v>
      </c>
      <c r="B634" t="s">
        <v>73</v>
      </c>
      <c r="C634" t="s">
        <v>74</v>
      </c>
      <c r="E634" t="str">
        <f>"080069678015"</f>
        <v>080069678015</v>
      </c>
      <c r="F634" s="3">
        <v>45995</v>
      </c>
      <c r="G634">
        <v>202609</v>
      </c>
      <c r="H634" t="s">
        <v>75</v>
      </c>
      <c r="I634" t="s">
        <v>76</v>
      </c>
      <c r="J634" t="s">
        <v>77</v>
      </c>
      <c r="K634" t="s">
        <v>78</v>
      </c>
      <c r="L634" t="s">
        <v>302</v>
      </c>
      <c r="M634" t="s">
        <v>303</v>
      </c>
      <c r="N634" t="s">
        <v>588</v>
      </c>
      <c r="O634" t="s">
        <v>89</v>
      </c>
      <c r="P634" t="str">
        <f>"4170071833                    "</f>
        <v xml:space="preserve">4170071833                    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25.52</v>
      </c>
      <c r="AR634">
        <v>0</v>
      </c>
      <c r="AS634">
        <v>0</v>
      </c>
      <c r="AT634">
        <v>0</v>
      </c>
      <c r="AU634">
        <v>0</v>
      </c>
      <c r="AV634">
        <v>0</v>
      </c>
      <c r="AW634">
        <v>0</v>
      </c>
      <c r="AX634">
        <v>0</v>
      </c>
      <c r="AY634">
        <v>0</v>
      </c>
      <c r="AZ634">
        <v>0</v>
      </c>
      <c r="BA634">
        <v>0</v>
      </c>
      <c r="BB634">
        <v>0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1</v>
      </c>
      <c r="BI634">
        <v>1</v>
      </c>
      <c r="BJ634">
        <v>1.8</v>
      </c>
      <c r="BK634">
        <v>2</v>
      </c>
      <c r="BL634">
        <v>76.06</v>
      </c>
      <c r="BM634">
        <v>11.41</v>
      </c>
      <c r="BN634">
        <v>87.47</v>
      </c>
      <c r="BO634">
        <v>87.47</v>
      </c>
      <c r="BQ634" t="s">
        <v>589</v>
      </c>
      <c r="BR634" t="s">
        <v>82</v>
      </c>
      <c r="BS634" t="s">
        <v>500</v>
      </c>
      <c r="BY634">
        <v>8816</v>
      </c>
      <c r="CC634" t="s">
        <v>303</v>
      </c>
      <c r="CD634" s="5" t="s">
        <v>433</v>
      </c>
      <c r="CE634" t="s">
        <v>86</v>
      </c>
      <c r="CI634">
        <v>1</v>
      </c>
      <c r="CJ634" t="s">
        <v>500</v>
      </c>
      <c r="CK634">
        <v>21</v>
      </c>
      <c r="CL634" t="s">
        <v>87</v>
      </c>
    </row>
    <row r="635" spans="1:90" x14ac:dyDescent="0.3">
      <c r="A635" t="s">
        <v>72</v>
      </c>
      <c r="B635" t="s">
        <v>73</v>
      </c>
      <c r="C635" t="s">
        <v>74</v>
      </c>
      <c r="E635" t="str">
        <f>"080069678089"</f>
        <v>080069678089</v>
      </c>
      <c r="F635" s="3">
        <v>45995</v>
      </c>
      <c r="G635">
        <v>202609</v>
      </c>
      <c r="H635" t="s">
        <v>75</v>
      </c>
      <c r="I635" t="s">
        <v>76</v>
      </c>
      <c r="J635" t="s">
        <v>77</v>
      </c>
      <c r="K635" t="s">
        <v>78</v>
      </c>
      <c r="L635" t="s">
        <v>302</v>
      </c>
      <c r="M635" t="s">
        <v>303</v>
      </c>
      <c r="N635" t="s">
        <v>1335</v>
      </c>
      <c r="O635" t="s">
        <v>80</v>
      </c>
      <c r="P635" t="str">
        <f>"4170071971                    "</f>
        <v xml:space="preserve">4170071971                    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49.36</v>
      </c>
      <c r="AR635">
        <v>0</v>
      </c>
      <c r="AS635">
        <v>0</v>
      </c>
      <c r="AT635">
        <v>0</v>
      </c>
      <c r="AU635">
        <v>0</v>
      </c>
      <c r="AV635">
        <v>0</v>
      </c>
      <c r="AW635">
        <v>0</v>
      </c>
      <c r="AX635">
        <v>0</v>
      </c>
      <c r="AY635">
        <v>0</v>
      </c>
      <c r="AZ635">
        <v>0</v>
      </c>
      <c r="BA635">
        <v>0</v>
      </c>
      <c r="BB635">
        <v>0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1</v>
      </c>
      <c r="BI635">
        <v>3.8</v>
      </c>
      <c r="BJ635">
        <v>2.5</v>
      </c>
      <c r="BK635">
        <v>4</v>
      </c>
      <c r="BL635">
        <v>153.19999999999999</v>
      </c>
      <c r="BM635">
        <v>22.98</v>
      </c>
      <c r="BN635">
        <v>176.18</v>
      </c>
      <c r="BO635">
        <v>176.18</v>
      </c>
      <c r="BQ635" t="s">
        <v>1336</v>
      </c>
      <c r="BR635" t="s">
        <v>82</v>
      </c>
      <c r="BS635" s="3">
        <v>45996</v>
      </c>
      <c r="BT635" s="4">
        <v>0.48680555555555555</v>
      </c>
      <c r="BU635" t="s">
        <v>1337</v>
      </c>
      <c r="BV635" t="s">
        <v>84</v>
      </c>
      <c r="BY635">
        <v>12392.46</v>
      </c>
      <c r="CA635">
        <v>8303236124087</v>
      </c>
      <c r="CC635" t="s">
        <v>303</v>
      </c>
      <c r="CD635" s="5" t="s">
        <v>307</v>
      </c>
      <c r="CE635" t="s">
        <v>93</v>
      </c>
      <c r="CF635" s="3">
        <v>45996</v>
      </c>
      <c r="CI635">
        <v>1</v>
      </c>
      <c r="CJ635">
        <v>1</v>
      </c>
      <c r="CK635">
        <v>41</v>
      </c>
      <c r="CL635" t="s">
        <v>87</v>
      </c>
    </row>
    <row r="636" spans="1:90" x14ac:dyDescent="0.3">
      <c r="A636" t="s">
        <v>72</v>
      </c>
      <c r="B636" t="s">
        <v>73</v>
      </c>
      <c r="C636" t="s">
        <v>74</v>
      </c>
      <c r="E636" t="str">
        <f>"080069678162"</f>
        <v>080069678162</v>
      </c>
      <c r="F636" s="3">
        <v>45995</v>
      </c>
      <c r="G636">
        <v>202609</v>
      </c>
      <c r="H636" t="s">
        <v>75</v>
      </c>
      <c r="I636" t="s">
        <v>76</v>
      </c>
      <c r="J636" t="s">
        <v>77</v>
      </c>
      <c r="K636" t="s">
        <v>78</v>
      </c>
      <c r="L636" t="s">
        <v>128</v>
      </c>
      <c r="M636" t="s">
        <v>129</v>
      </c>
      <c r="N636" t="s">
        <v>183</v>
      </c>
      <c r="O636" t="s">
        <v>89</v>
      </c>
      <c r="P636" t="str">
        <f>"4170071840                    "</f>
        <v xml:space="preserve">4170071840                    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25.52</v>
      </c>
      <c r="AR636">
        <v>0</v>
      </c>
      <c r="AS636">
        <v>0</v>
      </c>
      <c r="AT636">
        <v>0</v>
      </c>
      <c r="AU636">
        <v>0</v>
      </c>
      <c r="AV636">
        <v>0</v>
      </c>
      <c r="AW636">
        <v>0</v>
      </c>
      <c r="AX636">
        <v>0</v>
      </c>
      <c r="AY636">
        <v>0</v>
      </c>
      <c r="AZ636">
        <v>0</v>
      </c>
      <c r="BA636">
        <v>0</v>
      </c>
      <c r="BB636">
        <v>0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1</v>
      </c>
      <c r="BI636">
        <v>1</v>
      </c>
      <c r="BJ636">
        <v>1.8</v>
      </c>
      <c r="BK636">
        <v>2</v>
      </c>
      <c r="BL636">
        <v>76.06</v>
      </c>
      <c r="BM636">
        <v>11.41</v>
      </c>
      <c r="BN636">
        <v>87.47</v>
      </c>
      <c r="BO636">
        <v>87.47</v>
      </c>
      <c r="BQ636" t="s">
        <v>184</v>
      </c>
      <c r="BR636" t="s">
        <v>82</v>
      </c>
      <c r="BS636" s="3">
        <v>45996</v>
      </c>
      <c r="BT636" s="4">
        <v>0.51041666666666663</v>
      </c>
      <c r="BU636" t="s">
        <v>1338</v>
      </c>
      <c r="BV636" t="s">
        <v>87</v>
      </c>
      <c r="BW636" t="s">
        <v>715</v>
      </c>
      <c r="BX636" t="s">
        <v>1267</v>
      </c>
      <c r="BY636">
        <v>8816</v>
      </c>
      <c r="CA636" t="s">
        <v>188</v>
      </c>
      <c r="CC636" t="s">
        <v>129</v>
      </c>
      <c r="CD636">
        <v>5201</v>
      </c>
      <c r="CE636" t="s">
        <v>86</v>
      </c>
      <c r="CI636">
        <v>1</v>
      </c>
      <c r="CJ636">
        <v>1</v>
      </c>
      <c r="CK636">
        <v>21</v>
      </c>
      <c r="CL636" t="s">
        <v>87</v>
      </c>
    </row>
    <row r="637" spans="1:90" x14ac:dyDescent="0.3">
      <c r="A637" t="s">
        <v>72</v>
      </c>
      <c r="B637" t="s">
        <v>73</v>
      </c>
      <c r="C637" t="s">
        <v>74</v>
      </c>
      <c r="E637" t="str">
        <f>"080069678238"</f>
        <v>080069678238</v>
      </c>
      <c r="F637" s="3">
        <v>45995</v>
      </c>
      <c r="G637">
        <v>202609</v>
      </c>
      <c r="H637" t="s">
        <v>75</v>
      </c>
      <c r="I637" t="s">
        <v>76</v>
      </c>
      <c r="J637" t="s">
        <v>77</v>
      </c>
      <c r="K637" t="s">
        <v>78</v>
      </c>
      <c r="L637" t="s">
        <v>560</v>
      </c>
      <c r="M637" t="s">
        <v>561</v>
      </c>
      <c r="N637" t="s">
        <v>562</v>
      </c>
      <c r="O637" t="s">
        <v>340</v>
      </c>
      <c r="P637" t="str">
        <f>"4170071974                    "</f>
        <v xml:space="preserve">4170071974                    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  <c r="AG637">
        <v>0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100.53</v>
      </c>
      <c r="AR637">
        <v>0</v>
      </c>
      <c r="AS637">
        <v>0</v>
      </c>
      <c r="AT637">
        <v>0</v>
      </c>
      <c r="AU637">
        <v>0</v>
      </c>
      <c r="AV637">
        <v>0</v>
      </c>
      <c r="AW637">
        <v>0</v>
      </c>
      <c r="AX637">
        <v>0</v>
      </c>
      <c r="AY637">
        <v>0</v>
      </c>
      <c r="AZ637">
        <v>0</v>
      </c>
      <c r="BA637">
        <v>0</v>
      </c>
      <c r="BB637">
        <v>0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1</v>
      </c>
      <c r="BI637">
        <v>5</v>
      </c>
      <c r="BJ637">
        <v>1.9</v>
      </c>
      <c r="BK637">
        <v>5</v>
      </c>
      <c r="BL637">
        <v>299.58999999999997</v>
      </c>
      <c r="BM637">
        <v>44.94</v>
      </c>
      <c r="BN637">
        <v>344.53</v>
      </c>
      <c r="BO637">
        <v>344.53</v>
      </c>
      <c r="BQ637" t="s">
        <v>563</v>
      </c>
      <c r="BR637" t="s">
        <v>82</v>
      </c>
      <c r="BS637" t="s">
        <v>500</v>
      </c>
      <c r="BY637">
        <v>9600</v>
      </c>
      <c r="CC637" t="s">
        <v>561</v>
      </c>
      <c r="CD637">
        <v>1779</v>
      </c>
      <c r="CE637" t="s">
        <v>86</v>
      </c>
      <c r="CI637">
        <v>1</v>
      </c>
      <c r="CJ637" t="s">
        <v>500</v>
      </c>
      <c r="CK637">
        <v>34</v>
      </c>
      <c r="CL637" t="s">
        <v>87</v>
      </c>
    </row>
    <row r="638" spans="1:90" x14ac:dyDescent="0.3">
      <c r="A638" t="s">
        <v>72</v>
      </c>
      <c r="B638" t="s">
        <v>73</v>
      </c>
      <c r="C638" t="s">
        <v>74</v>
      </c>
      <c r="E638" t="str">
        <f>"080069678274"</f>
        <v>080069678274</v>
      </c>
      <c r="F638" s="3">
        <v>45995</v>
      </c>
      <c r="G638">
        <v>202609</v>
      </c>
      <c r="H638" t="s">
        <v>75</v>
      </c>
      <c r="I638" t="s">
        <v>76</v>
      </c>
      <c r="J638" t="s">
        <v>77</v>
      </c>
      <c r="K638" t="s">
        <v>78</v>
      </c>
      <c r="L638" t="s">
        <v>109</v>
      </c>
      <c r="M638" t="s">
        <v>110</v>
      </c>
      <c r="N638" t="s">
        <v>111</v>
      </c>
      <c r="O638" t="s">
        <v>80</v>
      </c>
      <c r="P638" t="str">
        <f>"4170071923                    "</f>
        <v xml:space="preserve">4170071923                    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  <c r="AG638">
        <v>0</v>
      </c>
      <c r="AH638">
        <v>0</v>
      </c>
      <c r="AI638">
        <v>0</v>
      </c>
      <c r="AJ638">
        <v>0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61.63</v>
      </c>
      <c r="AR638">
        <v>0</v>
      </c>
      <c r="AS638">
        <v>0</v>
      </c>
      <c r="AT638">
        <v>0</v>
      </c>
      <c r="AU638">
        <v>0</v>
      </c>
      <c r="AV638">
        <v>0</v>
      </c>
      <c r="AW638">
        <v>0</v>
      </c>
      <c r="AX638">
        <v>0</v>
      </c>
      <c r="AY638">
        <v>0</v>
      </c>
      <c r="AZ638">
        <v>0</v>
      </c>
      <c r="BA638">
        <v>0</v>
      </c>
      <c r="BB638">
        <v>0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1</v>
      </c>
      <c r="BI638">
        <v>20</v>
      </c>
      <c r="BJ638">
        <v>17.100000000000001</v>
      </c>
      <c r="BK638">
        <v>20</v>
      </c>
      <c r="BL638">
        <v>189.77</v>
      </c>
      <c r="BM638">
        <v>28.47</v>
      </c>
      <c r="BN638">
        <v>218.24</v>
      </c>
      <c r="BO638">
        <v>218.24</v>
      </c>
      <c r="BQ638" t="s">
        <v>112</v>
      </c>
      <c r="BR638" t="s">
        <v>82</v>
      </c>
      <c r="BS638" s="3">
        <v>45996</v>
      </c>
      <c r="BT638" s="4">
        <v>0.66249999999999998</v>
      </c>
      <c r="BU638" t="s">
        <v>1339</v>
      </c>
      <c r="BV638" t="s">
        <v>84</v>
      </c>
      <c r="BY638">
        <v>85371.98</v>
      </c>
      <c r="CC638" t="s">
        <v>110</v>
      </c>
      <c r="CD638">
        <v>1748</v>
      </c>
      <c r="CE638" t="s">
        <v>86</v>
      </c>
      <c r="CF638" s="3">
        <v>45997</v>
      </c>
      <c r="CI638">
        <v>1</v>
      </c>
      <c r="CJ638">
        <v>1</v>
      </c>
      <c r="CK638">
        <v>44</v>
      </c>
      <c r="CL638" t="s">
        <v>87</v>
      </c>
    </row>
    <row r="639" spans="1:90" x14ac:dyDescent="0.3">
      <c r="A639" t="s">
        <v>72</v>
      </c>
      <c r="B639" t="s">
        <v>73</v>
      </c>
      <c r="C639" t="s">
        <v>74</v>
      </c>
      <c r="E639" t="str">
        <f>"080069678552"</f>
        <v>080069678552</v>
      </c>
      <c r="F639" s="3">
        <v>45995</v>
      </c>
      <c r="G639">
        <v>202609</v>
      </c>
      <c r="H639" t="s">
        <v>75</v>
      </c>
      <c r="I639" t="s">
        <v>76</v>
      </c>
      <c r="J639" t="s">
        <v>77</v>
      </c>
      <c r="K639" t="s">
        <v>78</v>
      </c>
      <c r="L639" t="s">
        <v>141</v>
      </c>
      <c r="M639" t="s">
        <v>142</v>
      </c>
      <c r="N639" t="s">
        <v>1340</v>
      </c>
      <c r="O639" t="s">
        <v>89</v>
      </c>
      <c r="P639" t="str">
        <f>"4170071964                    "</f>
        <v xml:space="preserve">4170071964                    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76.55</v>
      </c>
      <c r="AR639">
        <v>0</v>
      </c>
      <c r="AS639">
        <v>0</v>
      </c>
      <c r="AT639">
        <v>0</v>
      </c>
      <c r="AU639">
        <v>0</v>
      </c>
      <c r="AV639">
        <v>0</v>
      </c>
      <c r="AW639">
        <v>0</v>
      </c>
      <c r="AX639">
        <v>0</v>
      </c>
      <c r="AY639">
        <v>0</v>
      </c>
      <c r="AZ639">
        <v>0</v>
      </c>
      <c r="BA639">
        <v>0</v>
      </c>
      <c r="BB639">
        <v>0</v>
      </c>
      <c r="BC639">
        <v>0</v>
      </c>
      <c r="BD639">
        <v>0</v>
      </c>
      <c r="BE639">
        <v>0</v>
      </c>
      <c r="BF639">
        <v>0</v>
      </c>
      <c r="BG639">
        <v>0</v>
      </c>
      <c r="BH639">
        <v>1</v>
      </c>
      <c r="BI639">
        <v>6</v>
      </c>
      <c r="BJ639">
        <v>3.6</v>
      </c>
      <c r="BK639">
        <v>6</v>
      </c>
      <c r="BL639">
        <v>228.13</v>
      </c>
      <c r="BM639">
        <v>34.22</v>
      </c>
      <c r="BN639">
        <v>262.35000000000002</v>
      </c>
      <c r="BO639">
        <v>262.35000000000002</v>
      </c>
      <c r="BQ639" t="s">
        <v>1341</v>
      </c>
      <c r="BR639" t="s">
        <v>82</v>
      </c>
      <c r="BS639" s="3">
        <v>45996</v>
      </c>
      <c r="BT639" s="4">
        <v>0.41111111111111109</v>
      </c>
      <c r="BU639" t="s">
        <v>1342</v>
      </c>
      <c r="BV639" t="s">
        <v>84</v>
      </c>
      <c r="BY639">
        <v>18000</v>
      </c>
      <c r="CA639" t="s">
        <v>1203</v>
      </c>
      <c r="CC639" t="s">
        <v>142</v>
      </c>
      <c r="CD639">
        <v>6001</v>
      </c>
      <c r="CE639" t="s">
        <v>86</v>
      </c>
      <c r="CF639" s="3">
        <v>45996</v>
      </c>
      <c r="CI639">
        <v>1</v>
      </c>
      <c r="CJ639">
        <v>1</v>
      </c>
      <c r="CK639">
        <v>21</v>
      </c>
      <c r="CL639" t="s">
        <v>87</v>
      </c>
    </row>
    <row r="640" spans="1:90" x14ac:dyDescent="0.3">
      <c r="A640" t="s">
        <v>72</v>
      </c>
      <c r="B640" t="s">
        <v>73</v>
      </c>
      <c r="C640" t="s">
        <v>74</v>
      </c>
      <c r="E640" t="str">
        <f>"080069678594"</f>
        <v>080069678594</v>
      </c>
      <c r="F640" s="3">
        <v>45995</v>
      </c>
      <c r="G640">
        <v>202609</v>
      </c>
      <c r="H640" t="s">
        <v>75</v>
      </c>
      <c r="I640" t="s">
        <v>76</v>
      </c>
      <c r="J640" t="s">
        <v>77</v>
      </c>
      <c r="K640" t="s">
        <v>78</v>
      </c>
      <c r="L640" t="s">
        <v>465</v>
      </c>
      <c r="M640" t="s">
        <v>466</v>
      </c>
      <c r="N640" t="s">
        <v>1003</v>
      </c>
      <c r="O640" t="s">
        <v>340</v>
      </c>
      <c r="P640" t="str">
        <f>"4170071973                    "</f>
        <v xml:space="preserve">4170071973                    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  <c r="AG640">
        <v>0</v>
      </c>
      <c r="AH640">
        <v>0</v>
      </c>
      <c r="AI640">
        <v>0</v>
      </c>
      <c r="AJ640">
        <v>0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19.940000000000001</v>
      </c>
      <c r="AR640">
        <v>0</v>
      </c>
      <c r="AS640">
        <v>0</v>
      </c>
      <c r="AT640">
        <v>0</v>
      </c>
      <c r="AU640">
        <v>0</v>
      </c>
      <c r="AV640">
        <v>0</v>
      </c>
      <c r="AW640">
        <v>0</v>
      </c>
      <c r="AX640">
        <v>0</v>
      </c>
      <c r="AY640">
        <v>0</v>
      </c>
      <c r="AZ640">
        <v>0</v>
      </c>
      <c r="BA640">
        <v>0</v>
      </c>
      <c r="BB640">
        <v>0</v>
      </c>
      <c r="BC640">
        <v>0</v>
      </c>
      <c r="BD640">
        <v>0</v>
      </c>
      <c r="BE640">
        <v>0</v>
      </c>
      <c r="BF640">
        <v>0</v>
      </c>
      <c r="BG640">
        <v>0</v>
      </c>
      <c r="BH640">
        <v>1</v>
      </c>
      <c r="BI640">
        <v>2.2000000000000002</v>
      </c>
      <c r="BJ640">
        <v>3.9</v>
      </c>
      <c r="BK640">
        <v>4</v>
      </c>
      <c r="BL640">
        <v>59.43</v>
      </c>
      <c r="BM640">
        <v>8.91</v>
      </c>
      <c r="BN640">
        <v>68.34</v>
      </c>
      <c r="BO640">
        <v>68.34</v>
      </c>
      <c r="BQ640" t="s">
        <v>1004</v>
      </c>
      <c r="BR640" t="s">
        <v>82</v>
      </c>
      <c r="BS640" s="3">
        <v>45996</v>
      </c>
      <c r="BT640" s="4">
        <v>0.52430555555555558</v>
      </c>
      <c r="BU640" t="s">
        <v>1343</v>
      </c>
      <c r="BV640" t="s">
        <v>84</v>
      </c>
      <c r="BY640">
        <v>19550.43</v>
      </c>
      <c r="CA640" t="s">
        <v>1223</v>
      </c>
      <c r="CC640" t="s">
        <v>466</v>
      </c>
      <c r="CD640">
        <v>1401</v>
      </c>
      <c r="CE640" t="s">
        <v>86</v>
      </c>
      <c r="CF640" s="3">
        <v>45997</v>
      </c>
      <c r="CI640">
        <v>1</v>
      </c>
      <c r="CJ640">
        <v>1</v>
      </c>
      <c r="CK640">
        <v>32</v>
      </c>
      <c r="CL640" t="s">
        <v>87</v>
      </c>
    </row>
    <row r="641" spans="1:90" x14ac:dyDescent="0.3">
      <c r="A641" t="s">
        <v>72</v>
      </c>
      <c r="B641" t="s">
        <v>73</v>
      </c>
      <c r="C641" t="s">
        <v>74</v>
      </c>
      <c r="E641" t="str">
        <f>"080069678666"</f>
        <v>080069678666</v>
      </c>
      <c r="F641" s="3">
        <v>45995</v>
      </c>
      <c r="G641">
        <v>202609</v>
      </c>
      <c r="H641" t="s">
        <v>75</v>
      </c>
      <c r="I641" t="s">
        <v>76</v>
      </c>
      <c r="J641" t="s">
        <v>77</v>
      </c>
      <c r="K641" t="s">
        <v>78</v>
      </c>
      <c r="L641" t="s">
        <v>302</v>
      </c>
      <c r="M641" t="s">
        <v>303</v>
      </c>
      <c r="N641" t="s">
        <v>304</v>
      </c>
      <c r="O641" t="s">
        <v>80</v>
      </c>
      <c r="P641" t="str">
        <f>"4170071858                    "</f>
        <v xml:space="preserve">4170071858                    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  <c r="AH641">
        <v>0</v>
      </c>
      <c r="AI641">
        <v>0</v>
      </c>
      <c r="AJ641">
        <v>0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55.48</v>
      </c>
      <c r="AR641">
        <v>0</v>
      </c>
      <c r="AS641">
        <v>0</v>
      </c>
      <c r="AT641">
        <v>0</v>
      </c>
      <c r="AU641">
        <v>0</v>
      </c>
      <c r="AV641">
        <v>0</v>
      </c>
      <c r="AW641">
        <v>0</v>
      </c>
      <c r="AX641">
        <v>0</v>
      </c>
      <c r="AY641">
        <v>0</v>
      </c>
      <c r="AZ641">
        <v>0</v>
      </c>
      <c r="BA641">
        <v>0</v>
      </c>
      <c r="BB641">
        <v>0</v>
      </c>
      <c r="BC641">
        <v>0</v>
      </c>
      <c r="BD641">
        <v>0</v>
      </c>
      <c r="BE641">
        <v>0</v>
      </c>
      <c r="BF641">
        <v>0</v>
      </c>
      <c r="BG641">
        <v>0</v>
      </c>
      <c r="BH641">
        <v>1</v>
      </c>
      <c r="BI641">
        <v>18</v>
      </c>
      <c r="BJ641">
        <v>3.8</v>
      </c>
      <c r="BK641">
        <v>18</v>
      </c>
      <c r="BL641">
        <v>171.44</v>
      </c>
      <c r="BM641">
        <v>25.72</v>
      </c>
      <c r="BN641">
        <v>197.16</v>
      </c>
      <c r="BO641">
        <v>197.16</v>
      </c>
      <c r="BQ641" t="s">
        <v>305</v>
      </c>
      <c r="BR641" t="s">
        <v>82</v>
      </c>
      <c r="BS641" s="3">
        <v>45996</v>
      </c>
      <c r="BT641" s="4">
        <v>0.45069444444444445</v>
      </c>
      <c r="BU641" t="s">
        <v>306</v>
      </c>
      <c r="BV641" t="s">
        <v>84</v>
      </c>
      <c r="BY641">
        <v>19161.45</v>
      </c>
      <c r="CA641">
        <v>8303236124087</v>
      </c>
      <c r="CC641" t="s">
        <v>303</v>
      </c>
      <c r="CD641" s="5" t="s">
        <v>307</v>
      </c>
      <c r="CE641" t="s">
        <v>86</v>
      </c>
      <c r="CF641" s="3">
        <v>45996</v>
      </c>
      <c r="CI641">
        <v>1</v>
      </c>
      <c r="CJ641">
        <v>1</v>
      </c>
      <c r="CK641">
        <v>41</v>
      </c>
      <c r="CL641" t="s">
        <v>87</v>
      </c>
    </row>
    <row r="642" spans="1:90" x14ac:dyDescent="0.3">
      <c r="A642" t="s">
        <v>72</v>
      </c>
      <c r="B642" t="s">
        <v>73</v>
      </c>
      <c r="C642" t="s">
        <v>74</v>
      </c>
      <c r="E642" t="str">
        <f>"080069678751"</f>
        <v>080069678751</v>
      </c>
      <c r="F642" s="3">
        <v>45995</v>
      </c>
      <c r="G642">
        <v>202609</v>
      </c>
      <c r="H642" t="s">
        <v>75</v>
      </c>
      <c r="I642" t="s">
        <v>76</v>
      </c>
      <c r="J642" t="s">
        <v>77</v>
      </c>
      <c r="K642" t="s">
        <v>78</v>
      </c>
      <c r="L642" t="s">
        <v>926</v>
      </c>
      <c r="M642" t="s">
        <v>927</v>
      </c>
      <c r="N642" t="s">
        <v>928</v>
      </c>
      <c r="O642" t="s">
        <v>340</v>
      </c>
      <c r="P642" t="str">
        <f>"4170071890                    "</f>
        <v xml:space="preserve">4170071890                    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0</v>
      </c>
      <c r="AJ642">
        <v>0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35.6</v>
      </c>
      <c r="AR642">
        <v>0</v>
      </c>
      <c r="AS642">
        <v>0</v>
      </c>
      <c r="AT642">
        <v>0</v>
      </c>
      <c r="AU642">
        <v>0</v>
      </c>
      <c r="AV642">
        <v>0</v>
      </c>
      <c r="AW642">
        <v>0</v>
      </c>
      <c r="AX642">
        <v>0</v>
      </c>
      <c r="AY642">
        <v>0</v>
      </c>
      <c r="AZ642">
        <v>0</v>
      </c>
      <c r="BA642">
        <v>0</v>
      </c>
      <c r="BB642">
        <v>0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1</v>
      </c>
      <c r="BI642">
        <v>14.3</v>
      </c>
      <c r="BJ642">
        <v>4.9000000000000004</v>
      </c>
      <c r="BK642">
        <v>15</v>
      </c>
      <c r="BL642">
        <v>106.1</v>
      </c>
      <c r="BM642">
        <v>15.92</v>
      </c>
      <c r="BN642">
        <v>122.02</v>
      </c>
      <c r="BO642">
        <v>122.02</v>
      </c>
      <c r="BQ642" t="s">
        <v>929</v>
      </c>
      <c r="BR642" t="s">
        <v>82</v>
      </c>
      <c r="BS642" t="s">
        <v>500</v>
      </c>
      <c r="BY642">
        <v>24491.23</v>
      </c>
      <c r="CC642" t="s">
        <v>927</v>
      </c>
      <c r="CD642">
        <v>1682</v>
      </c>
      <c r="CE642" t="s">
        <v>86</v>
      </c>
      <c r="CI642">
        <v>1</v>
      </c>
      <c r="CJ642" t="s">
        <v>500</v>
      </c>
      <c r="CK642">
        <v>32</v>
      </c>
      <c r="CL642" t="s">
        <v>87</v>
      </c>
    </row>
    <row r="643" spans="1:90" x14ac:dyDescent="0.3">
      <c r="A643" t="s">
        <v>72</v>
      </c>
      <c r="B643" t="s">
        <v>73</v>
      </c>
      <c r="C643" t="s">
        <v>74</v>
      </c>
      <c r="E643" t="str">
        <f>"080069678763"</f>
        <v>080069678763</v>
      </c>
      <c r="F643" s="3">
        <v>45995</v>
      </c>
      <c r="G643">
        <v>202609</v>
      </c>
      <c r="H643" t="s">
        <v>75</v>
      </c>
      <c r="I643" t="s">
        <v>76</v>
      </c>
      <c r="J643" t="s">
        <v>77</v>
      </c>
      <c r="K643" t="s">
        <v>78</v>
      </c>
      <c r="L643" t="s">
        <v>302</v>
      </c>
      <c r="M643" t="s">
        <v>303</v>
      </c>
      <c r="N643" t="s">
        <v>347</v>
      </c>
      <c r="O643" t="s">
        <v>89</v>
      </c>
      <c r="P643" t="str">
        <f>"4170071837                    "</f>
        <v xml:space="preserve">4170071837                    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  <c r="AH643">
        <v>0</v>
      </c>
      <c r="AI643">
        <v>0</v>
      </c>
      <c r="AJ643">
        <v>0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31.9</v>
      </c>
      <c r="AR643">
        <v>0</v>
      </c>
      <c r="AS643">
        <v>0</v>
      </c>
      <c r="AT643">
        <v>0</v>
      </c>
      <c r="AU643">
        <v>0</v>
      </c>
      <c r="AV643">
        <v>0</v>
      </c>
      <c r="AW643">
        <v>0</v>
      </c>
      <c r="AX643">
        <v>0</v>
      </c>
      <c r="AY643">
        <v>0</v>
      </c>
      <c r="AZ643">
        <v>0</v>
      </c>
      <c r="BA643">
        <v>0</v>
      </c>
      <c r="BB643">
        <v>0</v>
      </c>
      <c r="BC643">
        <v>0</v>
      </c>
      <c r="BD643">
        <v>0</v>
      </c>
      <c r="BE643">
        <v>0</v>
      </c>
      <c r="BF643">
        <v>0</v>
      </c>
      <c r="BG643">
        <v>0</v>
      </c>
      <c r="BH643">
        <v>1</v>
      </c>
      <c r="BI643">
        <v>2.2000000000000002</v>
      </c>
      <c r="BJ643">
        <v>1.7</v>
      </c>
      <c r="BK643">
        <v>2.5</v>
      </c>
      <c r="BL643">
        <v>95.07</v>
      </c>
      <c r="BM643">
        <v>14.26</v>
      </c>
      <c r="BN643">
        <v>109.33</v>
      </c>
      <c r="BO643">
        <v>109.33</v>
      </c>
      <c r="BQ643" t="s">
        <v>348</v>
      </c>
      <c r="BR643" t="s">
        <v>82</v>
      </c>
      <c r="BS643" s="3">
        <v>45996</v>
      </c>
      <c r="BT643" s="4">
        <v>0.42986111111111114</v>
      </c>
      <c r="BU643" t="s">
        <v>1344</v>
      </c>
      <c r="BV643" t="s">
        <v>84</v>
      </c>
      <c r="BY643">
        <v>8622.99</v>
      </c>
      <c r="CA643">
        <v>8507115621084</v>
      </c>
      <c r="CC643" t="s">
        <v>303</v>
      </c>
      <c r="CD643" s="5" t="s">
        <v>350</v>
      </c>
      <c r="CE643" t="s">
        <v>86</v>
      </c>
      <c r="CF643" s="3">
        <v>45996</v>
      </c>
      <c r="CI643">
        <v>1</v>
      </c>
      <c r="CJ643">
        <v>1</v>
      </c>
      <c r="CK643">
        <v>21</v>
      </c>
      <c r="CL643" t="s">
        <v>87</v>
      </c>
    </row>
    <row r="644" spans="1:90" x14ac:dyDescent="0.3">
      <c r="A644" t="s">
        <v>72</v>
      </c>
      <c r="B644" t="s">
        <v>73</v>
      </c>
      <c r="C644" t="s">
        <v>74</v>
      </c>
      <c r="E644" t="str">
        <f>"080069678808"</f>
        <v>080069678808</v>
      </c>
      <c r="F644" s="3">
        <v>45995</v>
      </c>
      <c r="G644">
        <v>202609</v>
      </c>
      <c r="H644" t="s">
        <v>75</v>
      </c>
      <c r="I644" t="s">
        <v>76</v>
      </c>
      <c r="J644" t="s">
        <v>77</v>
      </c>
      <c r="K644" t="s">
        <v>78</v>
      </c>
      <c r="L644" t="s">
        <v>141</v>
      </c>
      <c r="M644" t="s">
        <v>142</v>
      </c>
      <c r="N644" t="s">
        <v>1105</v>
      </c>
      <c r="O644" t="s">
        <v>89</v>
      </c>
      <c r="P644" t="str">
        <f>"4170071861                    "</f>
        <v xml:space="preserve">4170071861                    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  <c r="AG644">
        <v>0</v>
      </c>
      <c r="AH644">
        <v>0</v>
      </c>
      <c r="AI644">
        <v>0</v>
      </c>
      <c r="AJ644">
        <v>0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51.04</v>
      </c>
      <c r="AR644">
        <v>0</v>
      </c>
      <c r="AS644">
        <v>0</v>
      </c>
      <c r="AT644">
        <v>0</v>
      </c>
      <c r="AU644">
        <v>0</v>
      </c>
      <c r="AV644">
        <v>0</v>
      </c>
      <c r="AW644">
        <v>0</v>
      </c>
      <c r="AX644">
        <v>0</v>
      </c>
      <c r="AY644">
        <v>0</v>
      </c>
      <c r="AZ644">
        <v>0</v>
      </c>
      <c r="BA644">
        <v>0</v>
      </c>
      <c r="BB644">
        <v>0</v>
      </c>
      <c r="BC644">
        <v>0</v>
      </c>
      <c r="BD644">
        <v>0</v>
      </c>
      <c r="BE644">
        <v>0</v>
      </c>
      <c r="BF644">
        <v>0</v>
      </c>
      <c r="BG644">
        <v>0</v>
      </c>
      <c r="BH644">
        <v>1</v>
      </c>
      <c r="BI644">
        <v>4</v>
      </c>
      <c r="BJ644">
        <v>1.9</v>
      </c>
      <c r="BK644">
        <v>4</v>
      </c>
      <c r="BL644">
        <v>152.1</v>
      </c>
      <c r="BM644">
        <v>22.82</v>
      </c>
      <c r="BN644">
        <v>174.92</v>
      </c>
      <c r="BO644">
        <v>174.92</v>
      </c>
      <c r="BQ644" t="s">
        <v>1106</v>
      </c>
      <c r="BR644" t="s">
        <v>82</v>
      </c>
      <c r="BS644" s="3">
        <v>45996</v>
      </c>
      <c r="BT644" s="4">
        <v>0.43611111111111112</v>
      </c>
      <c r="BU644" t="s">
        <v>1345</v>
      </c>
      <c r="BV644" t="s">
        <v>84</v>
      </c>
      <c r="BY644">
        <v>9367</v>
      </c>
      <c r="CA644" t="s">
        <v>1203</v>
      </c>
      <c r="CC644" t="s">
        <v>142</v>
      </c>
      <c r="CD644">
        <v>6001</v>
      </c>
      <c r="CE644" t="s">
        <v>86</v>
      </c>
      <c r="CF644" s="3">
        <v>45996</v>
      </c>
      <c r="CI644">
        <v>1</v>
      </c>
      <c r="CJ644">
        <v>1</v>
      </c>
      <c r="CK644">
        <v>21</v>
      </c>
      <c r="CL644" t="s">
        <v>87</v>
      </c>
    </row>
    <row r="645" spans="1:90" x14ac:dyDescent="0.3">
      <c r="A645" t="s">
        <v>72</v>
      </c>
      <c r="B645" t="s">
        <v>73</v>
      </c>
      <c r="C645" t="s">
        <v>74</v>
      </c>
      <c r="E645" t="str">
        <f>"080069678812"</f>
        <v>080069678812</v>
      </c>
      <c r="F645" s="3">
        <v>45995</v>
      </c>
      <c r="G645">
        <v>202609</v>
      </c>
      <c r="H645" t="s">
        <v>75</v>
      </c>
      <c r="I645" t="s">
        <v>76</v>
      </c>
      <c r="J645" t="s">
        <v>77</v>
      </c>
      <c r="K645" t="s">
        <v>78</v>
      </c>
      <c r="L645" t="s">
        <v>533</v>
      </c>
      <c r="M645" t="s">
        <v>533</v>
      </c>
      <c r="N645" t="s">
        <v>907</v>
      </c>
      <c r="O645" t="s">
        <v>89</v>
      </c>
      <c r="P645" t="str">
        <f>"4170071968                    "</f>
        <v xml:space="preserve">4170071968                    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  <c r="AH645">
        <v>0</v>
      </c>
      <c r="AI645">
        <v>0</v>
      </c>
      <c r="AJ645">
        <v>0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60.62</v>
      </c>
      <c r="AR645">
        <v>0</v>
      </c>
      <c r="AS645">
        <v>0</v>
      </c>
      <c r="AT645">
        <v>0</v>
      </c>
      <c r="AU645">
        <v>0</v>
      </c>
      <c r="AV645">
        <v>0</v>
      </c>
      <c r="AW645">
        <v>0</v>
      </c>
      <c r="AX645">
        <v>0</v>
      </c>
      <c r="AY645">
        <v>0</v>
      </c>
      <c r="AZ645">
        <v>0</v>
      </c>
      <c r="BA645">
        <v>0</v>
      </c>
      <c r="BB645">
        <v>0</v>
      </c>
      <c r="BC645">
        <v>0</v>
      </c>
      <c r="BD645">
        <v>0</v>
      </c>
      <c r="BE645">
        <v>0</v>
      </c>
      <c r="BF645">
        <v>0</v>
      </c>
      <c r="BG645">
        <v>0</v>
      </c>
      <c r="BH645">
        <v>1</v>
      </c>
      <c r="BI645">
        <v>2</v>
      </c>
      <c r="BJ645">
        <v>2.2999999999999998</v>
      </c>
      <c r="BK645">
        <v>2.5</v>
      </c>
      <c r="BL645">
        <v>180.66</v>
      </c>
      <c r="BM645">
        <v>27.1</v>
      </c>
      <c r="BN645">
        <v>207.76</v>
      </c>
      <c r="BO645">
        <v>207.76</v>
      </c>
      <c r="BQ645" t="s">
        <v>908</v>
      </c>
      <c r="BR645" t="s">
        <v>82</v>
      </c>
      <c r="BS645" t="s">
        <v>500</v>
      </c>
      <c r="BY645">
        <v>11560</v>
      </c>
      <c r="CC645" t="s">
        <v>533</v>
      </c>
      <c r="CD645">
        <v>7654</v>
      </c>
      <c r="CE645" t="s">
        <v>93</v>
      </c>
      <c r="CI645">
        <v>1</v>
      </c>
      <c r="CJ645" t="s">
        <v>500</v>
      </c>
      <c r="CK645">
        <v>23</v>
      </c>
      <c r="CL645" t="s">
        <v>87</v>
      </c>
    </row>
    <row r="646" spans="1:90" x14ac:dyDescent="0.3">
      <c r="A646" t="s">
        <v>72</v>
      </c>
      <c r="B646" t="s">
        <v>73</v>
      </c>
      <c r="C646" t="s">
        <v>74</v>
      </c>
      <c r="E646" t="str">
        <f>"080069678860"</f>
        <v>080069678860</v>
      </c>
      <c r="F646" s="3">
        <v>45995</v>
      </c>
      <c r="G646">
        <v>202609</v>
      </c>
      <c r="H646" t="s">
        <v>75</v>
      </c>
      <c r="I646" t="s">
        <v>76</v>
      </c>
      <c r="J646" t="s">
        <v>77</v>
      </c>
      <c r="K646" t="s">
        <v>78</v>
      </c>
      <c r="L646" t="s">
        <v>618</v>
      </c>
      <c r="M646" t="s">
        <v>619</v>
      </c>
      <c r="N646" t="s">
        <v>620</v>
      </c>
      <c r="O646" t="s">
        <v>89</v>
      </c>
      <c r="P646" t="str">
        <f>"4170071898                    "</f>
        <v xml:space="preserve">4170071898                    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  <c r="AG646">
        <v>0</v>
      </c>
      <c r="AH646">
        <v>0</v>
      </c>
      <c r="AI646">
        <v>0</v>
      </c>
      <c r="AJ646">
        <v>0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25.52</v>
      </c>
      <c r="AR646">
        <v>0</v>
      </c>
      <c r="AS646">
        <v>0</v>
      </c>
      <c r="AT646">
        <v>0</v>
      </c>
      <c r="AU646">
        <v>0</v>
      </c>
      <c r="AV646">
        <v>0</v>
      </c>
      <c r="AW646">
        <v>0</v>
      </c>
      <c r="AX646">
        <v>0</v>
      </c>
      <c r="AY646">
        <v>0</v>
      </c>
      <c r="AZ646">
        <v>0</v>
      </c>
      <c r="BA646">
        <v>0</v>
      </c>
      <c r="BB646">
        <v>0</v>
      </c>
      <c r="BC646">
        <v>0</v>
      </c>
      <c r="BD646">
        <v>0</v>
      </c>
      <c r="BE646">
        <v>0</v>
      </c>
      <c r="BF646">
        <v>0</v>
      </c>
      <c r="BG646">
        <v>0</v>
      </c>
      <c r="BH646">
        <v>1</v>
      </c>
      <c r="BI646">
        <v>1</v>
      </c>
      <c r="BJ646">
        <v>0.2</v>
      </c>
      <c r="BK646">
        <v>1</v>
      </c>
      <c r="BL646">
        <v>76.06</v>
      </c>
      <c r="BM646">
        <v>11.41</v>
      </c>
      <c r="BN646">
        <v>87.47</v>
      </c>
      <c r="BO646">
        <v>87.47</v>
      </c>
      <c r="BQ646" t="s">
        <v>621</v>
      </c>
      <c r="BR646" t="s">
        <v>82</v>
      </c>
      <c r="BS646" s="3">
        <v>45996</v>
      </c>
      <c r="BT646" s="4">
        <v>0.73263888888888884</v>
      </c>
      <c r="BU646" t="s">
        <v>1346</v>
      </c>
      <c r="BV646" t="s">
        <v>87</v>
      </c>
      <c r="BW646" t="s">
        <v>246</v>
      </c>
      <c r="BX646" t="s">
        <v>106</v>
      </c>
      <c r="BY646">
        <v>1200</v>
      </c>
      <c r="CA646" t="s">
        <v>248</v>
      </c>
      <c r="CC646" t="s">
        <v>619</v>
      </c>
      <c r="CD646">
        <v>4026</v>
      </c>
      <c r="CE646" t="s">
        <v>134</v>
      </c>
      <c r="CF646" s="3">
        <v>45996</v>
      </c>
      <c r="CI646">
        <v>1</v>
      </c>
      <c r="CJ646">
        <v>1</v>
      </c>
      <c r="CK646">
        <v>21</v>
      </c>
      <c r="CL646" t="s">
        <v>87</v>
      </c>
    </row>
    <row r="647" spans="1:90" x14ac:dyDescent="0.3">
      <c r="A647" t="s">
        <v>72</v>
      </c>
      <c r="B647" t="s">
        <v>73</v>
      </c>
      <c r="C647" t="s">
        <v>74</v>
      </c>
      <c r="E647" t="str">
        <f>"080069678862"</f>
        <v>080069678862</v>
      </c>
      <c r="F647" s="3">
        <v>45995</v>
      </c>
      <c r="G647">
        <v>202609</v>
      </c>
      <c r="H647" t="s">
        <v>75</v>
      </c>
      <c r="I647" t="s">
        <v>76</v>
      </c>
      <c r="J647" t="s">
        <v>77</v>
      </c>
      <c r="K647" t="s">
        <v>78</v>
      </c>
      <c r="L647" t="s">
        <v>302</v>
      </c>
      <c r="M647" t="s">
        <v>303</v>
      </c>
      <c r="N647" t="s">
        <v>304</v>
      </c>
      <c r="O647" t="s">
        <v>80</v>
      </c>
      <c r="P647" t="str">
        <f>"4170071835                    "</f>
        <v xml:space="preserve">4170071835                    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  <c r="AH647">
        <v>0</v>
      </c>
      <c r="AI647">
        <v>0</v>
      </c>
      <c r="AJ647">
        <v>0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75.88</v>
      </c>
      <c r="AR647">
        <v>0</v>
      </c>
      <c r="AS647">
        <v>0</v>
      </c>
      <c r="AT647">
        <v>0</v>
      </c>
      <c r="AU647">
        <v>0</v>
      </c>
      <c r="AV647">
        <v>0</v>
      </c>
      <c r="AW647">
        <v>0</v>
      </c>
      <c r="AX647">
        <v>0</v>
      </c>
      <c r="AY647">
        <v>0</v>
      </c>
      <c r="AZ647">
        <v>0</v>
      </c>
      <c r="BA647">
        <v>0</v>
      </c>
      <c r="BB647">
        <v>0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1</v>
      </c>
      <c r="BI647">
        <v>27.1</v>
      </c>
      <c r="BJ647">
        <v>19.8</v>
      </c>
      <c r="BK647">
        <v>28</v>
      </c>
      <c r="BL647">
        <v>232.24</v>
      </c>
      <c r="BM647">
        <v>34.840000000000003</v>
      </c>
      <c r="BN647">
        <v>267.08</v>
      </c>
      <c r="BO647">
        <v>267.08</v>
      </c>
      <c r="BQ647" t="s">
        <v>305</v>
      </c>
      <c r="BR647" t="s">
        <v>82</v>
      </c>
      <c r="BS647" s="3">
        <v>45996</v>
      </c>
      <c r="BT647" s="4">
        <v>0.45</v>
      </c>
      <c r="BU647" t="s">
        <v>306</v>
      </c>
      <c r="BV647" t="s">
        <v>84</v>
      </c>
      <c r="BY647">
        <v>98791.08</v>
      </c>
      <c r="CA647">
        <v>8303236124087</v>
      </c>
      <c r="CC647" t="s">
        <v>303</v>
      </c>
      <c r="CD647" s="5" t="s">
        <v>307</v>
      </c>
      <c r="CE647" t="s">
        <v>86</v>
      </c>
      <c r="CF647" s="3">
        <v>45996</v>
      </c>
      <c r="CI647">
        <v>1</v>
      </c>
      <c r="CJ647">
        <v>1</v>
      </c>
      <c r="CK647">
        <v>41</v>
      </c>
      <c r="CL647" t="s">
        <v>87</v>
      </c>
    </row>
    <row r="648" spans="1:90" x14ac:dyDescent="0.3">
      <c r="A648" t="s">
        <v>72</v>
      </c>
      <c r="B648" t="s">
        <v>73</v>
      </c>
      <c r="C648" t="s">
        <v>74</v>
      </c>
      <c r="E648" t="str">
        <f>"080069678896"</f>
        <v>080069678896</v>
      </c>
      <c r="F648" s="3">
        <v>45995</v>
      </c>
      <c r="G648">
        <v>202609</v>
      </c>
      <c r="H648" t="s">
        <v>75</v>
      </c>
      <c r="I648" t="s">
        <v>76</v>
      </c>
      <c r="J648" t="s">
        <v>77</v>
      </c>
      <c r="K648" t="s">
        <v>78</v>
      </c>
      <c r="L648" t="s">
        <v>465</v>
      </c>
      <c r="M648" t="s">
        <v>466</v>
      </c>
      <c r="N648" t="s">
        <v>731</v>
      </c>
      <c r="O648" t="s">
        <v>89</v>
      </c>
      <c r="P648" t="str">
        <f>"4170071965                    "</f>
        <v xml:space="preserve">4170071965                    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19.940000000000001</v>
      </c>
      <c r="AR648">
        <v>0</v>
      </c>
      <c r="AS648">
        <v>0</v>
      </c>
      <c r="AT648">
        <v>0</v>
      </c>
      <c r="AU648">
        <v>0</v>
      </c>
      <c r="AV648">
        <v>0</v>
      </c>
      <c r="AW648">
        <v>0</v>
      </c>
      <c r="AX648">
        <v>0</v>
      </c>
      <c r="AY648">
        <v>0</v>
      </c>
      <c r="AZ648">
        <v>0</v>
      </c>
      <c r="BA648">
        <v>0</v>
      </c>
      <c r="BB648">
        <v>0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1</v>
      </c>
      <c r="BI648">
        <v>1</v>
      </c>
      <c r="BJ648">
        <v>0.2</v>
      </c>
      <c r="BK648">
        <v>1</v>
      </c>
      <c r="BL648">
        <v>59.42</v>
      </c>
      <c r="BM648">
        <v>8.91</v>
      </c>
      <c r="BN648">
        <v>68.33</v>
      </c>
      <c r="BO648">
        <v>68.33</v>
      </c>
      <c r="BQ648" t="s">
        <v>732</v>
      </c>
      <c r="BR648" t="s">
        <v>82</v>
      </c>
      <c r="BS648" s="3">
        <v>45996</v>
      </c>
      <c r="BT648" s="4">
        <v>0.3611111111111111</v>
      </c>
      <c r="BU648" t="s">
        <v>996</v>
      </c>
      <c r="BV648" t="s">
        <v>84</v>
      </c>
      <c r="BY648">
        <v>1200</v>
      </c>
      <c r="CA648" t="s">
        <v>720</v>
      </c>
      <c r="CC648" t="s">
        <v>466</v>
      </c>
      <c r="CD648">
        <v>1428</v>
      </c>
      <c r="CE648" t="s">
        <v>134</v>
      </c>
      <c r="CF648" s="3">
        <v>45997</v>
      </c>
      <c r="CI648">
        <v>1</v>
      </c>
      <c r="CJ648">
        <v>1</v>
      </c>
      <c r="CK648">
        <v>22</v>
      </c>
      <c r="CL648" t="s">
        <v>87</v>
      </c>
    </row>
    <row r="649" spans="1:90" x14ac:dyDescent="0.3">
      <c r="A649" t="s">
        <v>72</v>
      </c>
      <c r="B649" t="s">
        <v>73</v>
      </c>
      <c r="C649" t="s">
        <v>74</v>
      </c>
      <c r="E649" t="str">
        <f>"080069678924"</f>
        <v>080069678924</v>
      </c>
      <c r="F649" s="3">
        <v>45995</v>
      </c>
      <c r="G649">
        <v>202609</v>
      </c>
      <c r="H649" t="s">
        <v>75</v>
      </c>
      <c r="I649" t="s">
        <v>76</v>
      </c>
      <c r="J649" t="s">
        <v>77</v>
      </c>
      <c r="K649" t="s">
        <v>78</v>
      </c>
      <c r="L649" t="s">
        <v>156</v>
      </c>
      <c r="M649" t="s">
        <v>157</v>
      </c>
      <c r="N649" t="s">
        <v>1347</v>
      </c>
      <c r="O649" t="s">
        <v>89</v>
      </c>
      <c r="P649" t="str">
        <f>"4170071958                    "</f>
        <v xml:space="preserve">4170071958                    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  <c r="AG649">
        <v>0</v>
      </c>
      <c r="AH649">
        <v>0</v>
      </c>
      <c r="AI649">
        <v>0</v>
      </c>
      <c r="AJ649">
        <v>0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25.52</v>
      </c>
      <c r="AR649">
        <v>0</v>
      </c>
      <c r="AS649">
        <v>0</v>
      </c>
      <c r="AT649">
        <v>0</v>
      </c>
      <c r="AU649">
        <v>0</v>
      </c>
      <c r="AV649">
        <v>0</v>
      </c>
      <c r="AW649">
        <v>0</v>
      </c>
      <c r="AX649">
        <v>0</v>
      </c>
      <c r="AY649">
        <v>0</v>
      </c>
      <c r="AZ649">
        <v>0</v>
      </c>
      <c r="BA649">
        <v>0</v>
      </c>
      <c r="BB649">
        <v>0</v>
      </c>
      <c r="BC649">
        <v>0</v>
      </c>
      <c r="BD649">
        <v>0</v>
      </c>
      <c r="BE649">
        <v>0</v>
      </c>
      <c r="BF649">
        <v>0</v>
      </c>
      <c r="BG649">
        <v>0</v>
      </c>
      <c r="BH649">
        <v>1</v>
      </c>
      <c r="BI649">
        <v>2</v>
      </c>
      <c r="BJ649">
        <v>1.1000000000000001</v>
      </c>
      <c r="BK649">
        <v>2</v>
      </c>
      <c r="BL649">
        <v>76.06</v>
      </c>
      <c r="BM649">
        <v>11.41</v>
      </c>
      <c r="BN649">
        <v>87.47</v>
      </c>
      <c r="BO649">
        <v>87.47</v>
      </c>
      <c r="BQ649" t="s">
        <v>1348</v>
      </c>
      <c r="BR649" t="s">
        <v>82</v>
      </c>
      <c r="BS649" s="3">
        <v>45996</v>
      </c>
      <c r="BT649" s="4">
        <v>0.55277777777777781</v>
      </c>
      <c r="BU649" t="s">
        <v>1349</v>
      </c>
      <c r="BV649" t="s">
        <v>87</v>
      </c>
      <c r="BW649" t="s">
        <v>153</v>
      </c>
      <c r="BX649" t="s">
        <v>1350</v>
      </c>
      <c r="BY649">
        <v>5510</v>
      </c>
      <c r="CA649" t="s">
        <v>992</v>
      </c>
      <c r="CC649" t="s">
        <v>157</v>
      </c>
      <c r="CD649">
        <v>7460</v>
      </c>
      <c r="CE649" t="s">
        <v>86</v>
      </c>
      <c r="CI649">
        <v>1</v>
      </c>
      <c r="CJ649">
        <v>1</v>
      </c>
      <c r="CK649">
        <v>21</v>
      </c>
      <c r="CL649" t="s">
        <v>87</v>
      </c>
    </row>
    <row r="650" spans="1:90" x14ac:dyDescent="0.3">
      <c r="A650" t="s">
        <v>72</v>
      </c>
      <c r="B650" t="s">
        <v>73</v>
      </c>
      <c r="C650" t="s">
        <v>74</v>
      </c>
      <c r="E650" t="str">
        <f>"080069678934"</f>
        <v>080069678934</v>
      </c>
      <c r="F650" s="3">
        <v>45995</v>
      </c>
      <c r="G650">
        <v>202609</v>
      </c>
      <c r="H650" t="s">
        <v>75</v>
      </c>
      <c r="I650" t="s">
        <v>76</v>
      </c>
      <c r="J650" t="s">
        <v>77</v>
      </c>
      <c r="K650" t="s">
        <v>78</v>
      </c>
      <c r="L650" t="s">
        <v>94</v>
      </c>
      <c r="M650" t="s">
        <v>95</v>
      </c>
      <c r="N650" t="s">
        <v>794</v>
      </c>
      <c r="O650" t="s">
        <v>89</v>
      </c>
      <c r="P650" t="str">
        <f>"4170071869                    "</f>
        <v xml:space="preserve">4170071869                    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25.52</v>
      </c>
      <c r="AR650">
        <v>0</v>
      </c>
      <c r="AS650">
        <v>0</v>
      </c>
      <c r="AT650">
        <v>0</v>
      </c>
      <c r="AU650">
        <v>0</v>
      </c>
      <c r="AV650">
        <v>0</v>
      </c>
      <c r="AW650">
        <v>0</v>
      </c>
      <c r="AX650">
        <v>0</v>
      </c>
      <c r="AY650">
        <v>0</v>
      </c>
      <c r="AZ650">
        <v>0</v>
      </c>
      <c r="BA650">
        <v>0</v>
      </c>
      <c r="BB650">
        <v>0</v>
      </c>
      <c r="BC650">
        <v>0</v>
      </c>
      <c r="BD650">
        <v>0</v>
      </c>
      <c r="BE650">
        <v>0</v>
      </c>
      <c r="BF650">
        <v>0</v>
      </c>
      <c r="BG650">
        <v>0</v>
      </c>
      <c r="BH650">
        <v>1</v>
      </c>
      <c r="BI650">
        <v>1</v>
      </c>
      <c r="BJ650">
        <v>0.2</v>
      </c>
      <c r="BK650">
        <v>1</v>
      </c>
      <c r="BL650">
        <v>76.06</v>
      </c>
      <c r="BM650">
        <v>11.41</v>
      </c>
      <c r="BN650">
        <v>87.47</v>
      </c>
      <c r="BO650">
        <v>87.47</v>
      </c>
      <c r="BQ650" t="s">
        <v>795</v>
      </c>
      <c r="BR650" t="s">
        <v>82</v>
      </c>
      <c r="BS650" s="3">
        <v>45996</v>
      </c>
      <c r="BT650" s="4">
        <v>0.43125000000000002</v>
      </c>
      <c r="BU650" t="s">
        <v>796</v>
      </c>
      <c r="BV650" t="s">
        <v>84</v>
      </c>
      <c r="BY650">
        <v>1200</v>
      </c>
      <c r="CA650" t="s">
        <v>99</v>
      </c>
      <c r="CC650" t="s">
        <v>95</v>
      </c>
      <c r="CD650">
        <v>3600</v>
      </c>
      <c r="CE650" t="s">
        <v>134</v>
      </c>
      <c r="CF650" s="3">
        <v>45996</v>
      </c>
      <c r="CI650">
        <v>1</v>
      </c>
      <c r="CJ650">
        <v>1</v>
      </c>
      <c r="CK650">
        <v>21</v>
      </c>
      <c r="CL650" t="s">
        <v>87</v>
      </c>
    </row>
    <row r="651" spans="1:90" x14ac:dyDescent="0.3">
      <c r="A651" t="s">
        <v>72</v>
      </c>
      <c r="B651" t="s">
        <v>73</v>
      </c>
      <c r="C651" t="s">
        <v>74</v>
      </c>
      <c r="E651" t="str">
        <f>"080069678990"</f>
        <v>080069678990</v>
      </c>
      <c r="F651" s="3">
        <v>45995</v>
      </c>
      <c r="G651">
        <v>202609</v>
      </c>
      <c r="H651" t="s">
        <v>75</v>
      </c>
      <c r="I651" t="s">
        <v>76</v>
      </c>
      <c r="J651" t="s">
        <v>77</v>
      </c>
      <c r="K651" t="s">
        <v>78</v>
      </c>
      <c r="L651" t="s">
        <v>128</v>
      </c>
      <c r="M651" t="s">
        <v>129</v>
      </c>
      <c r="N651" t="s">
        <v>1263</v>
      </c>
      <c r="O651" t="s">
        <v>89</v>
      </c>
      <c r="P651" t="str">
        <f>"4170071830                    "</f>
        <v xml:space="preserve">4170071830                    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  <c r="AG651">
        <v>0</v>
      </c>
      <c r="AH651">
        <v>0</v>
      </c>
      <c r="AI651">
        <v>0</v>
      </c>
      <c r="AJ651">
        <v>0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127.57</v>
      </c>
      <c r="AR651">
        <v>0</v>
      </c>
      <c r="AS651">
        <v>0</v>
      </c>
      <c r="AT651">
        <v>0</v>
      </c>
      <c r="AU651">
        <v>0</v>
      </c>
      <c r="AV651">
        <v>0</v>
      </c>
      <c r="AW651">
        <v>0</v>
      </c>
      <c r="AX651">
        <v>0</v>
      </c>
      <c r="AY651">
        <v>0</v>
      </c>
      <c r="AZ651">
        <v>0</v>
      </c>
      <c r="BA651">
        <v>0</v>
      </c>
      <c r="BB651">
        <v>0</v>
      </c>
      <c r="BC651">
        <v>0</v>
      </c>
      <c r="BD651">
        <v>0</v>
      </c>
      <c r="BE651">
        <v>0</v>
      </c>
      <c r="BF651">
        <v>0</v>
      </c>
      <c r="BG651">
        <v>0</v>
      </c>
      <c r="BH651">
        <v>1</v>
      </c>
      <c r="BI651">
        <v>10</v>
      </c>
      <c r="BJ651">
        <v>3.9</v>
      </c>
      <c r="BK651">
        <v>10</v>
      </c>
      <c r="BL651">
        <v>380.19</v>
      </c>
      <c r="BM651">
        <v>57.03</v>
      </c>
      <c r="BN651">
        <v>437.22</v>
      </c>
      <c r="BO651">
        <v>437.22</v>
      </c>
      <c r="BQ651" t="s">
        <v>1264</v>
      </c>
      <c r="BR651" t="s">
        <v>82</v>
      </c>
      <c r="BS651" s="3">
        <v>45996</v>
      </c>
      <c r="BT651" s="4">
        <v>0.44374999999999998</v>
      </c>
      <c r="BU651" t="s">
        <v>1265</v>
      </c>
      <c r="BV651" t="s">
        <v>84</v>
      </c>
      <c r="BY651">
        <v>19440</v>
      </c>
      <c r="CA651" t="s">
        <v>133</v>
      </c>
      <c r="CC651" t="s">
        <v>129</v>
      </c>
      <c r="CD651">
        <v>5201</v>
      </c>
      <c r="CE651" t="s">
        <v>86</v>
      </c>
      <c r="CI651">
        <v>1</v>
      </c>
      <c r="CJ651">
        <v>1</v>
      </c>
      <c r="CK651">
        <v>21</v>
      </c>
      <c r="CL651" t="s">
        <v>87</v>
      </c>
    </row>
    <row r="652" spans="1:90" x14ac:dyDescent="0.3">
      <c r="A652" t="s">
        <v>72</v>
      </c>
      <c r="B652" t="s">
        <v>73</v>
      </c>
      <c r="C652" t="s">
        <v>74</v>
      </c>
      <c r="E652" t="str">
        <f>"080069678992"</f>
        <v>080069678992</v>
      </c>
      <c r="F652" s="3">
        <v>45995</v>
      </c>
      <c r="G652">
        <v>202609</v>
      </c>
      <c r="H652" t="s">
        <v>75</v>
      </c>
      <c r="I652" t="s">
        <v>76</v>
      </c>
      <c r="J652" t="s">
        <v>77</v>
      </c>
      <c r="K652" t="s">
        <v>78</v>
      </c>
      <c r="L652" t="s">
        <v>1351</v>
      </c>
      <c r="M652" t="s">
        <v>1352</v>
      </c>
      <c r="N652" t="s">
        <v>1353</v>
      </c>
      <c r="O652" t="s">
        <v>89</v>
      </c>
      <c r="P652" t="str">
        <f>"4170071911                    "</f>
        <v xml:space="preserve">4170071911                    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19.940000000000001</v>
      </c>
      <c r="AR652">
        <v>0</v>
      </c>
      <c r="AS652">
        <v>0</v>
      </c>
      <c r="AT652">
        <v>0</v>
      </c>
      <c r="AU652">
        <v>0</v>
      </c>
      <c r="AV652">
        <v>0</v>
      </c>
      <c r="AW652">
        <v>0</v>
      </c>
      <c r="AX652">
        <v>0</v>
      </c>
      <c r="AY652">
        <v>0</v>
      </c>
      <c r="AZ652">
        <v>0</v>
      </c>
      <c r="BA652">
        <v>0</v>
      </c>
      <c r="BB652">
        <v>0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1</v>
      </c>
      <c r="BI652">
        <v>1</v>
      </c>
      <c r="BJ652">
        <v>0.2</v>
      </c>
      <c r="BK652">
        <v>1</v>
      </c>
      <c r="BL652">
        <v>59.42</v>
      </c>
      <c r="BM652">
        <v>8.91</v>
      </c>
      <c r="BN652">
        <v>68.33</v>
      </c>
      <c r="BO652">
        <v>68.33</v>
      </c>
      <c r="BQ652" t="s">
        <v>1354</v>
      </c>
      <c r="BR652" t="s">
        <v>82</v>
      </c>
      <c r="BS652" s="3">
        <v>45996</v>
      </c>
      <c r="BT652" s="4">
        <v>0.55902777777777779</v>
      </c>
      <c r="BU652" t="s">
        <v>1355</v>
      </c>
      <c r="BV652" t="s">
        <v>87</v>
      </c>
      <c r="BW652" t="s">
        <v>186</v>
      </c>
      <c r="BX652" t="s">
        <v>938</v>
      </c>
      <c r="BY652">
        <v>1200</v>
      </c>
      <c r="CA652" t="s">
        <v>1356</v>
      </c>
      <c r="CC652" t="s">
        <v>1352</v>
      </c>
      <c r="CD652">
        <v>2163</v>
      </c>
      <c r="CE652" t="s">
        <v>134</v>
      </c>
      <c r="CF652" s="3">
        <v>45997</v>
      </c>
      <c r="CI652">
        <v>1</v>
      </c>
      <c r="CJ652">
        <v>1</v>
      </c>
      <c r="CK652">
        <v>22</v>
      </c>
      <c r="CL652" t="s">
        <v>87</v>
      </c>
    </row>
    <row r="653" spans="1:90" x14ac:dyDescent="0.3">
      <c r="A653" t="s">
        <v>72</v>
      </c>
      <c r="B653" t="s">
        <v>73</v>
      </c>
      <c r="C653" t="s">
        <v>74</v>
      </c>
      <c r="E653" t="str">
        <f>"080069679040"</f>
        <v>080069679040</v>
      </c>
      <c r="F653" s="3">
        <v>45995</v>
      </c>
      <c r="G653">
        <v>202609</v>
      </c>
      <c r="H653" t="s">
        <v>75</v>
      </c>
      <c r="I653" t="s">
        <v>76</v>
      </c>
      <c r="J653" t="s">
        <v>77</v>
      </c>
      <c r="K653" t="s">
        <v>78</v>
      </c>
      <c r="L653" t="s">
        <v>176</v>
      </c>
      <c r="M653" t="s">
        <v>177</v>
      </c>
      <c r="N653" t="s">
        <v>178</v>
      </c>
      <c r="O653" t="s">
        <v>340</v>
      </c>
      <c r="P653" t="str">
        <f>"4170071963                    "</f>
        <v xml:space="preserve">4170071963                    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19.940000000000001</v>
      </c>
      <c r="AR653">
        <v>0</v>
      </c>
      <c r="AS653">
        <v>0</v>
      </c>
      <c r="AT653">
        <v>0</v>
      </c>
      <c r="AU653">
        <v>0</v>
      </c>
      <c r="AV653">
        <v>0</v>
      </c>
      <c r="AW653">
        <v>0</v>
      </c>
      <c r="AX653">
        <v>0</v>
      </c>
      <c r="AY653">
        <v>0</v>
      </c>
      <c r="AZ653">
        <v>0</v>
      </c>
      <c r="BA653">
        <v>0</v>
      </c>
      <c r="BB653">
        <v>0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1</v>
      </c>
      <c r="BI653">
        <v>3.6</v>
      </c>
      <c r="BJ653">
        <v>6.9</v>
      </c>
      <c r="BK653">
        <v>7</v>
      </c>
      <c r="BL653">
        <v>59.43</v>
      </c>
      <c r="BM653">
        <v>8.91</v>
      </c>
      <c r="BN653">
        <v>68.34</v>
      </c>
      <c r="BO653">
        <v>68.34</v>
      </c>
      <c r="BQ653" t="s">
        <v>179</v>
      </c>
      <c r="BR653" t="s">
        <v>82</v>
      </c>
      <c r="BS653" s="3">
        <v>45996</v>
      </c>
      <c r="BT653" s="4">
        <v>0.38194444444444442</v>
      </c>
      <c r="BU653" t="s">
        <v>180</v>
      </c>
      <c r="BV653" t="s">
        <v>84</v>
      </c>
      <c r="BY653">
        <v>34610.400000000001</v>
      </c>
      <c r="CA653" t="s">
        <v>182</v>
      </c>
      <c r="CC653" t="s">
        <v>177</v>
      </c>
      <c r="CD653">
        <v>2094</v>
      </c>
      <c r="CE653" t="s">
        <v>93</v>
      </c>
      <c r="CF653" s="3">
        <v>45996</v>
      </c>
      <c r="CI653">
        <v>1</v>
      </c>
      <c r="CJ653">
        <v>1</v>
      </c>
      <c r="CK653">
        <v>32</v>
      </c>
      <c r="CL653" t="s">
        <v>87</v>
      </c>
    </row>
    <row r="654" spans="1:90" x14ac:dyDescent="0.3">
      <c r="A654" t="s">
        <v>72</v>
      </c>
      <c r="B654" t="s">
        <v>73</v>
      </c>
      <c r="C654" t="s">
        <v>74</v>
      </c>
      <c r="E654" t="str">
        <f>"080069679036"</f>
        <v>080069679036</v>
      </c>
      <c r="F654" s="3">
        <v>45995</v>
      </c>
      <c r="G654">
        <v>202609</v>
      </c>
      <c r="H654" t="s">
        <v>75</v>
      </c>
      <c r="I654" t="s">
        <v>76</v>
      </c>
      <c r="J654" t="s">
        <v>77</v>
      </c>
      <c r="K654" t="s">
        <v>78</v>
      </c>
      <c r="L654" t="s">
        <v>526</v>
      </c>
      <c r="M654" t="s">
        <v>527</v>
      </c>
      <c r="N654" t="s">
        <v>1110</v>
      </c>
      <c r="O654" t="s">
        <v>89</v>
      </c>
      <c r="P654" t="str">
        <f>"4170071967                    "</f>
        <v xml:space="preserve">4170071967                    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  <c r="AH654">
        <v>0</v>
      </c>
      <c r="AI654">
        <v>0</v>
      </c>
      <c r="AJ654">
        <v>0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49.45</v>
      </c>
      <c r="AR654">
        <v>0</v>
      </c>
      <c r="AS654">
        <v>0</v>
      </c>
      <c r="AT654">
        <v>0</v>
      </c>
      <c r="AU654">
        <v>0</v>
      </c>
      <c r="AV654">
        <v>0</v>
      </c>
      <c r="AW654">
        <v>17.41</v>
      </c>
      <c r="AX654">
        <v>0</v>
      </c>
      <c r="AY654">
        <v>0</v>
      </c>
      <c r="AZ654">
        <v>0</v>
      </c>
      <c r="BA654">
        <v>0</v>
      </c>
      <c r="BB654">
        <v>0</v>
      </c>
      <c r="BC654">
        <v>0</v>
      </c>
      <c r="BD654">
        <v>0</v>
      </c>
      <c r="BE654">
        <v>0</v>
      </c>
      <c r="BF654">
        <v>0</v>
      </c>
      <c r="BG654">
        <v>0</v>
      </c>
      <c r="BH654">
        <v>1</v>
      </c>
      <c r="BI654">
        <v>1</v>
      </c>
      <c r="BJ654">
        <v>0.2</v>
      </c>
      <c r="BK654">
        <v>1</v>
      </c>
      <c r="BL654">
        <v>164.79</v>
      </c>
      <c r="BM654">
        <v>24.72</v>
      </c>
      <c r="BN654">
        <v>189.51</v>
      </c>
      <c r="BO654">
        <v>189.51</v>
      </c>
      <c r="BQ654" t="s">
        <v>1111</v>
      </c>
      <c r="BR654" t="s">
        <v>82</v>
      </c>
      <c r="BS654" s="3">
        <v>45996</v>
      </c>
      <c r="BT654" s="4">
        <v>0.52083333333333337</v>
      </c>
      <c r="BU654" t="s">
        <v>1255</v>
      </c>
      <c r="BV654" t="s">
        <v>84</v>
      </c>
      <c r="BY654">
        <v>1200</v>
      </c>
      <c r="BZ654" t="s">
        <v>30</v>
      </c>
      <c r="CA654" t="s">
        <v>1357</v>
      </c>
      <c r="CC654" t="s">
        <v>527</v>
      </c>
      <c r="CD654" s="5" t="s">
        <v>1113</v>
      </c>
      <c r="CE654" t="s">
        <v>134</v>
      </c>
      <c r="CI654">
        <v>1</v>
      </c>
      <c r="CJ654">
        <v>1</v>
      </c>
      <c r="CK654">
        <v>23</v>
      </c>
      <c r="CL654" t="s">
        <v>87</v>
      </c>
    </row>
    <row r="655" spans="1:90" x14ac:dyDescent="0.3">
      <c r="A655" t="s">
        <v>72</v>
      </c>
      <c r="B655" t="s">
        <v>73</v>
      </c>
      <c r="C655" t="s">
        <v>74</v>
      </c>
      <c r="E655" t="str">
        <f>"080069679100"</f>
        <v>080069679100</v>
      </c>
      <c r="F655" s="3">
        <v>45995</v>
      </c>
      <c r="G655">
        <v>202609</v>
      </c>
      <c r="H655" t="s">
        <v>75</v>
      </c>
      <c r="I655" t="s">
        <v>76</v>
      </c>
      <c r="J655" t="s">
        <v>77</v>
      </c>
      <c r="K655" t="s">
        <v>78</v>
      </c>
      <c r="L655" t="s">
        <v>202</v>
      </c>
      <c r="M655" t="s">
        <v>203</v>
      </c>
      <c r="N655" t="s">
        <v>204</v>
      </c>
      <c r="O655" t="s">
        <v>89</v>
      </c>
      <c r="P655" t="str">
        <f>"4170071810                    "</f>
        <v xml:space="preserve">4170071810                    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0</v>
      </c>
      <c r="AJ655">
        <v>0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116.45</v>
      </c>
      <c r="AR655">
        <v>0</v>
      </c>
      <c r="AS655">
        <v>0</v>
      </c>
      <c r="AT655">
        <v>0</v>
      </c>
      <c r="AU655">
        <v>0</v>
      </c>
      <c r="AV655">
        <v>0</v>
      </c>
      <c r="AW655">
        <v>0</v>
      </c>
      <c r="AX655">
        <v>0</v>
      </c>
      <c r="AY655">
        <v>0</v>
      </c>
      <c r="AZ655">
        <v>0</v>
      </c>
      <c r="BA655">
        <v>0</v>
      </c>
      <c r="BB655">
        <v>0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1</v>
      </c>
      <c r="BI655">
        <v>2.2000000000000002</v>
      </c>
      <c r="BJ655">
        <v>4.5999999999999996</v>
      </c>
      <c r="BK655">
        <v>5</v>
      </c>
      <c r="BL655">
        <v>347.04</v>
      </c>
      <c r="BM655">
        <v>52.06</v>
      </c>
      <c r="BN655">
        <v>399.1</v>
      </c>
      <c r="BO655">
        <v>399.1</v>
      </c>
      <c r="BQ655" t="s">
        <v>205</v>
      </c>
      <c r="BR655" t="s">
        <v>82</v>
      </c>
      <c r="BS655" s="3">
        <v>45996</v>
      </c>
      <c r="BT655" s="4">
        <v>0.40555555555555556</v>
      </c>
      <c r="BU655" t="s">
        <v>1193</v>
      </c>
      <c r="BV655" t="s">
        <v>84</v>
      </c>
      <c r="BY655">
        <v>22797.599999999999</v>
      </c>
      <c r="CA655">
        <v>7908245451080</v>
      </c>
      <c r="CC655" t="s">
        <v>203</v>
      </c>
      <c r="CD655">
        <v>2531</v>
      </c>
      <c r="CE655" t="s">
        <v>86</v>
      </c>
      <c r="CI655">
        <v>1</v>
      </c>
      <c r="CJ655">
        <v>1</v>
      </c>
      <c r="CK655">
        <v>23</v>
      </c>
      <c r="CL655" t="s">
        <v>87</v>
      </c>
    </row>
    <row r="656" spans="1:90" x14ac:dyDescent="0.3">
      <c r="A656" t="s">
        <v>72</v>
      </c>
      <c r="B656" t="s">
        <v>73</v>
      </c>
      <c r="C656" t="s">
        <v>74</v>
      </c>
      <c r="E656" t="str">
        <f>"080069679099"</f>
        <v>080069679099</v>
      </c>
      <c r="F656" s="3">
        <v>45995</v>
      </c>
      <c r="G656">
        <v>202609</v>
      </c>
      <c r="H656" t="s">
        <v>75</v>
      </c>
      <c r="I656" t="s">
        <v>76</v>
      </c>
      <c r="J656" t="s">
        <v>77</v>
      </c>
      <c r="K656" t="s">
        <v>78</v>
      </c>
      <c r="L656" t="s">
        <v>109</v>
      </c>
      <c r="M656" t="s">
        <v>110</v>
      </c>
      <c r="N656" t="s">
        <v>1358</v>
      </c>
      <c r="O656" t="s">
        <v>89</v>
      </c>
      <c r="P656" t="str">
        <f>"4170071959                    "</f>
        <v xml:space="preserve">4170071959                    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0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35.9</v>
      </c>
      <c r="AR656">
        <v>0</v>
      </c>
      <c r="AS656">
        <v>0</v>
      </c>
      <c r="AT656">
        <v>0</v>
      </c>
      <c r="AU656">
        <v>0</v>
      </c>
      <c r="AV656">
        <v>0</v>
      </c>
      <c r="AW656">
        <v>17.41</v>
      </c>
      <c r="AX656">
        <v>0</v>
      </c>
      <c r="AY656">
        <v>0</v>
      </c>
      <c r="AZ656">
        <v>0</v>
      </c>
      <c r="BA656">
        <v>0</v>
      </c>
      <c r="BB656">
        <v>0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1</v>
      </c>
      <c r="BI656">
        <v>1</v>
      </c>
      <c r="BJ656">
        <v>0.2</v>
      </c>
      <c r="BK656">
        <v>1</v>
      </c>
      <c r="BL656">
        <v>124.39</v>
      </c>
      <c r="BM656">
        <v>18.66</v>
      </c>
      <c r="BN656">
        <v>143.05000000000001</v>
      </c>
      <c r="BO656">
        <v>143.05000000000001</v>
      </c>
      <c r="BQ656" t="s">
        <v>1359</v>
      </c>
      <c r="BR656" t="s">
        <v>82</v>
      </c>
      <c r="BS656" s="3">
        <v>45996</v>
      </c>
      <c r="BT656" s="4">
        <v>0.60138888888888886</v>
      </c>
      <c r="BU656" t="s">
        <v>1360</v>
      </c>
      <c r="BV656" t="s">
        <v>87</v>
      </c>
      <c r="BY656">
        <v>1200</v>
      </c>
      <c r="BZ656" t="s">
        <v>30</v>
      </c>
      <c r="CC656" t="s">
        <v>110</v>
      </c>
      <c r="CD656">
        <v>1723</v>
      </c>
      <c r="CE656" t="s">
        <v>134</v>
      </c>
      <c r="CI656">
        <v>1</v>
      </c>
      <c r="CJ656">
        <v>1</v>
      </c>
      <c r="CK656">
        <v>24</v>
      </c>
      <c r="CL656" t="s">
        <v>87</v>
      </c>
    </row>
    <row r="657" spans="1:90" x14ac:dyDescent="0.3">
      <c r="A657" t="s">
        <v>72</v>
      </c>
      <c r="B657" t="s">
        <v>73</v>
      </c>
      <c r="C657" t="s">
        <v>74</v>
      </c>
      <c r="E657" t="str">
        <f>"080069679149"</f>
        <v>080069679149</v>
      </c>
      <c r="F657" s="3">
        <v>45995</v>
      </c>
      <c r="G657">
        <v>202609</v>
      </c>
      <c r="H657" t="s">
        <v>75</v>
      </c>
      <c r="I657" t="s">
        <v>76</v>
      </c>
      <c r="J657" t="s">
        <v>77</v>
      </c>
      <c r="K657" t="s">
        <v>78</v>
      </c>
      <c r="L657" t="s">
        <v>302</v>
      </c>
      <c r="M657" t="s">
        <v>303</v>
      </c>
      <c r="N657" t="s">
        <v>1361</v>
      </c>
      <c r="O657" t="s">
        <v>89</v>
      </c>
      <c r="P657" t="str">
        <f>"4170071928                    "</f>
        <v xml:space="preserve">4170071928                    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0</v>
      </c>
      <c r="AG657">
        <v>0</v>
      </c>
      <c r="AH657">
        <v>0</v>
      </c>
      <c r="AI657">
        <v>0</v>
      </c>
      <c r="AJ657">
        <v>0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25.52</v>
      </c>
      <c r="AR657">
        <v>0</v>
      </c>
      <c r="AS657">
        <v>0</v>
      </c>
      <c r="AT657">
        <v>0</v>
      </c>
      <c r="AU657">
        <v>0</v>
      </c>
      <c r="AV657">
        <v>0</v>
      </c>
      <c r="AW657">
        <v>0</v>
      </c>
      <c r="AX657">
        <v>0</v>
      </c>
      <c r="AY657">
        <v>0</v>
      </c>
      <c r="AZ657">
        <v>0</v>
      </c>
      <c r="BA657">
        <v>0</v>
      </c>
      <c r="BB657">
        <v>0</v>
      </c>
      <c r="BC657">
        <v>0</v>
      </c>
      <c r="BD657">
        <v>0</v>
      </c>
      <c r="BE657">
        <v>0</v>
      </c>
      <c r="BF657">
        <v>0</v>
      </c>
      <c r="BG657">
        <v>0</v>
      </c>
      <c r="BH657">
        <v>1</v>
      </c>
      <c r="BI657">
        <v>1</v>
      </c>
      <c r="BJ657">
        <v>0.2</v>
      </c>
      <c r="BK657">
        <v>1</v>
      </c>
      <c r="BL657">
        <v>76.06</v>
      </c>
      <c r="BM657">
        <v>11.41</v>
      </c>
      <c r="BN657">
        <v>87.47</v>
      </c>
      <c r="BO657">
        <v>87.47</v>
      </c>
      <c r="BQ657" t="s">
        <v>1362</v>
      </c>
      <c r="BR657" t="s">
        <v>82</v>
      </c>
      <c r="BS657" s="3">
        <v>45996</v>
      </c>
      <c r="BT657" s="4">
        <v>0.42986111111111114</v>
      </c>
      <c r="BU657" t="s">
        <v>306</v>
      </c>
      <c r="BV657" t="s">
        <v>84</v>
      </c>
      <c r="BY657">
        <v>1200</v>
      </c>
      <c r="CA657" s="5" t="s">
        <v>1363</v>
      </c>
      <c r="CC657" t="s">
        <v>303</v>
      </c>
      <c r="CD657" s="5" t="s">
        <v>1364</v>
      </c>
      <c r="CE657" t="s">
        <v>134</v>
      </c>
      <c r="CF657" s="3">
        <v>45996</v>
      </c>
      <c r="CI657">
        <v>1</v>
      </c>
      <c r="CJ657">
        <v>1</v>
      </c>
      <c r="CK657">
        <v>21</v>
      </c>
      <c r="CL657" t="s">
        <v>87</v>
      </c>
    </row>
    <row r="658" spans="1:90" x14ac:dyDescent="0.3">
      <c r="A658" t="s">
        <v>72</v>
      </c>
      <c r="B658" t="s">
        <v>73</v>
      </c>
      <c r="C658" t="s">
        <v>74</v>
      </c>
      <c r="E658" t="str">
        <f>"080069679159"</f>
        <v>080069679159</v>
      </c>
      <c r="F658" s="3">
        <v>45995</v>
      </c>
      <c r="G658">
        <v>202609</v>
      </c>
      <c r="H658" t="s">
        <v>75</v>
      </c>
      <c r="I658" t="s">
        <v>76</v>
      </c>
      <c r="J658" t="s">
        <v>77</v>
      </c>
      <c r="K658" t="s">
        <v>78</v>
      </c>
      <c r="L658" t="s">
        <v>100</v>
      </c>
      <c r="M658" t="s">
        <v>101</v>
      </c>
      <c r="N658" t="s">
        <v>1333</v>
      </c>
      <c r="O658" t="s">
        <v>89</v>
      </c>
      <c r="P658" t="str">
        <f>"4170071953                    "</f>
        <v xml:space="preserve">4170071953                    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0</v>
      </c>
      <c r="AG658">
        <v>0</v>
      </c>
      <c r="AH658">
        <v>0</v>
      </c>
      <c r="AI658">
        <v>0</v>
      </c>
      <c r="AJ658">
        <v>0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25.52</v>
      </c>
      <c r="AR658">
        <v>0</v>
      </c>
      <c r="AS658">
        <v>0</v>
      </c>
      <c r="AT658">
        <v>0</v>
      </c>
      <c r="AU658">
        <v>0</v>
      </c>
      <c r="AV658">
        <v>0</v>
      </c>
      <c r="AW658">
        <v>0</v>
      </c>
      <c r="AX658">
        <v>0</v>
      </c>
      <c r="AY658">
        <v>0</v>
      </c>
      <c r="AZ658">
        <v>0</v>
      </c>
      <c r="BA658">
        <v>0</v>
      </c>
      <c r="BB658">
        <v>0</v>
      </c>
      <c r="BC658">
        <v>0</v>
      </c>
      <c r="BD658">
        <v>0</v>
      </c>
      <c r="BE658">
        <v>0</v>
      </c>
      <c r="BF658">
        <v>0</v>
      </c>
      <c r="BG658">
        <v>0</v>
      </c>
      <c r="BH658">
        <v>1</v>
      </c>
      <c r="BI658">
        <v>1</v>
      </c>
      <c r="BJ658">
        <v>0.2</v>
      </c>
      <c r="BK658">
        <v>1</v>
      </c>
      <c r="BL658">
        <v>76.06</v>
      </c>
      <c r="BM658">
        <v>11.41</v>
      </c>
      <c r="BN658">
        <v>87.47</v>
      </c>
      <c r="BO658">
        <v>87.47</v>
      </c>
      <c r="BQ658" t="s">
        <v>1334</v>
      </c>
      <c r="BR658" t="s">
        <v>82</v>
      </c>
      <c r="BS658" s="3">
        <v>45996</v>
      </c>
      <c r="BT658" s="4">
        <v>0.40833333333333333</v>
      </c>
      <c r="BU658" t="s">
        <v>322</v>
      </c>
      <c r="BV658" t="s">
        <v>84</v>
      </c>
      <c r="BY658">
        <v>1200</v>
      </c>
      <c r="CA658" t="s">
        <v>323</v>
      </c>
      <c r="CC658" t="s">
        <v>101</v>
      </c>
      <c r="CD658">
        <v>4001</v>
      </c>
      <c r="CE658" t="s">
        <v>134</v>
      </c>
      <c r="CF658" s="3">
        <v>45997</v>
      </c>
      <c r="CI658">
        <v>1</v>
      </c>
      <c r="CJ658">
        <v>1</v>
      </c>
      <c r="CK658">
        <v>21</v>
      </c>
      <c r="CL658" t="s">
        <v>87</v>
      </c>
    </row>
    <row r="659" spans="1:90" x14ac:dyDescent="0.3">
      <c r="A659" t="s">
        <v>72</v>
      </c>
      <c r="B659" t="s">
        <v>73</v>
      </c>
      <c r="C659" t="s">
        <v>74</v>
      </c>
      <c r="E659" t="str">
        <f>"080069679192"</f>
        <v>080069679192</v>
      </c>
      <c r="F659" s="3">
        <v>45995</v>
      </c>
      <c r="G659">
        <v>202609</v>
      </c>
      <c r="H659" t="s">
        <v>75</v>
      </c>
      <c r="I659" t="s">
        <v>76</v>
      </c>
      <c r="J659" t="s">
        <v>77</v>
      </c>
      <c r="K659" t="s">
        <v>78</v>
      </c>
      <c r="L659" t="s">
        <v>120</v>
      </c>
      <c r="M659" t="s">
        <v>121</v>
      </c>
      <c r="N659" t="s">
        <v>163</v>
      </c>
      <c r="O659" t="s">
        <v>89</v>
      </c>
      <c r="P659" t="str">
        <f>"4170071865                    "</f>
        <v xml:space="preserve">4170071865                    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0</v>
      </c>
      <c r="AI659">
        <v>0</v>
      </c>
      <c r="AJ659">
        <v>0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25.52</v>
      </c>
      <c r="AR659">
        <v>0</v>
      </c>
      <c r="AS659">
        <v>0</v>
      </c>
      <c r="AT659">
        <v>0</v>
      </c>
      <c r="AU659">
        <v>0</v>
      </c>
      <c r="AV659">
        <v>0</v>
      </c>
      <c r="AW659">
        <v>0</v>
      </c>
      <c r="AX659">
        <v>0</v>
      </c>
      <c r="AY659">
        <v>0</v>
      </c>
      <c r="AZ659">
        <v>0</v>
      </c>
      <c r="BA659">
        <v>0</v>
      </c>
      <c r="BB659">
        <v>0</v>
      </c>
      <c r="BC659">
        <v>0</v>
      </c>
      <c r="BD659">
        <v>0</v>
      </c>
      <c r="BE659">
        <v>0</v>
      </c>
      <c r="BF659">
        <v>0</v>
      </c>
      <c r="BG659">
        <v>0</v>
      </c>
      <c r="BH659">
        <v>1</v>
      </c>
      <c r="BI659">
        <v>1</v>
      </c>
      <c r="BJ659">
        <v>0.2</v>
      </c>
      <c r="BK659">
        <v>1</v>
      </c>
      <c r="BL659">
        <v>76.06</v>
      </c>
      <c r="BM659">
        <v>11.41</v>
      </c>
      <c r="BN659">
        <v>87.47</v>
      </c>
      <c r="BO659">
        <v>87.47</v>
      </c>
      <c r="BQ659" t="s">
        <v>164</v>
      </c>
      <c r="BR659" t="s">
        <v>82</v>
      </c>
      <c r="BS659" s="3">
        <v>45996</v>
      </c>
      <c r="BT659" s="4">
        <v>0.40069444444444446</v>
      </c>
      <c r="BU659" t="s">
        <v>165</v>
      </c>
      <c r="BV659" t="s">
        <v>84</v>
      </c>
      <c r="BY659">
        <v>1200</v>
      </c>
      <c r="CA659" t="s">
        <v>126</v>
      </c>
      <c r="CC659" t="s">
        <v>121</v>
      </c>
      <c r="CD659">
        <v>6230</v>
      </c>
      <c r="CE659" t="s">
        <v>134</v>
      </c>
      <c r="CF659" s="3">
        <v>45996</v>
      </c>
      <c r="CI659">
        <v>1</v>
      </c>
      <c r="CJ659">
        <v>1</v>
      </c>
      <c r="CK659">
        <v>21</v>
      </c>
      <c r="CL659" t="s">
        <v>87</v>
      </c>
    </row>
    <row r="660" spans="1:90" x14ac:dyDescent="0.3">
      <c r="A660" t="s">
        <v>72</v>
      </c>
      <c r="B660" t="s">
        <v>73</v>
      </c>
      <c r="C660" t="s">
        <v>74</v>
      </c>
      <c r="E660" t="str">
        <f>"080069679191"</f>
        <v>080069679191</v>
      </c>
      <c r="F660" s="3">
        <v>45995</v>
      </c>
      <c r="G660">
        <v>202609</v>
      </c>
      <c r="H660" t="s">
        <v>75</v>
      </c>
      <c r="I660" t="s">
        <v>76</v>
      </c>
      <c r="J660" t="s">
        <v>77</v>
      </c>
      <c r="K660" t="s">
        <v>78</v>
      </c>
      <c r="L660" t="s">
        <v>265</v>
      </c>
      <c r="M660" t="s">
        <v>266</v>
      </c>
      <c r="N660" t="s">
        <v>857</v>
      </c>
      <c r="O660" t="s">
        <v>89</v>
      </c>
      <c r="P660" t="str">
        <f>"4170071832                    "</f>
        <v xml:space="preserve">4170071832                    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v>0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19.940000000000001</v>
      </c>
      <c r="AR660">
        <v>0</v>
      </c>
      <c r="AS660">
        <v>0</v>
      </c>
      <c r="AT660">
        <v>0</v>
      </c>
      <c r="AU660">
        <v>0</v>
      </c>
      <c r="AV660">
        <v>0</v>
      </c>
      <c r="AW660">
        <v>0</v>
      </c>
      <c r="AX660">
        <v>0</v>
      </c>
      <c r="AY660">
        <v>0</v>
      </c>
      <c r="AZ660">
        <v>0</v>
      </c>
      <c r="BA660">
        <v>0</v>
      </c>
      <c r="BB660">
        <v>0</v>
      </c>
      <c r="BC660">
        <v>0</v>
      </c>
      <c r="BD660">
        <v>0</v>
      </c>
      <c r="BE660">
        <v>0</v>
      </c>
      <c r="BF660">
        <v>0</v>
      </c>
      <c r="BG660">
        <v>0</v>
      </c>
      <c r="BH660">
        <v>1</v>
      </c>
      <c r="BI660">
        <v>1</v>
      </c>
      <c r="BJ660">
        <v>0.2</v>
      </c>
      <c r="BK660">
        <v>1</v>
      </c>
      <c r="BL660">
        <v>59.42</v>
      </c>
      <c r="BM660">
        <v>8.91</v>
      </c>
      <c r="BN660">
        <v>68.33</v>
      </c>
      <c r="BO660">
        <v>68.33</v>
      </c>
      <c r="BQ660" t="s">
        <v>858</v>
      </c>
      <c r="BR660" t="s">
        <v>82</v>
      </c>
      <c r="BS660" s="3">
        <v>45996</v>
      </c>
      <c r="BT660" s="4">
        <v>0.36805555555555558</v>
      </c>
      <c r="BU660" t="s">
        <v>1236</v>
      </c>
      <c r="BV660" t="s">
        <v>84</v>
      </c>
      <c r="BY660">
        <v>1200</v>
      </c>
      <c r="CA660" t="s">
        <v>417</v>
      </c>
      <c r="CC660" t="s">
        <v>266</v>
      </c>
      <c r="CD660">
        <v>1459</v>
      </c>
      <c r="CE660" t="s">
        <v>134</v>
      </c>
      <c r="CF660" s="3">
        <v>45996</v>
      </c>
      <c r="CI660">
        <v>1</v>
      </c>
      <c r="CJ660">
        <v>1</v>
      </c>
      <c r="CK660">
        <v>22</v>
      </c>
      <c r="CL660" t="s">
        <v>87</v>
      </c>
    </row>
    <row r="661" spans="1:90" x14ac:dyDescent="0.3">
      <c r="A661" t="s">
        <v>72</v>
      </c>
      <c r="B661" t="s">
        <v>73</v>
      </c>
      <c r="C661" t="s">
        <v>74</v>
      </c>
      <c r="E661" t="str">
        <f>"080069679231"</f>
        <v>080069679231</v>
      </c>
      <c r="F661" s="3">
        <v>45995</v>
      </c>
      <c r="G661">
        <v>202609</v>
      </c>
      <c r="H661" t="s">
        <v>75</v>
      </c>
      <c r="I661" t="s">
        <v>76</v>
      </c>
      <c r="J661" t="s">
        <v>77</v>
      </c>
      <c r="K661" t="s">
        <v>78</v>
      </c>
      <c r="L661" t="s">
        <v>302</v>
      </c>
      <c r="M661" t="s">
        <v>303</v>
      </c>
      <c r="N661" t="s">
        <v>760</v>
      </c>
      <c r="O661" t="s">
        <v>89</v>
      </c>
      <c r="P661" t="str">
        <f>"4170071884                    "</f>
        <v xml:space="preserve">4170071884                    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0</v>
      </c>
      <c r="AI661">
        <v>0</v>
      </c>
      <c r="AJ661">
        <v>0</v>
      </c>
      <c r="AK661">
        <v>0</v>
      </c>
      <c r="AL661">
        <v>0</v>
      </c>
      <c r="AM661">
        <v>0</v>
      </c>
      <c r="AN661">
        <v>0</v>
      </c>
      <c r="AO661">
        <v>0</v>
      </c>
      <c r="AP661">
        <v>0</v>
      </c>
      <c r="AQ661">
        <v>25.52</v>
      </c>
      <c r="AR661">
        <v>0</v>
      </c>
      <c r="AS661">
        <v>0</v>
      </c>
      <c r="AT661">
        <v>0</v>
      </c>
      <c r="AU661">
        <v>0</v>
      </c>
      <c r="AV661">
        <v>0</v>
      </c>
      <c r="AW661">
        <v>0</v>
      </c>
      <c r="AX661">
        <v>0</v>
      </c>
      <c r="AY661">
        <v>0</v>
      </c>
      <c r="AZ661">
        <v>0</v>
      </c>
      <c r="BA661">
        <v>0</v>
      </c>
      <c r="BB661">
        <v>0</v>
      </c>
      <c r="BC661">
        <v>0</v>
      </c>
      <c r="BD661">
        <v>0</v>
      </c>
      <c r="BE661">
        <v>0</v>
      </c>
      <c r="BF661">
        <v>0</v>
      </c>
      <c r="BG661">
        <v>0</v>
      </c>
      <c r="BH661">
        <v>1</v>
      </c>
      <c r="BI661">
        <v>1</v>
      </c>
      <c r="BJ661">
        <v>0.2</v>
      </c>
      <c r="BK661">
        <v>1</v>
      </c>
      <c r="BL661">
        <v>76.06</v>
      </c>
      <c r="BM661">
        <v>11.41</v>
      </c>
      <c r="BN661">
        <v>87.47</v>
      </c>
      <c r="BO661">
        <v>87.47</v>
      </c>
      <c r="BQ661" t="s">
        <v>761</v>
      </c>
      <c r="BR661" t="s">
        <v>82</v>
      </c>
      <c r="BS661" s="3">
        <v>45996</v>
      </c>
      <c r="BT661" s="4">
        <v>0.42152777777777778</v>
      </c>
      <c r="BU661" t="s">
        <v>1365</v>
      </c>
      <c r="BV661" t="s">
        <v>84</v>
      </c>
      <c r="BY661">
        <v>1200</v>
      </c>
      <c r="CA661">
        <v>9103185460089</v>
      </c>
      <c r="CC661" t="s">
        <v>303</v>
      </c>
      <c r="CD661" s="5" t="s">
        <v>350</v>
      </c>
      <c r="CE661" t="s">
        <v>134</v>
      </c>
      <c r="CF661" s="3">
        <v>45996</v>
      </c>
      <c r="CI661">
        <v>1</v>
      </c>
      <c r="CJ661">
        <v>1</v>
      </c>
      <c r="CK661">
        <v>21</v>
      </c>
      <c r="CL661" t="s">
        <v>87</v>
      </c>
    </row>
    <row r="662" spans="1:90" x14ac:dyDescent="0.3">
      <c r="A662" t="s">
        <v>72</v>
      </c>
      <c r="B662" t="s">
        <v>73</v>
      </c>
      <c r="C662" t="s">
        <v>74</v>
      </c>
      <c r="E662" t="str">
        <f>"080069679632"</f>
        <v>080069679632</v>
      </c>
      <c r="F662" s="3">
        <v>45995</v>
      </c>
      <c r="G662">
        <v>202609</v>
      </c>
      <c r="H662" t="s">
        <v>75</v>
      </c>
      <c r="I662" t="s">
        <v>76</v>
      </c>
      <c r="J662" t="s">
        <v>77</v>
      </c>
      <c r="K662" t="s">
        <v>78</v>
      </c>
      <c r="L662" t="s">
        <v>218</v>
      </c>
      <c r="M662" t="s">
        <v>219</v>
      </c>
      <c r="N662" t="s">
        <v>220</v>
      </c>
      <c r="O662" t="s">
        <v>89</v>
      </c>
      <c r="P662" t="str">
        <f>"4170071941                    "</f>
        <v xml:space="preserve">4170071941                    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>
        <v>0</v>
      </c>
      <c r="AJ662">
        <v>0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49.45</v>
      </c>
      <c r="AR662">
        <v>0</v>
      </c>
      <c r="AS662">
        <v>0</v>
      </c>
      <c r="AT662">
        <v>0</v>
      </c>
      <c r="AU662">
        <v>0</v>
      </c>
      <c r="AV662">
        <v>0</v>
      </c>
      <c r="AW662">
        <v>0</v>
      </c>
      <c r="AX662">
        <v>0</v>
      </c>
      <c r="AY662">
        <v>0</v>
      </c>
      <c r="AZ662">
        <v>0</v>
      </c>
      <c r="BA662">
        <v>0</v>
      </c>
      <c r="BB662">
        <v>0</v>
      </c>
      <c r="BC662">
        <v>0</v>
      </c>
      <c r="BD662">
        <v>0</v>
      </c>
      <c r="BE662">
        <v>0</v>
      </c>
      <c r="BF662">
        <v>0</v>
      </c>
      <c r="BG662">
        <v>0</v>
      </c>
      <c r="BH662">
        <v>1</v>
      </c>
      <c r="BI662">
        <v>1</v>
      </c>
      <c r="BJ662">
        <v>0.2</v>
      </c>
      <c r="BK662">
        <v>1</v>
      </c>
      <c r="BL662">
        <v>147.38</v>
      </c>
      <c r="BM662">
        <v>22.11</v>
      </c>
      <c r="BN662">
        <v>169.49</v>
      </c>
      <c r="BO662">
        <v>169.49</v>
      </c>
      <c r="BQ662" t="s">
        <v>221</v>
      </c>
      <c r="BR662" t="s">
        <v>82</v>
      </c>
      <c r="BS662" s="3">
        <v>45996</v>
      </c>
      <c r="BT662" s="4">
        <v>0.31597222222222221</v>
      </c>
      <c r="BU662" t="s">
        <v>1268</v>
      </c>
      <c r="BV662" t="s">
        <v>84</v>
      </c>
      <c r="BY662">
        <v>1200</v>
      </c>
      <c r="CC662" t="s">
        <v>219</v>
      </c>
      <c r="CD662">
        <v>2740</v>
      </c>
      <c r="CE662" t="s">
        <v>134</v>
      </c>
      <c r="CI662">
        <v>1</v>
      </c>
      <c r="CJ662">
        <v>1</v>
      </c>
      <c r="CK662">
        <v>23</v>
      </c>
      <c r="CL662" t="s">
        <v>87</v>
      </c>
    </row>
    <row r="663" spans="1:90" x14ac:dyDescent="0.3">
      <c r="A663" t="s">
        <v>72</v>
      </c>
      <c r="B663" t="s">
        <v>73</v>
      </c>
      <c r="C663" t="s">
        <v>74</v>
      </c>
      <c r="E663" t="str">
        <f>"080069679644"</f>
        <v>080069679644</v>
      </c>
      <c r="F663" s="3">
        <v>45995</v>
      </c>
      <c r="G663">
        <v>202609</v>
      </c>
      <c r="H663" t="s">
        <v>75</v>
      </c>
      <c r="I663" t="s">
        <v>76</v>
      </c>
      <c r="J663" t="s">
        <v>77</v>
      </c>
      <c r="K663" t="s">
        <v>78</v>
      </c>
      <c r="L663" t="s">
        <v>302</v>
      </c>
      <c r="M663" t="s">
        <v>303</v>
      </c>
      <c r="N663" t="s">
        <v>1366</v>
      </c>
      <c r="O663" t="s">
        <v>80</v>
      </c>
      <c r="P663" t="str">
        <f>"4170071935                    "</f>
        <v xml:space="preserve">4170071935                    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  <c r="AH663">
        <v>0</v>
      </c>
      <c r="AI663">
        <v>0</v>
      </c>
      <c r="AJ663">
        <v>0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49.36</v>
      </c>
      <c r="AR663">
        <v>0</v>
      </c>
      <c r="AS663">
        <v>0</v>
      </c>
      <c r="AT663">
        <v>0</v>
      </c>
      <c r="AU663">
        <v>0</v>
      </c>
      <c r="AV663">
        <v>0</v>
      </c>
      <c r="AW663">
        <v>0</v>
      </c>
      <c r="AX663">
        <v>0</v>
      </c>
      <c r="AY663">
        <v>0</v>
      </c>
      <c r="AZ663">
        <v>0</v>
      </c>
      <c r="BA663">
        <v>0</v>
      </c>
      <c r="BB663">
        <v>0</v>
      </c>
      <c r="BC663">
        <v>0</v>
      </c>
      <c r="BD663">
        <v>0</v>
      </c>
      <c r="BE663">
        <v>0</v>
      </c>
      <c r="BF663">
        <v>0</v>
      </c>
      <c r="BG663">
        <v>0</v>
      </c>
      <c r="BH663">
        <v>1</v>
      </c>
      <c r="BI663">
        <v>5</v>
      </c>
      <c r="BJ663">
        <v>6.7</v>
      </c>
      <c r="BK663">
        <v>7</v>
      </c>
      <c r="BL663">
        <v>153.19999999999999</v>
      </c>
      <c r="BM663">
        <v>22.98</v>
      </c>
      <c r="BN663">
        <v>176.18</v>
      </c>
      <c r="BO663">
        <v>176.18</v>
      </c>
      <c r="BQ663" t="s">
        <v>1367</v>
      </c>
      <c r="BR663" t="s">
        <v>82</v>
      </c>
      <c r="BS663" s="3">
        <v>45996</v>
      </c>
      <c r="BT663" s="4">
        <v>0.3125</v>
      </c>
      <c r="BU663" t="s">
        <v>1271</v>
      </c>
      <c r="BV663" t="s">
        <v>84</v>
      </c>
      <c r="BY663">
        <v>33696</v>
      </c>
      <c r="CA663">
        <v>8602010437080</v>
      </c>
      <c r="CC663" t="s">
        <v>303</v>
      </c>
      <c r="CD663" s="5" t="s">
        <v>593</v>
      </c>
      <c r="CE663" t="s">
        <v>229</v>
      </c>
      <c r="CF663" s="3">
        <v>45996</v>
      </c>
      <c r="CI663">
        <v>1</v>
      </c>
      <c r="CJ663">
        <v>1</v>
      </c>
      <c r="CK663">
        <v>41</v>
      </c>
      <c r="CL663" t="s">
        <v>87</v>
      </c>
    </row>
    <row r="664" spans="1:90" x14ac:dyDescent="0.3">
      <c r="A664" t="s">
        <v>72</v>
      </c>
      <c r="B664" t="s">
        <v>73</v>
      </c>
      <c r="C664" t="s">
        <v>74</v>
      </c>
      <c r="E664" t="str">
        <f>"080069679680"</f>
        <v>080069679680</v>
      </c>
      <c r="F664" s="3">
        <v>45995</v>
      </c>
      <c r="G664">
        <v>202609</v>
      </c>
      <c r="H664" t="s">
        <v>75</v>
      </c>
      <c r="I664" t="s">
        <v>76</v>
      </c>
      <c r="J664" t="s">
        <v>77</v>
      </c>
      <c r="K664" t="s">
        <v>78</v>
      </c>
      <c r="L664" t="s">
        <v>176</v>
      </c>
      <c r="M664" t="s">
        <v>177</v>
      </c>
      <c r="N664" t="s">
        <v>889</v>
      </c>
      <c r="O664" t="s">
        <v>89</v>
      </c>
      <c r="P664" t="str">
        <f>"4170071929                    "</f>
        <v xml:space="preserve">4170071929                    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19.940000000000001</v>
      </c>
      <c r="AR664">
        <v>0</v>
      </c>
      <c r="AS664">
        <v>0</v>
      </c>
      <c r="AT664">
        <v>0</v>
      </c>
      <c r="AU664">
        <v>0</v>
      </c>
      <c r="AV664">
        <v>0</v>
      </c>
      <c r="AW664">
        <v>0</v>
      </c>
      <c r="AX664">
        <v>0</v>
      </c>
      <c r="AY664">
        <v>0</v>
      </c>
      <c r="AZ664">
        <v>0</v>
      </c>
      <c r="BA664">
        <v>0</v>
      </c>
      <c r="BB664">
        <v>0</v>
      </c>
      <c r="BC664">
        <v>0</v>
      </c>
      <c r="BD664">
        <v>0</v>
      </c>
      <c r="BE664">
        <v>0</v>
      </c>
      <c r="BF664">
        <v>0</v>
      </c>
      <c r="BG664">
        <v>0</v>
      </c>
      <c r="BH664">
        <v>1</v>
      </c>
      <c r="BI664">
        <v>1</v>
      </c>
      <c r="BJ664">
        <v>0.2</v>
      </c>
      <c r="BK664">
        <v>1</v>
      </c>
      <c r="BL664">
        <v>59.42</v>
      </c>
      <c r="BM664">
        <v>8.91</v>
      </c>
      <c r="BN664">
        <v>68.33</v>
      </c>
      <c r="BO664">
        <v>68.33</v>
      </c>
      <c r="BQ664" t="s">
        <v>890</v>
      </c>
      <c r="BR664" t="s">
        <v>82</v>
      </c>
      <c r="BS664" s="3">
        <v>45996</v>
      </c>
      <c r="BT664" s="4">
        <v>0.58333333333333337</v>
      </c>
      <c r="BU664" t="s">
        <v>1368</v>
      </c>
      <c r="BV664" t="s">
        <v>87</v>
      </c>
      <c r="BY664">
        <v>1200</v>
      </c>
      <c r="CC664" t="s">
        <v>177</v>
      </c>
      <c r="CD664">
        <v>2092</v>
      </c>
      <c r="CE664" t="s">
        <v>134</v>
      </c>
      <c r="CF664" s="3">
        <v>45997</v>
      </c>
      <c r="CI664">
        <v>1</v>
      </c>
      <c r="CJ664">
        <v>1</v>
      </c>
      <c r="CK664">
        <v>22</v>
      </c>
      <c r="CL664" t="s">
        <v>87</v>
      </c>
    </row>
    <row r="665" spans="1:90" x14ac:dyDescent="0.3">
      <c r="A665" t="s">
        <v>72</v>
      </c>
      <c r="B665" t="s">
        <v>73</v>
      </c>
      <c r="C665" t="s">
        <v>74</v>
      </c>
      <c r="E665" t="str">
        <f>"080069679684"</f>
        <v>080069679684</v>
      </c>
      <c r="F665" s="3">
        <v>45995</v>
      </c>
      <c r="G665">
        <v>202609</v>
      </c>
      <c r="H665" t="s">
        <v>75</v>
      </c>
      <c r="I665" t="s">
        <v>76</v>
      </c>
      <c r="J665" t="s">
        <v>77</v>
      </c>
      <c r="K665" t="s">
        <v>78</v>
      </c>
      <c r="L665" t="s">
        <v>141</v>
      </c>
      <c r="M665" t="s">
        <v>142</v>
      </c>
      <c r="N665" t="s">
        <v>721</v>
      </c>
      <c r="O665" t="s">
        <v>89</v>
      </c>
      <c r="P665" t="str">
        <f>"4170071947                    "</f>
        <v xml:space="preserve">4170071947                    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0</v>
      </c>
      <c r="AJ665">
        <v>0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44.66</v>
      </c>
      <c r="AR665">
        <v>0</v>
      </c>
      <c r="AS665">
        <v>0</v>
      </c>
      <c r="AT665">
        <v>0</v>
      </c>
      <c r="AU665">
        <v>0</v>
      </c>
      <c r="AV665">
        <v>0</v>
      </c>
      <c r="AW665">
        <v>0</v>
      </c>
      <c r="AX665">
        <v>0</v>
      </c>
      <c r="AY665">
        <v>0</v>
      </c>
      <c r="AZ665">
        <v>0</v>
      </c>
      <c r="BA665">
        <v>0</v>
      </c>
      <c r="BB665">
        <v>0</v>
      </c>
      <c r="BC665">
        <v>0</v>
      </c>
      <c r="BD665">
        <v>0</v>
      </c>
      <c r="BE665">
        <v>0</v>
      </c>
      <c r="BF665">
        <v>0</v>
      </c>
      <c r="BG665">
        <v>0</v>
      </c>
      <c r="BH665">
        <v>1</v>
      </c>
      <c r="BI665">
        <v>2</v>
      </c>
      <c r="BJ665">
        <v>3.2</v>
      </c>
      <c r="BK665">
        <v>3.5</v>
      </c>
      <c r="BL665">
        <v>133.09</v>
      </c>
      <c r="BM665">
        <v>19.96</v>
      </c>
      <c r="BN665">
        <v>153.05000000000001</v>
      </c>
      <c r="BO665">
        <v>153.05000000000001</v>
      </c>
      <c r="BQ665" t="s">
        <v>1369</v>
      </c>
      <c r="BR665" t="s">
        <v>82</v>
      </c>
      <c r="BS665" s="3">
        <v>45996</v>
      </c>
      <c r="BT665" s="4">
        <v>0.42430555555555555</v>
      </c>
      <c r="BU665" t="s">
        <v>1370</v>
      </c>
      <c r="BV665" t="s">
        <v>84</v>
      </c>
      <c r="BY665">
        <v>16184</v>
      </c>
      <c r="CA665" t="s">
        <v>489</v>
      </c>
      <c r="CC665" t="s">
        <v>142</v>
      </c>
      <c r="CD665">
        <v>6012</v>
      </c>
      <c r="CE665" t="s">
        <v>229</v>
      </c>
      <c r="CF665" s="3">
        <v>45996</v>
      </c>
      <c r="CI665">
        <v>1</v>
      </c>
      <c r="CJ665">
        <v>1</v>
      </c>
      <c r="CK665">
        <v>21</v>
      </c>
      <c r="CL665" t="s">
        <v>87</v>
      </c>
    </row>
    <row r="666" spans="1:90" x14ac:dyDescent="0.3">
      <c r="A666" t="s">
        <v>72</v>
      </c>
      <c r="B666" t="s">
        <v>73</v>
      </c>
      <c r="C666" t="s">
        <v>74</v>
      </c>
      <c r="E666" t="str">
        <f>"080069679741"</f>
        <v>080069679741</v>
      </c>
      <c r="F666" s="3">
        <v>45995</v>
      </c>
      <c r="G666">
        <v>202609</v>
      </c>
      <c r="H666" t="s">
        <v>75</v>
      </c>
      <c r="I666" t="s">
        <v>76</v>
      </c>
      <c r="J666" t="s">
        <v>77</v>
      </c>
      <c r="K666" t="s">
        <v>78</v>
      </c>
      <c r="L666" t="s">
        <v>141</v>
      </c>
      <c r="M666" t="s">
        <v>142</v>
      </c>
      <c r="N666" t="s">
        <v>1105</v>
      </c>
      <c r="O666" t="s">
        <v>89</v>
      </c>
      <c r="P666" t="str">
        <f>"4170071946                    "</f>
        <v xml:space="preserve">4170071946                    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  <c r="AG666">
        <v>0</v>
      </c>
      <c r="AH666">
        <v>0</v>
      </c>
      <c r="AI666">
        <v>0</v>
      </c>
      <c r="AJ666">
        <v>0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25.52</v>
      </c>
      <c r="AR666">
        <v>0</v>
      </c>
      <c r="AS666">
        <v>0</v>
      </c>
      <c r="AT666">
        <v>0</v>
      </c>
      <c r="AU666">
        <v>0</v>
      </c>
      <c r="AV666">
        <v>0</v>
      </c>
      <c r="AW666">
        <v>0</v>
      </c>
      <c r="AX666">
        <v>0</v>
      </c>
      <c r="AY666">
        <v>0</v>
      </c>
      <c r="AZ666">
        <v>0</v>
      </c>
      <c r="BA666">
        <v>0</v>
      </c>
      <c r="BB666">
        <v>0</v>
      </c>
      <c r="BC666">
        <v>0</v>
      </c>
      <c r="BD666">
        <v>0</v>
      </c>
      <c r="BE666">
        <v>0</v>
      </c>
      <c r="BF666">
        <v>0</v>
      </c>
      <c r="BG666">
        <v>0</v>
      </c>
      <c r="BH666">
        <v>1</v>
      </c>
      <c r="BI666">
        <v>1</v>
      </c>
      <c r="BJ666">
        <v>0.2</v>
      </c>
      <c r="BK666">
        <v>1</v>
      </c>
      <c r="BL666">
        <v>76.06</v>
      </c>
      <c r="BM666">
        <v>11.41</v>
      </c>
      <c r="BN666">
        <v>87.47</v>
      </c>
      <c r="BO666">
        <v>87.47</v>
      </c>
      <c r="BQ666" t="s">
        <v>1106</v>
      </c>
      <c r="BR666" t="s">
        <v>82</v>
      </c>
      <c r="BS666" s="3">
        <v>45996</v>
      </c>
      <c r="BT666" s="4">
        <v>0.43402777777777779</v>
      </c>
      <c r="BU666" t="s">
        <v>1371</v>
      </c>
      <c r="BV666" t="s">
        <v>84</v>
      </c>
      <c r="BY666">
        <v>1200</v>
      </c>
      <c r="CA666" t="s">
        <v>1203</v>
      </c>
      <c r="CC666" t="s">
        <v>142</v>
      </c>
      <c r="CD666">
        <v>6001</v>
      </c>
      <c r="CE666" t="s">
        <v>134</v>
      </c>
      <c r="CF666" s="3">
        <v>45996</v>
      </c>
      <c r="CI666">
        <v>1</v>
      </c>
      <c r="CJ666">
        <v>1</v>
      </c>
      <c r="CK666">
        <v>21</v>
      </c>
      <c r="CL666" t="s">
        <v>87</v>
      </c>
    </row>
    <row r="667" spans="1:90" x14ac:dyDescent="0.3">
      <c r="A667" t="s">
        <v>72</v>
      </c>
      <c r="B667" t="s">
        <v>73</v>
      </c>
      <c r="C667" t="s">
        <v>74</v>
      </c>
      <c r="E667" t="str">
        <f>"080069679751"</f>
        <v>080069679751</v>
      </c>
      <c r="F667" s="3">
        <v>45995</v>
      </c>
      <c r="G667">
        <v>202609</v>
      </c>
      <c r="H667" t="s">
        <v>75</v>
      </c>
      <c r="I667" t="s">
        <v>76</v>
      </c>
      <c r="J667" t="s">
        <v>77</v>
      </c>
      <c r="K667" t="s">
        <v>78</v>
      </c>
      <c r="L667" t="s">
        <v>156</v>
      </c>
      <c r="M667" t="s">
        <v>157</v>
      </c>
      <c r="N667" t="s">
        <v>1372</v>
      </c>
      <c r="O667" t="s">
        <v>89</v>
      </c>
      <c r="P667" t="str">
        <f>"4170071827                    "</f>
        <v xml:space="preserve">4170071827                    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  <c r="AG667">
        <v>0</v>
      </c>
      <c r="AH667">
        <v>0</v>
      </c>
      <c r="AI667">
        <v>0</v>
      </c>
      <c r="AJ667">
        <v>0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25.52</v>
      </c>
      <c r="AR667">
        <v>0</v>
      </c>
      <c r="AS667">
        <v>0</v>
      </c>
      <c r="AT667">
        <v>0</v>
      </c>
      <c r="AU667">
        <v>0</v>
      </c>
      <c r="AV667">
        <v>0</v>
      </c>
      <c r="AW667">
        <v>0</v>
      </c>
      <c r="AX667">
        <v>0</v>
      </c>
      <c r="AY667">
        <v>0</v>
      </c>
      <c r="AZ667">
        <v>0</v>
      </c>
      <c r="BA667">
        <v>0</v>
      </c>
      <c r="BB667">
        <v>0</v>
      </c>
      <c r="BC667">
        <v>0</v>
      </c>
      <c r="BD667">
        <v>0</v>
      </c>
      <c r="BE667">
        <v>0</v>
      </c>
      <c r="BF667">
        <v>0</v>
      </c>
      <c r="BG667">
        <v>0</v>
      </c>
      <c r="BH667">
        <v>1</v>
      </c>
      <c r="BI667">
        <v>1</v>
      </c>
      <c r="BJ667">
        <v>1.2</v>
      </c>
      <c r="BK667">
        <v>1.5</v>
      </c>
      <c r="BL667">
        <v>76.06</v>
      </c>
      <c r="BM667">
        <v>11.41</v>
      </c>
      <c r="BN667">
        <v>87.47</v>
      </c>
      <c r="BO667">
        <v>87.47</v>
      </c>
      <c r="BQ667" t="s">
        <v>1373</v>
      </c>
      <c r="BR667" t="s">
        <v>82</v>
      </c>
      <c r="BS667" s="3">
        <v>45996</v>
      </c>
      <c r="BT667" s="4">
        <v>0.41666666666666669</v>
      </c>
      <c r="BU667" t="s">
        <v>1374</v>
      </c>
      <c r="BV667" t="s">
        <v>84</v>
      </c>
      <c r="BY667">
        <v>5900</v>
      </c>
      <c r="CC667" t="s">
        <v>157</v>
      </c>
      <c r="CD667">
        <v>7800</v>
      </c>
      <c r="CE667" t="s">
        <v>93</v>
      </c>
      <c r="CI667">
        <v>1</v>
      </c>
      <c r="CJ667">
        <v>1</v>
      </c>
      <c r="CK667">
        <v>21</v>
      </c>
      <c r="CL667" t="s">
        <v>87</v>
      </c>
    </row>
    <row r="668" spans="1:90" x14ac:dyDescent="0.3">
      <c r="A668" t="s">
        <v>72</v>
      </c>
      <c r="B668" t="s">
        <v>73</v>
      </c>
      <c r="C668" t="s">
        <v>74</v>
      </c>
      <c r="E668" t="str">
        <f>"080069679798"</f>
        <v>080069679798</v>
      </c>
      <c r="F668" s="3">
        <v>45995</v>
      </c>
      <c r="G668">
        <v>202609</v>
      </c>
      <c r="H668" t="s">
        <v>75</v>
      </c>
      <c r="I668" t="s">
        <v>76</v>
      </c>
      <c r="J668" t="s">
        <v>77</v>
      </c>
      <c r="K668" t="s">
        <v>78</v>
      </c>
      <c r="L668" t="s">
        <v>156</v>
      </c>
      <c r="M668" t="s">
        <v>157</v>
      </c>
      <c r="N668" t="s">
        <v>1375</v>
      </c>
      <c r="O668" t="s">
        <v>89</v>
      </c>
      <c r="P668" t="str">
        <f>"4170071961                    "</f>
        <v xml:space="preserve">4170071961                    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  <c r="AG668">
        <v>0</v>
      </c>
      <c r="AH668">
        <v>0</v>
      </c>
      <c r="AI668">
        <v>0</v>
      </c>
      <c r="AJ668">
        <v>0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25.52</v>
      </c>
      <c r="AR668">
        <v>0</v>
      </c>
      <c r="AS668">
        <v>0</v>
      </c>
      <c r="AT668">
        <v>0</v>
      </c>
      <c r="AU668">
        <v>0</v>
      </c>
      <c r="AV668">
        <v>0</v>
      </c>
      <c r="AW668">
        <v>0</v>
      </c>
      <c r="AX668">
        <v>0</v>
      </c>
      <c r="AY668">
        <v>0</v>
      </c>
      <c r="AZ668">
        <v>0</v>
      </c>
      <c r="BA668">
        <v>0</v>
      </c>
      <c r="BB668">
        <v>0</v>
      </c>
      <c r="BC668">
        <v>0</v>
      </c>
      <c r="BD668">
        <v>0</v>
      </c>
      <c r="BE668">
        <v>0</v>
      </c>
      <c r="BF668">
        <v>0</v>
      </c>
      <c r="BG668">
        <v>0</v>
      </c>
      <c r="BH668">
        <v>1</v>
      </c>
      <c r="BI668">
        <v>1</v>
      </c>
      <c r="BJ668">
        <v>0.2</v>
      </c>
      <c r="BK668">
        <v>1</v>
      </c>
      <c r="BL668">
        <v>76.06</v>
      </c>
      <c r="BM668">
        <v>11.41</v>
      </c>
      <c r="BN668">
        <v>87.47</v>
      </c>
      <c r="BO668">
        <v>87.47</v>
      </c>
      <c r="BQ668" t="s">
        <v>1376</v>
      </c>
      <c r="BR668" t="s">
        <v>82</v>
      </c>
      <c r="BS668" s="3">
        <v>45996</v>
      </c>
      <c r="BT668" s="4">
        <v>0.51666666666666672</v>
      </c>
      <c r="BU668" t="s">
        <v>1377</v>
      </c>
      <c r="BV668" t="s">
        <v>87</v>
      </c>
      <c r="BW668" t="s">
        <v>153</v>
      </c>
      <c r="BX668" t="s">
        <v>154</v>
      </c>
      <c r="BY668">
        <v>1200</v>
      </c>
      <c r="CA668" t="s">
        <v>950</v>
      </c>
      <c r="CC668" t="s">
        <v>157</v>
      </c>
      <c r="CD668">
        <v>7499</v>
      </c>
      <c r="CE668" t="s">
        <v>134</v>
      </c>
      <c r="CF668" s="3">
        <v>45999</v>
      </c>
      <c r="CI668">
        <v>1</v>
      </c>
      <c r="CJ668">
        <v>1</v>
      </c>
      <c r="CK668">
        <v>21</v>
      </c>
      <c r="CL668" t="s">
        <v>87</v>
      </c>
    </row>
    <row r="669" spans="1:90" x14ac:dyDescent="0.3">
      <c r="A669" t="s">
        <v>72</v>
      </c>
      <c r="B669" t="s">
        <v>73</v>
      </c>
      <c r="C669" t="s">
        <v>74</v>
      </c>
      <c r="E669" t="str">
        <f>"080069679848"</f>
        <v>080069679848</v>
      </c>
      <c r="F669" s="3">
        <v>45995</v>
      </c>
      <c r="G669">
        <v>202609</v>
      </c>
      <c r="H669" t="s">
        <v>75</v>
      </c>
      <c r="I669" t="s">
        <v>76</v>
      </c>
      <c r="J669" t="s">
        <v>77</v>
      </c>
      <c r="K669" t="s">
        <v>78</v>
      </c>
      <c r="L669" t="s">
        <v>573</v>
      </c>
      <c r="M669" t="s">
        <v>574</v>
      </c>
      <c r="N669" t="s">
        <v>1378</v>
      </c>
      <c r="O669" t="s">
        <v>340</v>
      </c>
      <c r="P669" t="str">
        <f>"4170071945                    "</f>
        <v xml:space="preserve">4170071945                    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19.940000000000001</v>
      </c>
      <c r="AR669">
        <v>0</v>
      </c>
      <c r="AS669">
        <v>0</v>
      </c>
      <c r="AT669">
        <v>0</v>
      </c>
      <c r="AU669">
        <v>0</v>
      </c>
      <c r="AV669">
        <v>0</v>
      </c>
      <c r="AW669">
        <v>0</v>
      </c>
      <c r="AX669">
        <v>0</v>
      </c>
      <c r="AY669">
        <v>0</v>
      </c>
      <c r="AZ669">
        <v>0</v>
      </c>
      <c r="BA669">
        <v>0</v>
      </c>
      <c r="BB669">
        <v>0</v>
      </c>
      <c r="BC669">
        <v>0</v>
      </c>
      <c r="BD669">
        <v>0</v>
      </c>
      <c r="BE669">
        <v>0</v>
      </c>
      <c r="BF669">
        <v>0</v>
      </c>
      <c r="BG669">
        <v>0</v>
      </c>
      <c r="BH669">
        <v>1</v>
      </c>
      <c r="BI669">
        <v>4</v>
      </c>
      <c r="BJ669">
        <v>3</v>
      </c>
      <c r="BK669">
        <v>4</v>
      </c>
      <c r="BL669">
        <v>59.43</v>
      </c>
      <c r="BM669">
        <v>8.91</v>
      </c>
      <c r="BN669">
        <v>68.34</v>
      </c>
      <c r="BO669">
        <v>68.34</v>
      </c>
      <c r="BQ669" t="s">
        <v>1379</v>
      </c>
      <c r="BR669" t="s">
        <v>82</v>
      </c>
      <c r="BS669" s="3">
        <v>45996</v>
      </c>
      <c r="BT669" s="4">
        <v>0.35069444444444442</v>
      </c>
      <c r="BU669" t="s">
        <v>1380</v>
      </c>
      <c r="BV669" t="s">
        <v>84</v>
      </c>
      <c r="BY669">
        <v>14896</v>
      </c>
      <c r="CA669" t="s">
        <v>578</v>
      </c>
      <c r="CC669" t="s">
        <v>574</v>
      </c>
      <c r="CD669">
        <v>1451</v>
      </c>
      <c r="CE669" t="s">
        <v>1381</v>
      </c>
      <c r="CF669" s="3">
        <v>45996</v>
      </c>
      <c r="CI669">
        <v>1</v>
      </c>
      <c r="CJ669">
        <v>1</v>
      </c>
      <c r="CK669">
        <v>32</v>
      </c>
      <c r="CL669" t="s">
        <v>87</v>
      </c>
    </row>
    <row r="670" spans="1:90" x14ac:dyDescent="0.3">
      <c r="A670" t="s">
        <v>72</v>
      </c>
      <c r="B670" t="s">
        <v>73</v>
      </c>
      <c r="C670" t="s">
        <v>74</v>
      </c>
      <c r="E670" t="str">
        <f>"080069679887"</f>
        <v>080069679887</v>
      </c>
      <c r="F670" s="3">
        <v>45995</v>
      </c>
      <c r="G670">
        <v>202609</v>
      </c>
      <c r="H670" t="s">
        <v>75</v>
      </c>
      <c r="I670" t="s">
        <v>76</v>
      </c>
      <c r="J670" t="s">
        <v>77</v>
      </c>
      <c r="K670" t="s">
        <v>78</v>
      </c>
      <c r="L670" t="s">
        <v>302</v>
      </c>
      <c r="M670" t="s">
        <v>303</v>
      </c>
      <c r="N670" t="s">
        <v>644</v>
      </c>
      <c r="O670" t="s">
        <v>80</v>
      </c>
      <c r="P670" t="str">
        <f>"4170071943                    "</f>
        <v xml:space="preserve">4170071943                    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61.6</v>
      </c>
      <c r="AR670">
        <v>0</v>
      </c>
      <c r="AS670">
        <v>0</v>
      </c>
      <c r="AT670">
        <v>0</v>
      </c>
      <c r="AU670">
        <v>0</v>
      </c>
      <c r="AV670">
        <v>0</v>
      </c>
      <c r="AW670">
        <v>0</v>
      </c>
      <c r="AX670">
        <v>0</v>
      </c>
      <c r="AY670">
        <v>0</v>
      </c>
      <c r="AZ670">
        <v>0</v>
      </c>
      <c r="BA670">
        <v>0</v>
      </c>
      <c r="BB670">
        <v>0</v>
      </c>
      <c r="BC670">
        <v>0</v>
      </c>
      <c r="BD670">
        <v>0</v>
      </c>
      <c r="BE670">
        <v>0</v>
      </c>
      <c r="BF670">
        <v>0</v>
      </c>
      <c r="BG670">
        <v>0</v>
      </c>
      <c r="BH670">
        <v>2</v>
      </c>
      <c r="BI670">
        <v>20.9</v>
      </c>
      <c r="BJ670">
        <v>12.5</v>
      </c>
      <c r="BK670">
        <v>21</v>
      </c>
      <c r="BL670">
        <v>189.68</v>
      </c>
      <c r="BM670">
        <v>28.45</v>
      </c>
      <c r="BN670">
        <v>218.13</v>
      </c>
      <c r="BO670">
        <v>218.13</v>
      </c>
      <c r="BQ670" t="s">
        <v>645</v>
      </c>
      <c r="BR670" t="s">
        <v>82</v>
      </c>
      <c r="BS670" s="3">
        <v>45996</v>
      </c>
      <c r="BT670" s="4">
        <v>0.57777777777777772</v>
      </c>
      <c r="BU670" t="s">
        <v>1382</v>
      </c>
      <c r="BV670" t="s">
        <v>84</v>
      </c>
      <c r="BY670">
        <v>62636.78</v>
      </c>
      <c r="CA670">
        <v>8303236124087</v>
      </c>
      <c r="CC670" t="s">
        <v>303</v>
      </c>
      <c r="CD670" s="5" t="s">
        <v>307</v>
      </c>
      <c r="CE670" t="s">
        <v>93</v>
      </c>
      <c r="CF670" s="3">
        <v>45996</v>
      </c>
      <c r="CI670">
        <v>1</v>
      </c>
      <c r="CJ670">
        <v>1</v>
      </c>
      <c r="CK670">
        <v>41</v>
      </c>
      <c r="CL670" t="s">
        <v>87</v>
      </c>
    </row>
    <row r="671" spans="1:90" x14ac:dyDescent="0.3">
      <c r="A671" t="s">
        <v>72</v>
      </c>
      <c r="B671" t="s">
        <v>73</v>
      </c>
      <c r="C671" t="s">
        <v>74</v>
      </c>
      <c r="E671" t="str">
        <f>"080069679916"</f>
        <v>080069679916</v>
      </c>
      <c r="F671" s="3">
        <v>45995</v>
      </c>
      <c r="G671">
        <v>202609</v>
      </c>
      <c r="H671" t="s">
        <v>75</v>
      </c>
      <c r="I671" t="s">
        <v>76</v>
      </c>
      <c r="J671" t="s">
        <v>77</v>
      </c>
      <c r="K671" t="s">
        <v>78</v>
      </c>
      <c r="L671" t="s">
        <v>513</v>
      </c>
      <c r="M671" t="s">
        <v>514</v>
      </c>
      <c r="N671" t="s">
        <v>515</v>
      </c>
      <c r="O671" t="s">
        <v>89</v>
      </c>
      <c r="P671" t="str">
        <f>"4170071792                    "</f>
        <v xml:space="preserve">4170071792                    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  <c r="AG671">
        <v>0</v>
      </c>
      <c r="AH671">
        <v>0</v>
      </c>
      <c r="AI671">
        <v>0</v>
      </c>
      <c r="AJ671">
        <v>0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49.45</v>
      </c>
      <c r="AR671">
        <v>0</v>
      </c>
      <c r="AS671">
        <v>0</v>
      </c>
      <c r="AT671">
        <v>0</v>
      </c>
      <c r="AU671">
        <v>0</v>
      </c>
      <c r="AV671">
        <v>0</v>
      </c>
      <c r="AW671">
        <v>0</v>
      </c>
      <c r="AX671">
        <v>0</v>
      </c>
      <c r="AY671">
        <v>0</v>
      </c>
      <c r="AZ671">
        <v>0</v>
      </c>
      <c r="BA671">
        <v>0</v>
      </c>
      <c r="BB671">
        <v>0</v>
      </c>
      <c r="BC671">
        <v>0</v>
      </c>
      <c r="BD671">
        <v>0</v>
      </c>
      <c r="BE671">
        <v>0</v>
      </c>
      <c r="BF671">
        <v>0</v>
      </c>
      <c r="BG671">
        <v>0</v>
      </c>
      <c r="BH671">
        <v>1</v>
      </c>
      <c r="BI671">
        <v>1</v>
      </c>
      <c r="BJ671">
        <v>1.9</v>
      </c>
      <c r="BK671">
        <v>2</v>
      </c>
      <c r="BL671">
        <v>147.38</v>
      </c>
      <c r="BM671">
        <v>22.11</v>
      </c>
      <c r="BN671">
        <v>169.49</v>
      </c>
      <c r="BO671">
        <v>169.49</v>
      </c>
      <c r="BQ671" t="s">
        <v>516</v>
      </c>
      <c r="BR671" t="s">
        <v>82</v>
      </c>
      <c r="BS671" s="3">
        <v>45996</v>
      </c>
      <c r="BT671" s="4">
        <v>0.65833333333333333</v>
      </c>
      <c r="BU671" t="s">
        <v>931</v>
      </c>
      <c r="BV671" t="s">
        <v>84</v>
      </c>
      <c r="BY671">
        <v>9576</v>
      </c>
      <c r="CA671" t="s">
        <v>146</v>
      </c>
      <c r="CC671" t="s">
        <v>514</v>
      </c>
      <c r="CD671">
        <v>6300</v>
      </c>
      <c r="CE671" t="s">
        <v>86</v>
      </c>
      <c r="CI671">
        <v>2</v>
      </c>
      <c r="CJ671">
        <v>1</v>
      </c>
      <c r="CK671">
        <v>23</v>
      </c>
      <c r="CL671" t="s">
        <v>87</v>
      </c>
    </row>
    <row r="672" spans="1:90" x14ac:dyDescent="0.3">
      <c r="A672" t="s">
        <v>72</v>
      </c>
      <c r="B672" t="s">
        <v>73</v>
      </c>
      <c r="C672" t="s">
        <v>74</v>
      </c>
      <c r="E672" t="str">
        <f>"080069679946"</f>
        <v>080069679946</v>
      </c>
      <c r="F672" s="3">
        <v>45995</v>
      </c>
      <c r="G672">
        <v>202609</v>
      </c>
      <c r="H672" t="s">
        <v>75</v>
      </c>
      <c r="I672" t="s">
        <v>76</v>
      </c>
      <c r="J672" t="s">
        <v>77</v>
      </c>
      <c r="K672" t="s">
        <v>78</v>
      </c>
      <c r="L672" t="s">
        <v>156</v>
      </c>
      <c r="M672" t="s">
        <v>157</v>
      </c>
      <c r="N672" t="s">
        <v>943</v>
      </c>
      <c r="O672" t="s">
        <v>89</v>
      </c>
      <c r="P672" t="str">
        <f>"4170071731                    "</f>
        <v xml:space="preserve">4170071731                    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  <c r="AG672">
        <v>0</v>
      </c>
      <c r="AH672">
        <v>0</v>
      </c>
      <c r="AI672">
        <v>0</v>
      </c>
      <c r="AJ672">
        <v>0</v>
      </c>
      <c r="AK672">
        <v>0</v>
      </c>
      <c r="AL672">
        <v>0</v>
      </c>
      <c r="AM672">
        <v>0</v>
      </c>
      <c r="AN672">
        <v>0</v>
      </c>
      <c r="AO672">
        <v>0</v>
      </c>
      <c r="AP672">
        <v>0</v>
      </c>
      <c r="AQ672">
        <v>153.09</v>
      </c>
      <c r="AR672">
        <v>0</v>
      </c>
      <c r="AS672">
        <v>0</v>
      </c>
      <c r="AT672">
        <v>0</v>
      </c>
      <c r="AU672">
        <v>0</v>
      </c>
      <c r="AV672">
        <v>0</v>
      </c>
      <c r="AW672">
        <v>0</v>
      </c>
      <c r="AX672">
        <v>0</v>
      </c>
      <c r="AY672">
        <v>0</v>
      </c>
      <c r="AZ672">
        <v>0</v>
      </c>
      <c r="BA672">
        <v>0</v>
      </c>
      <c r="BB672">
        <v>0</v>
      </c>
      <c r="BC672">
        <v>0</v>
      </c>
      <c r="BD672">
        <v>0</v>
      </c>
      <c r="BE672">
        <v>0</v>
      </c>
      <c r="BF672">
        <v>0</v>
      </c>
      <c r="BG672">
        <v>0</v>
      </c>
      <c r="BH672">
        <v>1</v>
      </c>
      <c r="BI672">
        <v>12</v>
      </c>
      <c r="BJ672">
        <v>9.1999999999999993</v>
      </c>
      <c r="BK672">
        <v>12</v>
      </c>
      <c r="BL672">
        <v>456.23</v>
      </c>
      <c r="BM672">
        <v>68.430000000000007</v>
      </c>
      <c r="BN672">
        <v>524.66</v>
      </c>
      <c r="BO672">
        <v>524.66</v>
      </c>
      <c r="BQ672" t="s">
        <v>944</v>
      </c>
      <c r="BR672" t="s">
        <v>82</v>
      </c>
      <c r="BS672" s="3">
        <v>45996</v>
      </c>
      <c r="BT672" s="4">
        <v>0.41249999999999998</v>
      </c>
      <c r="BU672" t="s">
        <v>945</v>
      </c>
      <c r="BV672" t="s">
        <v>84</v>
      </c>
      <c r="BY672">
        <v>45968</v>
      </c>
      <c r="CA672" t="s">
        <v>346</v>
      </c>
      <c r="CC672" t="s">
        <v>157</v>
      </c>
      <c r="CD672">
        <v>7530</v>
      </c>
      <c r="CE672" t="s">
        <v>86</v>
      </c>
      <c r="CI672">
        <v>1</v>
      </c>
      <c r="CJ672">
        <v>1</v>
      </c>
      <c r="CK672">
        <v>21</v>
      </c>
      <c r="CL672" t="s">
        <v>87</v>
      </c>
    </row>
    <row r="673" spans="1:90" x14ac:dyDescent="0.3">
      <c r="A673" t="s">
        <v>72</v>
      </c>
      <c r="B673" t="s">
        <v>73</v>
      </c>
      <c r="C673" t="s">
        <v>74</v>
      </c>
      <c r="E673" t="str">
        <f>"080069679995"</f>
        <v>080069679995</v>
      </c>
      <c r="F673" s="3">
        <v>45995</v>
      </c>
      <c r="G673">
        <v>202609</v>
      </c>
      <c r="H673" t="s">
        <v>75</v>
      </c>
      <c r="I673" t="s">
        <v>76</v>
      </c>
      <c r="J673" t="s">
        <v>77</v>
      </c>
      <c r="K673" t="s">
        <v>78</v>
      </c>
      <c r="L673" t="s">
        <v>533</v>
      </c>
      <c r="M673" t="s">
        <v>533</v>
      </c>
      <c r="N673" t="s">
        <v>554</v>
      </c>
      <c r="O673" t="s">
        <v>89</v>
      </c>
      <c r="P673" t="str">
        <f>"4170071794                    "</f>
        <v xml:space="preserve">4170071794                    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  <c r="AG673">
        <v>0</v>
      </c>
      <c r="AH673">
        <v>0</v>
      </c>
      <c r="AI673">
        <v>0</v>
      </c>
      <c r="AJ673">
        <v>0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49.45</v>
      </c>
      <c r="AR673">
        <v>0</v>
      </c>
      <c r="AS673">
        <v>0</v>
      </c>
      <c r="AT673">
        <v>0</v>
      </c>
      <c r="AU673">
        <v>0</v>
      </c>
      <c r="AV673">
        <v>0</v>
      </c>
      <c r="AW673">
        <v>0</v>
      </c>
      <c r="AX673">
        <v>0</v>
      </c>
      <c r="AY673">
        <v>0</v>
      </c>
      <c r="AZ673">
        <v>0</v>
      </c>
      <c r="BA673">
        <v>0</v>
      </c>
      <c r="BB673">
        <v>0</v>
      </c>
      <c r="BC673">
        <v>0</v>
      </c>
      <c r="BD673">
        <v>0</v>
      </c>
      <c r="BE673">
        <v>0</v>
      </c>
      <c r="BF673">
        <v>0</v>
      </c>
      <c r="BG673">
        <v>0</v>
      </c>
      <c r="BH673">
        <v>1</v>
      </c>
      <c r="BI673">
        <v>1</v>
      </c>
      <c r="BJ673">
        <v>1.5</v>
      </c>
      <c r="BK673">
        <v>1.5</v>
      </c>
      <c r="BL673">
        <v>147.38</v>
      </c>
      <c r="BM673">
        <v>22.11</v>
      </c>
      <c r="BN673">
        <v>169.49</v>
      </c>
      <c r="BO673">
        <v>169.49</v>
      </c>
      <c r="BQ673" t="s">
        <v>555</v>
      </c>
      <c r="BR673" t="s">
        <v>82</v>
      </c>
      <c r="BS673" s="3">
        <v>45996</v>
      </c>
      <c r="BT673" s="4">
        <v>0.72638888888888886</v>
      </c>
      <c r="BU673" t="s">
        <v>1214</v>
      </c>
      <c r="BV673" t="s">
        <v>87</v>
      </c>
      <c r="BW673" t="s">
        <v>153</v>
      </c>
      <c r="BX673" t="s">
        <v>345</v>
      </c>
      <c r="BY673">
        <v>7540</v>
      </c>
      <c r="CA673" t="s">
        <v>537</v>
      </c>
      <c r="CC673" t="s">
        <v>533</v>
      </c>
      <c r="CD673">
        <v>7646</v>
      </c>
      <c r="CE673" t="s">
        <v>86</v>
      </c>
      <c r="CI673">
        <v>1</v>
      </c>
      <c r="CJ673">
        <v>1</v>
      </c>
      <c r="CK673">
        <v>23</v>
      </c>
      <c r="CL673" t="s">
        <v>87</v>
      </c>
    </row>
    <row r="674" spans="1:90" x14ac:dyDescent="0.3">
      <c r="A674" t="s">
        <v>72</v>
      </c>
      <c r="B674" t="s">
        <v>73</v>
      </c>
      <c r="C674" t="s">
        <v>74</v>
      </c>
      <c r="E674" t="str">
        <f>"080069680010"</f>
        <v>080069680010</v>
      </c>
      <c r="F674" s="3">
        <v>45995</v>
      </c>
      <c r="G674">
        <v>202609</v>
      </c>
      <c r="H674" t="s">
        <v>75</v>
      </c>
      <c r="I674" t="s">
        <v>76</v>
      </c>
      <c r="J674" t="s">
        <v>77</v>
      </c>
      <c r="K674" t="s">
        <v>78</v>
      </c>
      <c r="L674" t="s">
        <v>148</v>
      </c>
      <c r="M674" t="s">
        <v>149</v>
      </c>
      <c r="N674" t="s">
        <v>150</v>
      </c>
      <c r="O674" t="s">
        <v>89</v>
      </c>
      <c r="P674" t="str">
        <f>"4170071981                    "</f>
        <v xml:space="preserve">4170071981                    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49.45</v>
      </c>
      <c r="AR674">
        <v>0</v>
      </c>
      <c r="AS674">
        <v>0</v>
      </c>
      <c r="AT674">
        <v>0</v>
      </c>
      <c r="AU674">
        <v>0</v>
      </c>
      <c r="AV674">
        <v>0</v>
      </c>
      <c r="AW674">
        <v>0</v>
      </c>
      <c r="AX674">
        <v>0</v>
      </c>
      <c r="AY674">
        <v>0</v>
      </c>
      <c r="AZ674">
        <v>0</v>
      </c>
      <c r="BA674">
        <v>0</v>
      </c>
      <c r="BB674">
        <v>0</v>
      </c>
      <c r="BC674">
        <v>0</v>
      </c>
      <c r="BD674">
        <v>0</v>
      </c>
      <c r="BE674">
        <v>0</v>
      </c>
      <c r="BF674">
        <v>0</v>
      </c>
      <c r="BG674">
        <v>0</v>
      </c>
      <c r="BH674">
        <v>1</v>
      </c>
      <c r="BI674">
        <v>2</v>
      </c>
      <c r="BJ674">
        <v>1.9</v>
      </c>
      <c r="BK674">
        <v>2</v>
      </c>
      <c r="BL674">
        <v>147.38</v>
      </c>
      <c r="BM674">
        <v>22.11</v>
      </c>
      <c r="BN674">
        <v>169.49</v>
      </c>
      <c r="BO674">
        <v>169.49</v>
      </c>
      <c r="BQ674" t="s">
        <v>151</v>
      </c>
      <c r="BR674" t="s">
        <v>82</v>
      </c>
      <c r="BS674" s="3">
        <v>45996</v>
      </c>
      <c r="BT674" s="4">
        <v>0.7270833333333333</v>
      </c>
      <c r="BU674" t="s">
        <v>1383</v>
      </c>
      <c r="BV674" t="s">
        <v>84</v>
      </c>
      <c r="BY674">
        <v>9600</v>
      </c>
      <c r="CA674" t="s">
        <v>1384</v>
      </c>
      <c r="CC674" t="s">
        <v>149</v>
      </c>
      <c r="CD674">
        <v>7300</v>
      </c>
      <c r="CE674" t="s">
        <v>86</v>
      </c>
      <c r="CI674">
        <v>1</v>
      </c>
      <c r="CJ674">
        <v>1</v>
      </c>
      <c r="CK674">
        <v>23</v>
      </c>
      <c r="CL674" t="s">
        <v>87</v>
      </c>
    </row>
    <row r="675" spans="1:90" x14ac:dyDescent="0.3">
      <c r="A675" t="s">
        <v>72</v>
      </c>
      <c r="B675" t="s">
        <v>73</v>
      </c>
      <c r="C675" t="s">
        <v>74</v>
      </c>
      <c r="E675" t="str">
        <f>"080069680093"</f>
        <v>080069680093</v>
      </c>
      <c r="F675" s="3">
        <v>45995</v>
      </c>
      <c r="G675">
        <v>202609</v>
      </c>
      <c r="H675" t="s">
        <v>75</v>
      </c>
      <c r="I675" t="s">
        <v>76</v>
      </c>
      <c r="J675" t="s">
        <v>77</v>
      </c>
      <c r="K675" t="s">
        <v>78</v>
      </c>
      <c r="L675" t="s">
        <v>156</v>
      </c>
      <c r="M675" t="s">
        <v>157</v>
      </c>
      <c r="N675" t="s">
        <v>434</v>
      </c>
      <c r="O675" t="s">
        <v>89</v>
      </c>
      <c r="P675" t="str">
        <f>"4170071955                    "</f>
        <v xml:space="preserve">4170071955                    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>
        <v>0</v>
      </c>
      <c r="AJ675">
        <v>0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0</v>
      </c>
      <c r="AQ675">
        <v>25.52</v>
      </c>
      <c r="AR675">
        <v>0</v>
      </c>
      <c r="AS675">
        <v>0</v>
      </c>
      <c r="AT675">
        <v>0</v>
      </c>
      <c r="AU675">
        <v>0</v>
      </c>
      <c r="AV675">
        <v>0</v>
      </c>
      <c r="AW675">
        <v>0</v>
      </c>
      <c r="AX675">
        <v>0</v>
      </c>
      <c r="AY675">
        <v>0</v>
      </c>
      <c r="AZ675">
        <v>0</v>
      </c>
      <c r="BA675">
        <v>0</v>
      </c>
      <c r="BB675">
        <v>0</v>
      </c>
      <c r="BC675">
        <v>0</v>
      </c>
      <c r="BD675">
        <v>0</v>
      </c>
      <c r="BE675">
        <v>0</v>
      </c>
      <c r="BF675">
        <v>0</v>
      </c>
      <c r="BG675">
        <v>0</v>
      </c>
      <c r="BH675">
        <v>1</v>
      </c>
      <c r="BI675">
        <v>2</v>
      </c>
      <c r="BJ675">
        <v>1.4</v>
      </c>
      <c r="BK675">
        <v>2</v>
      </c>
      <c r="BL675">
        <v>76.06</v>
      </c>
      <c r="BM675">
        <v>11.41</v>
      </c>
      <c r="BN675">
        <v>87.47</v>
      </c>
      <c r="BO675">
        <v>87.47</v>
      </c>
      <c r="BQ675" t="s">
        <v>435</v>
      </c>
      <c r="BR675" t="s">
        <v>82</v>
      </c>
      <c r="BS675" s="3">
        <v>45996</v>
      </c>
      <c r="BT675" s="4">
        <v>0.39583333333333331</v>
      </c>
      <c r="BU675" t="s">
        <v>1168</v>
      </c>
      <c r="BV675" t="s">
        <v>84</v>
      </c>
      <c r="BY675">
        <v>7000</v>
      </c>
      <c r="CA675" t="s">
        <v>264</v>
      </c>
      <c r="CC675" t="s">
        <v>157</v>
      </c>
      <c r="CD675">
        <v>7441</v>
      </c>
      <c r="CE675" t="s">
        <v>86</v>
      </c>
      <c r="CF675" s="3">
        <v>45999</v>
      </c>
      <c r="CI675">
        <v>1</v>
      </c>
      <c r="CJ675">
        <v>1</v>
      </c>
      <c r="CK675">
        <v>21</v>
      </c>
      <c r="CL675" t="s">
        <v>87</v>
      </c>
    </row>
    <row r="676" spans="1:90" x14ac:dyDescent="0.3">
      <c r="A676" t="s">
        <v>72</v>
      </c>
      <c r="B676" t="s">
        <v>73</v>
      </c>
      <c r="C676" t="s">
        <v>74</v>
      </c>
      <c r="E676" t="str">
        <f>"080069680148"</f>
        <v>080069680148</v>
      </c>
      <c r="F676" s="3">
        <v>45995</v>
      </c>
      <c r="G676">
        <v>202609</v>
      </c>
      <c r="H676" t="s">
        <v>75</v>
      </c>
      <c r="I676" t="s">
        <v>76</v>
      </c>
      <c r="J676" t="s">
        <v>77</v>
      </c>
      <c r="K676" t="s">
        <v>78</v>
      </c>
      <c r="L676" t="s">
        <v>458</v>
      </c>
      <c r="M676" t="s">
        <v>459</v>
      </c>
      <c r="N676" t="s">
        <v>460</v>
      </c>
      <c r="O676" t="s">
        <v>89</v>
      </c>
      <c r="P676" t="str">
        <f>"4170071976                    "</f>
        <v xml:space="preserve">4170071976                    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0</v>
      </c>
      <c r="AG676">
        <v>0</v>
      </c>
      <c r="AH676">
        <v>0</v>
      </c>
      <c r="AI676">
        <v>0</v>
      </c>
      <c r="AJ676">
        <v>0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138.78</v>
      </c>
      <c r="AR676">
        <v>0</v>
      </c>
      <c r="AS676">
        <v>0</v>
      </c>
      <c r="AT676">
        <v>0</v>
      </c>
      <c r="AU676">
        <v>0</v>
      </c>
      <c r="AV676">
        <v>0</v>
      </c>
      <c r="AW676">
        <v>0</v>
      </c>
      <c r="AX676">
        <v>0</v>
      </c>
      <c r="AY676">
        <v>0</v>
      </c>
      <c r="AZ676">
        <v>0</v>
      </c>
      <c r="BA676">
        <v>0</v>
      </c>
      <c r="BB676">
        <v>0</v>
      </c>
      <c r="BC676">
        <v>0</v>
      </c>
      <c r="BD676">
        <v>0</v>
      </c>
      <c r="BE676">
        <v>0</v>
      </c>
      <c r="BF676">
        <v>0</v>
      </c>
      <c r="BG676">
        <v>0</v>
      </c>
      <c r="BH676">
        <v>1</v>
      </c>
      <c r="BI676">
        <v>6</v>
      </c>
      <c r="BJ676">
        <v>1.8</v>
      </c>
      <c r="BK676">
        <v>6</v>
      </c>
      <c r="BL676">
        <v>413.59</v>
      </c>
      <c r="BM676">
        <v>62.04</v>
      </c>
      <c r="BN676">
        <v>475.63</v>
      </c>
      <c r="BO676">
        <v>475.63</v>
      </c>
      <c r="BQ676" t="s">
        <v>461</v>
      </c>
      <c r="BR676" t="s">
        <v>82</v>
      </c>
      <c r="BS676" s="3">
        <v>45996</v>
      </c>
      <c r="BT676" s="4">
        <v>0.57222222222222219</v>
      </c>
      <c r="BU676" t="s">
        <v>1385</v>
      </c>
      <c r="BV676" t="s">
        <v>87</v>
      </c>
      <c r="BW676" t="s">
        <v>153</v>
      </c>
      <c r="BX676" t="s">
        <v>345</v>
      </c>
      <c r="BY676">
        <v>8816</v>
      </c>
      <c r="CA676" t="s">
        <v>463</v>
      </c>
      <c r="CC676" t="s">
        <v>459</v>
      </c>
      <c r="CD676">
        <v>7130</v>
      </c>
      <c r="CE676" t="s">
        <v>86</v>
      </c>
      <c r="CI676">
        <v>1</v>
      </c>
      <c r="CJ676">
        <v>1</v>
      </c>
      <c r="CK676">
        <v>23</v>
      </c>
      <c r="CL676" t="s">
        <v>87</v>
      </c>
    </row>
    <row r="677" spans="1:90" x14ac:dyDescent="0.3">
      <c r="A677" t="s">
        <v>72</v>
      </c>
      <c r="B677" t="s">
        <v>73</v>
      </c>
      <c r="C677" t="s">
        <v>74</v>
      </c>
      <c r="E677" t="str">
        <f>"080069680377"</f>
        <v>080069680377</v>
      </c>
      <c r="F677" s="3">
        <v>45995</v>
      </c>
      <c r="G677">
        <v>202609</v>
      </c>
      <c r="H677" t="s">
        <v>75</v>
      </c>
      <c r="I677" t="s">
        <v>76</v>
      </c>
      <c r="J677" t="s">
        <v>77</v>
      </c>
      <c r="K677" t="s">
        <v>78</v>
      </c>
      <c r="L677" t="s">
        <v>156</v>
      </c>
      <c r="M677" t="s">
        <v>157</v>
      </c>
      <c r="N677" t="s">
        <v>261</v>
      </c>
      <c r="O677" t="s">
        <v>89</v>
      </c>
      <c r="P677" t="str">
        <f>"4170071980                    "</f>
        <v xml:space="preserve">4170071980                    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0</v>
      </c>
      <c r="AG677">
        <v>0</v>
      </c>
      <c r="AH677">
        <v>0</v>
      </c>
      <c r="AI677">
        <v>0</v>
      </c>
      <c r="AJ677">
        <v>0</v>
      </c>
      <c r="AK677">
        <v>0</v>
      </c>
      <c r="AL677">
        <v>0</v>
      </c>
      <c r="AM677">
        <v>0</v>
      </c>
      <c r="AN677">
        <v>0</v>
      </c>
      <c r="AO677">
        <v>0</v>
      </c>
      <c r="AP677">
        <v>0</v>
      </c>
      <c r="AQ677">
        <v>38.28</v>
      </c>
      <c r="AR677">
        <v>0</v>
      </c>
      <c r="AS677">
        <v>0</v>
      </c>
      <c r="AT677">
        <v>0</v>
      </c>
      <c r="AU677">
        <v>0</v>
      </c>
      <c r="AV677">
        <v>0</v>
      </c>
      <c r="AW677">
        <v>0</v>
      </c>
      <c r="AX677">
        <v>0</v>
      </c>
      <c r="AY677">
        <v>0</v>
      </c>
      <c r="AZ677">
        <v>0</v>
      </c>
      <c r="BA677">
        <v>0</v>
      </c>
      <c r="BB677">
        <v>0</v>
      </c>
      <c r="BC677">
        <v>0</v>
      </c>
      <c r="BD677">
        <v>0</v>
      </c>
      <c r="BE677">
        <v>0</v>
      </c>
      <c r="BF677">
        <v>0</v>
      </c>
      <c r="BG677">
        <v>0</v>
      </c>
      <c r="BH677">
        <v>1</v>
      </c>
      <c r="BI677">
        <v>3</v>
      </c>
      <c r="BJ677">
        <v>2.8</v>
      </c>
      <c r="BK677">
        <v>3</v>
      </c>
      <c r="BL677">
        <v>114.08</v>
      </c>
      <c r="BM677">
        <v>17.11</v>
      </c>
      <c r="BN677">
        <v>131.19</v>
      </c>
      <c r="BO677">
        <v>131.19</v>
      </c>
      <c r="BQ677" t="s">
        <v>262</v>
      </c>
      <c r="BR677" t="s">
        <v>82</v>
      </c>
      <c r="BS677" s="3">
        <v>45996</v>
      </c>
      <c r="BT677" s="4">
        <v>0.39861111111111114</v>
      </c>
      <c r="BU677" t="s">
        <v>1386</v>
      </c>
      <c r="BV677" t="s">
        <v>84</v>
      </c>
      <c r="BY677">
        <v>14100</v>
      </c>
      <c r="CC677" t="s">
        <v>157</v>
      </c>
      <c r="CD677">
        <v>7441</v>
      </c>
      <c r="CE677" t="s">
        <v>93</v>
      </c>
      <c r="CF677" s="3">
        <v>45999</v>
      </c>
      <c r="CI677">
        <v>1</v>
      </c>
      <c r="CJ677">
        <v>1</v>
      </c>
      <c r="CK677">
        <v>21</v>
      </c>
      <c r="CL677" t="s">
        <v>87</v>
      </c>
    </row>
    <row r="678" spans="1:90" x14ac:dyDescent="0.3">
      <c r="A678" t="s">
        <v>72</v>
      </c>
      <c r="B678" t="s">
        <v>73</v>
      </c>
      <c r="C678" t="s">
        <v>74</v>
      </c>
      <c r="E678" t="str">
        <f>"080069680382"</f>
        <v>080069680382</v>
      </c>
      <c r="F678" s="3">
        <v>45995</v>
      </c>
      <c r="G678">
        <v>202609</v>
      </c>
      <c r="H678" t="s">
        <v>75</v>
      </c>
      <c r="I678" t="s">
        <v>76</v>
      </c>
      <c r="J678" t="s">
        <v>77</v>
      </c>
      <c r="K678" t="s">
        <v>78</v>
      </c>
      <c r="L678" t="s">
        <v>985</v>
      </c>
      <c r="M678" t="s">
        <v>986</v>
      </c>
      <c r="N678" t="s">
        <v>1387</v>
      </c>
      <c r="O678" t="s">
        <v>89</v>
      </c>
      <c r="P678" t="str">
        <f>"4170071952                    "</f>
        <v xml:space="preserve">4170071952                    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0</v>
      </c>
      <c r="AJ678">
        <v>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127.61</v>
      </c>
      <c r="AR678">
        <v>0</v>
      </c>
      <c r="AS678">
        <v>0</v>
      </c>
      <c r="AT678">
        <v>0</v>
      </c>
      <c r="AU678">
        <v>0</v>
      </c>
      <c r="AV678">
        <v>0</v>
      </c>
      <c r="AW678">
        <v>0</v>
      </c>
      <c r="AX678">
        <v>0</v>
      </c>
      <c r="AY678">
        <v>0</v>
      </c>
      <c r="AZ678">
        <v>0</v>
      </c>
      <c r="BA678">
        <v>0</v>
      </c>
      <c r="BB678">
        <v>0</v>
      </c>
      <c r="BC678">
        <v>0</v>
      </c>
      <c r="BD678">
        <v>0</v>
      </c>
      <c r="BE678">
        <v>0</v>
      </c>
      <c r="BF678">
        <v>0</v>
      </c>
      <c r="BG678">
        <v>0</v>
      </c>
      <c r="BH678">
        <v>1</v>
      </c>
      <c r="BI678">
        <v>4</v>
      </c>
      <c r="BJ678">
        <v>5.5</v>
      </c>
      <c r="BK678">
        <v>5.5</v>
      </c>
      <c r="BL678">
        <v>380.31</v>
      </c>
      <c r="BM678">
        <v>57.05</v>
      </c>
      <c r="BN678">
        <v>437.36</v>
      </c>
      <c r="BO678">
        <v>437.36</v>
      </c>
      <c r="BQ678" t="s">
        <v>988</v>
      </c>
      <c r="BR678" t="s">
        <v>82</v>
      </c>
      <c r="BS678" s="3">
        <v>45996</v>
      </c>
      <c r="BT678" s="4">
        <v>0.62569444444444444</v>
      </c>
      <c r="BU678" t="s">
        <v>1388</v>
      </c>
      <c r="BV678" t="s">
        <v>84</v>
      </c>
      <c r="BY678">
        <v>27744</v>
      </c>
      <c r="CA678" t="s">
        <v>1389</v>
      </c>
      <c r="CC678" t="s">
        <v>986</v>
      </c>
      <c r="CD678">
        <v>4449</v>
      </c>
      <c r="CE678" t="s">
        <v>93</v>
      </c>
      <c r="CF678" s="3">
        <v>45996</v>
      </c>
      <c r="CI678">
        <v>1</v>
      </c>
      <c r="CJ678">
        <v>1</v>
      </c>
      <c r="CK678">
        <v>23</v>
      </c>
      <c r="CL678" t="s">
        <v>87</v>
      </c>
    </row>
    <row r="679" spans="1:90" x14ac:dyDescent="0.3">
      <c r="A679" t="s">
        <v>72</v>
      </c>
      <c r="B679" t="s">
        <v>73</v>
      </c>
      <c r="C679" t="s">
        <v>74</v>
      </c>
      <c r="E679" t="str">
        <f>"080069680435"</f>
        <v>080069680435</v>
      </c>
      <c r="F679" s="3">
        <v>45995</v>
      </c>
      <c r="G679">
        <v>202609</v>
      </c>
      <c r="H679" t="s">
        <v>75</v>
      </c>
      <c r="I679" t="s">
        <v>76</v>
      </c>
      <c r="J679" t="s">
        <v>77</v>
      </c>
      <c r="K679" t="s">
        <v>78</v>
      </c>
      <c r="L679" t="s">
        <v>332</v>
      </c>
      <c r="M679" t="s">
        <v>333</v>
      </c>
      <c r="N679" t="s">
        <v>334</v>
      </c>
      <c r="O679" t="s">
        <v>89</v>
      </c>
      <c r="P679" t="str">
        <f>"4170071984                    "</f>
        <v xml:space="preserve">4170071984                    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  <c r="AJ679">
        <v>0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49.45</v>
      </c>
      <c r="AR679">
        <v>0</v>
      </c>
      <c r="AS679">
        <v>0</v>
      </c>
      <c r="AT679">
        <v>0</v>
      </c>
      <c r="AU679">
        <v>0</v>
      </c>
      <c r="AV679">
        <v>0</v>
      </c>
      <c r="AW679">
        <v>0</v>
      </c>
      <c r="AX679">
        <v>0</v>
      </c>
      <c r="AY679">
        <v>0</v>
      </c>
      <c r="AZ679">
        <v>0</v>
      </c>
      <c r="BA679">
        <v>0</v>
      </c>
      <c r="BB679">
        <v>0</v>
      </c>
      <c r="BC679">
        <v>0</v>
      </c>
      <c r="BD679">
        <v>0</v>
      </c>
      <c r="BE679">
        <v>0</v>
      </c>
      <c r="BF679">
        <v>0</v>
      </c>
      <c r="BG679">
        <v>0</v>
      </c>
      <c r="BH679">
        <v>1</v>
      </c>
      <c r="BI679">
        <v>2</v>
      </c>
      <c r="BJ679">
        <v>1.1000000000000001</v>
      </c>
      <c r="BK679">
        <v>2</v>
      </c>
      <c r="BL679">
        <v>147.38</v>
      </c>
      <c r="BM679">
        <v>22.11</v>
      </c>
      <c r="BN679">
        <v>169.49</v>
      </c>
      <c r="BO679">
        <v>169.49</v>
      </c>
      <c r="BQ679" t="s">
        <v>335</v>
      </c>
      <c r="BR679" t="s">
        <v>82</v>
      </c>
      <c r="BS679" s="3">
        <v>45996</v>
      </c>
      <c r="BT679" s="4">
        <v>0.59097222222222223</v>
      </c>
      <c r="BU679" t="s">
        <v>1194</v>
      </c>
      <c r="BV679" t="s">
        <v>84</v>
      </c>
      <c r="BY679">
        <v>5510</v>
      </c>
      <c r="CA679">
        <v>9512195092080</v>
      </c>
      <c r="CC679" t="s">
        <v>333</v>
      </c>
      <c r="CD679">
        <v>6500</v>
      </c>
      <c r="CE679" t="s">
        <v>86</v>
      </c>
      <c r="CI679">
        <v>1</v>
      </c>
      <c r="CJ679">
        <v>1</v>
      </c>
      <c r="CK679">
        <v>23</v>
      </c>
      <c r="CL679" t="s">
        <v>87</v>
      </c>
    </row>
    <row r="680" spans="1:90" x14ac:dyDescent="0.3">
      <c r="A680" t="s">
        <v>72</v>
      </c>
      <c r="B680" t="s">
        <v>73</v>
      </c>
      <c r="C680" t="s">
        <v>74</v>
      </c>
      <c r="E680" t="str">
        <f>"080069680440"</f>
        <v>080069680440</v>
      </c>
      <c r="F680" s="3">
        <v>45995</v>
      </c>
      <c r="G680">
        <v>202609</v>
      </c>
      <c r="H680" t="s">
        <v>75</v>
      </c>
      <c r="I680" t="s">
        <v>76</v>
      </c>
      <c r="J680" t="s">
        <v>77</v>
      </c>
      <c r="K680" t="s">
        <v>78</v>
      </c>
      <c r="L680" t="s">
        <v>100</v>
      </c>
      <c r="M680" t="s">
        <v>101</v>
      </c>
      <c r="N680" t="s">
        <v>1390</v>
      </c>
      <c r="O680" t="s">
        <v>89</v>
      </c>
      <c r="P680" t="str">
        <f>"4170071987                    "</f>
        <v xml:space="preserve">4170071987                    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0</v>
      </c>
      <c r="AG680">
        <v>0</v>
      </c>
      <c r="AH680">
        <v>0</v>
      </c>
      <c r="AI680">
        <v>0</v>
      </c>
      <c r="AJ680">
        <v>0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25.52</v>
      </c>
      <c r="AR680">
        <v>0</v>
      </c>
      <c r="AS680">
        <v>0</v>
      </c>
      <c r="AT680">
        <v>0</v>
      </c>
      <c r="AU680">
        <v>0</v>
      </c>
      <c r="AV680">
        <v>0</v>
      </c>
      <c r="AW680">
        <v>0</v>
      </c>
      <c r="AX680">
        <v>0</v>
      </c>
      <c r="AY680">
        <v>0</v>
      </c>
      <c r="AZ680">
        <v>0</v>
      </c>
      <c r="BA680">
        <v>0</v>
      </c>
      <c r="BB680">
        <v>0</v>
      </c>
      <c r="BC680">
        <v>0</v>
      </c>
      <c r="BD680">
        <v>0</v>
      </c>
      <c r="BE680">
        <v>0</v>
      </c>
      <c r="BF680">
        <v>0</v>
      </c>
      <c r="BG680">
        <v>0</v>
      </c>
      <c r="BH680">
        <v>1</v>
      </c>
      <c r="BI680">
        <v>1</v>
      </c>
      <c r="BJ680">
        <v>0.2</v>
      </c>
      <c r="BK680">
        <v>1</v>
      </c>
      <c r="BL680">
        <v>76.06</v>
      </c>
      <c r="BM680">
        <v>11.41</v>
      </c>
      <c r="BN680">
        <v>87.47</v>
      </c>
      <c r="BO680">
        <v>87.47</v>
      </c>
      <c r="BQ680" t="s">
        <v>1334</v>
      </c>
      <c r="BR680" t="s">
        <v>82</v>
      </c>
      <c r="BS680" s="3">
        <v>45996</v>
      </c>
      <c r="BT680" s="4">
        <v>0.41249999999999998</v>
      </c>
      <c r="BU680" t="s">
        <v>1391</v>
      </c>
      <c r="BV680" t="s">
        <v>84</v>
      </c>
      <c r="BY680">
        <v>1200</v>
      </c>
      <c r="CA680" t="s">
        <v>1052</v>
      </c>
      <c r="CC680" t="s">
        <v>101</v>
      </c>
      <c r="CD680">
        <v>4000</v>
      </c>
      <c r="CE680" t="s">
        <v>134</v>
      </c>
      <c r="CF680" s="3">
        <v>45996</v>
      </c>
      <c r="CI680">
        <v>1</v>
      </c>
      <c r="CJ680">
        <v>1</v>
      </c>
      <c r="CK680">
        <v>21</v>
      </c>
      <c r="CL680" t="s">
        <v>87</v>
      </c>
    </row>
    <row r="681" spans="1:90" x14ac:dyDescent="0.3">
      <c r="A681" t="s">
        <v>72</v>
      </c>
      <c r="B681" t="s">
        <v>73</v>
      </c>
      <c r="C681" t="s">
        <v>74</v>
      </c>
      <c r="E681" t="str">
        <f>"080069680475"</f>
        <v>080069680475</v>
      </c>
      <c r="F681" s="3">
        <v>45995</v>
      </c>
      <c r="G681">
        <v>202609</v>
      </c>
      <c r="H681" t="s">
        <v>75</v>
      </c>
      <c r="I681" t="s">
        <v>76</v>
      </c>
      <c r="J681" t="s">
        <v>77</v>
      </c>
      <c r="K681" t="s">
        <v>78</v>
      </c>
      <c r="L681" t="s">
        <v>100</v>
      </c>
      <c r="M681" t="s">
        <v>101</v>
      </c>
      <c r="N681" t="s">
        <v>1333</v>
      </c>
      <c r="O681" t="s">
        <v>89</v>
      </c>
      <c r="P681" t="str">
        <f>"4170071988                    "</f>
        <v xml:space="preserve">4170071988                    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0</v>
      </c>
      <c r="AG681">
        <v>0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25.52</v>
      </c>
      <c r="AR681">
        <v>0</v>
      </c>
      <c r="AS681">
        <v>0</v>
      </c>
      <c r="AT681">
        <v>0</v>
      </c>
      <c r="AU681">
        <v>0</v>
      </c>
      <c r="AV681">
        <v>0</v>
      </c>
      <c r="AW681">
        <v>0</v>
      </c>
      <c r="AX681">
        <v>0</v>
      </c>
      <c r="AY681">
        <v>0</v>
      </c>
      <c r="AZ681">
        <v>0</v>
      </c>
      <c r="BA681">
        <v>0</v>
      </c>
      <c r="BB681">
        <v>0</v>
      </c>
      <c r="BC681">
        <v>0</v>
      </c>
      <c r="BD681">
        <v>0</v>
      </c>
      <c r="BE681">
        <v>0</v>
      </c>
      <c r="BF681">
        <v>0</v>
      </c>
      <c r="BG681">
        <v>0</v>
      </c>
      <c r="BH681">
        <v>1</v>
      </c>
      <c r="BI681">
        <v>1</v>
      </c>
      <c r="BJ681">
        <v>1.1000000000000001</v>
      </c>
      <c r="BK681">
        <v>1.5</v>
      </c>
      <c r="BL681">
        <v>76.06</v>
      </c>
      <c r="BM681">
        <v>11.41</v>
      </c>
      <c r="BN681">
        <v>87.47</v>
      </c>
      <c r="BO681">
        <v>87.47</v>
      </c>
      <c r="BQ681" t="s">
        <v>1392</v>
      </c>
      <c r="BR681" t="s">
        <v>82</v>
      </c>
      <c r="BS681" s="3">
        <v>45996</v>
      </c>
      <c r="BT681" s="4">
        <v>0.41249999999999998</v>
      </c>
      <c r="BU681" t="s">
        <v>1391</v>
      </c>
      <c r="BV681" t="s">
        <v>84</v>
      </c>
      <c r="BY681">
        <v>5510</v>
      </c>
      <c r="CA681" t="s">
        <v>1052</v>
      </c>
      <c r="CC681" t="s">
        <v>101</v>
      </c>
      <c r="CD681">
        <v>4001</v>
      </c>
      <c r="CE681" t="s">
        <v>86</v>
      </c>
      <c r="CF681" s="3">
        <v>45996</v>
      </c>
      <c r="CI681">
        <v>1</v>
      </c>
      <c r="CJ681">
        <v>1</v>
      </c>
      <c r="CK681">
        <v>21</v>
      </c>
      <c r="CL681" t="s">
        <v>87</v>
      </c>
    </row>
    <row r="682" spans="1:90" x14ac:dyDescent="0.3">
      <c r="A682" t="s">
        <v>72</v>
      </c>
      <c r="B682" t="s">
        <v>73</v>
      </c>
      <c r="C682" t="s">
        <v>74</v>
      </c>
      <c r="E682" t="str">
        <f>"080069680474"</f>
        <v>080069680474</v>
      </c>
      <c r="F682" s="3">
        <v>45995</v>
      </c>
      <c r="G682">
        <v>202609</v>
      </c>
      <c r="H682" t="s">
        <v>75</v>
      </c>
      <c r="I682" t="s">
        <v>76</v>
      </c>
      <c r="J682" t="s">
        <v>77</v>
      </c>
      <c r="K682" t="s">
        <v>78</v>
      </c>
      <c r="L682" t="s">
        <v>156</v>
      </c>
      <c r="M682" t="s">
        <v>157</v>
      </c>
      <c r="N682" t="s">
        <v>261</v>
      </c>
      <c r="O682" t="s">
        <v>89</v>
      </c>
      <c r="P682" t="str">
        <f>"4170071979                    "</f>
        <v xml:space="preserve">4170071979                    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0</v>
      </c>
      <c r="AI682">
        <v>0</v>
      </c>
      <c r="AJ682">
        <v>0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</v>
      </c>
      <c r="AQ682">
        <v>25.52</v>
      </c>
      <c r="AR682">
        <v>0</v>
      </c>
      <c r="AS682">
        <v>0</v>
      </c>
      <c r="AT682">
        <v>0</v>
      </c>
      <c r="AU682">
        <v>0</v>
      </c>
      <c r="AV682">
        <v>0</v>
      </c>
      <c r="AW682">
        <v>0</v>
      </c>
      <c r="AX682">
        <v>0</v>
      </c>
      <c r="AY682">
        <v>0</v>
      </c>
      <c r="AZ682">
        <v>0</v>
      </c>
      <c r="BA682">
        <v>0</v>
      </c>
      <c r="BB682">
        <v>0</v>
      </c>
      <c r="BC682">
        <v>0</v>
      </c>
      <c r="BD682">
        <v>0</v>
      </c>
      <c r="BE682">
        <v>0</v>
      </c>
      <c r="BF682">
        <v>0</v>
      </c>
      <c r="BG682">
        <v>0</v>
      </c>
      <c r="BH682">
        <v>1</v>
      </c>
      <c r="BI682">
        <v>1</v>
      </c>
      <c r="BJ682">
        <v>0.2</v>
      </c>
      <c r="BK682">
        <v>1</v>
      </c>
      <c r="BL682">
        <v>76.06</v>
      </c>
      <c r="BM682">
        <v>11.41</v>
      </c>
      <c r="BN682">
        <v>87.47</v>
      </c>
      <c r="BO682">
        <v>87.47</v>
      </c>
      <c r="BQ682" t="s">
        <v>262</v>
      </c>
      <c r="BR682" t="s">
        <v>82</v>
      </c>
      <c r="BS682" s="3">
        <v>45996</v>
      </c>
      <c r="BT682" s="4">
        <v>0.39861111111111114</v>
      </c>
      <c r="BU682" t="s">
        <v>263</v>
      </c>
      <c r="BV682" t="s">
        <v>84</v>
      </c>
      <c r="BY682">
        <v>1200</v>
      </c>
      <c r="CA682" t="s">
        <v>264</v>
      </c>
      <c r="CC682" t="s">
        <v>157</v>
      </c>
      <c r="CD682">
        <v>7441</v>
      </c>
      <c r="CE682" t="s">
        <v>134</v>
      </c>
      <c r="CF682" s="3">
        <v>45999</v>
      </c>
      <c r="CI682">
        <v>1</v>
      </c>
      <c r="CJ682">
        <v>1</v>
      </c>
      <c r="CK682">
        <v>21</v>
      </c>
      <c r="CL682" t="s">
        <v>87</v>
      </c>
    </row>
    <row r="683" spans="1:90" x14ac:dyDescent="0.3">
      <c r="A683" t="s">
        <v>72</v>
      </c>
      <c r="B683" t="s">
        <v>73</v>
      </c>
      <c r="C683" t="s">
        <v>74</v>
      </c>
      <c r="E683" t="str">
        <f>"080069680509"</f>
        <v>080069680509</v>
      </c>
      <c r="F683" s="3">
        <v>45995</v>
      </c>
      <c r="G683">
        <v>202609</v>
      </c>
      <c r="H683" t="s">
        <v>75</v>
      </c>
      <c r="I683" t="s">
        <v>76</v>
      </c>
      <c r="J683" t="s">
        <v>77</v>
      </c>
      <c r="K683" t="s">
        <v>78</v>
      </c>
      <c r="L683" t="s">
        <v>458</v>
      </c>
      <c r="M683" t="s">
        <v>459</v>
      </c>
      <c r="N683" t="s">
        <v>460</v>
      </c>
      <c r="O683" t="s">
        <v>89</v>
      </c>
      <c r="P683" t="str">
        <f>"4170071978                    "</f>
        <v xml:space="preserve">4170071978                    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  <c r="AG683">
        <v>0</v>
      </c>
      <c r="AH683">
        <v>0</v>
      </c>
      <c r="AI683">
        <v>0</v>
      </c>
      <c r="AJ683">
        <v>0</v>
      </c>
      <c r="AK683">
        <v>0</v>
      </c>
      <c r="AL683">
        <v>0</v>
      </c>
      <c r="AM683">
        <v>0</v>
      </c>
      <c r="AN683">
        <v>0</v>
      </c>
      <c r="AO683">
        <v>0</v>
      </c>
      <c r="AP683">
        <v>0</v>
      </c>
      <c r="AQ683">
        <v>49.45</v>
      </c>
      <c r="AR683">
        <v>0</v>
      </c>
      <c r="AS683">
        <v>0</v>
      </c>
      <c r="AT683">
        <v>0</v>
      </c>
      <c r="AU683">
        <v>0</v>
      </c>
      <c r="AV683">
        <v>0</v>
      </c>
      <c r="AW683">
        <v>0</v>
      </c>
      <c r="AX683">
        <v>0</v>
      </c>
      <c r="AY683">
        <v>0</v>
      </c>
      <c r="AZ683">
        <v>0</v>
      </c>
      <c r="BA683">
        <v>0</v>
      </c>
      <c r="BB683">
        <v>0</v>
      </c>
      <c r="BC683">
        <v>0</v>
      </c>
      <c r="BD683">
        <v>0</v>
      </c>
      <c r="BE683">
        <v>0</v>
      </c>
      <c r="BF683">
        <v>0</v>
      </c>
      <c r="BG683">
        <v>0</v>
      </c>
      <c r="BH683">
        <v>1</v>
      </c>
      <c r="BI683">
        <v>1</v>
      </c>
      <c r="BJ683">
        <v>0.2</v>
      </c>
      <c r="BK683">
        <v>1</v>
      </c>
      <c r="BL683">
        <v>147.38</v>
      </c>
      <c r="BM683">
        <v>22.11</v>
      </c>
      <c r="BN683">
        <v>169.49</v>
      </c>
      <c r="BO683">
        <v>169.49</v>
      </c>
      <c r="BQ683" t="s">
        <v>461</v>
      </c>
      <c r="BR683" t="s">
        <v>82</v>
      </c>
      <c r="BS683" s="3">
        <v>45996</v>
      </c>
      <c r="BT683" s="4">
        <v>0.57222222222222219</v>
      </c>
      <c r="BU683" t="s">
        <v>1385</v>
      </c>
      <c r="BV683" t="s">
        <v>87</v>
      </c>
      <c r="BW683" t="s">
        <v>153</v>
      </c>
      <c r="BX683" t="s">
        <v>345</v>
      </c>
      <c r="BY683">
        <v>1200</v>
      </c>
      <c r="CA683" t="s">
        <v>1393</v>
      </c>
      <c r="CC683" t="s">
        <v>459</v>
      </c>
      <c r="CD683">
        <v>7130</v>
      </c>
      <c r="CE683" t="s">
        <v>134</v>
      </c>
      <c r="CI683">
        <v>1</v>
      </c>
      <c r="CJ683">
        <v>1</v>
      </c>
      <c r="CK683">
        <v>23</v>
      </c>
      <c r="CL683" t="s">
        <v>87</v>
      </c>
    </row>
    <row r="684" spans="1:90" x14ac:dyDescent="0.3">
      <c r="A684" t="s">
        <v>72</v>
      </c>
      <c r="B684" t="s">
        <v>73</v>
      </c>
      <c r="C684" t="s">
        <v>74</v>
      </c>
      <c r="E684" t="str">
        <f>"080069680564"</f>
        <v>080069680564</v>
      </c>
      <c r="F684" s="3">
        <v>45995</v>
      </c>
      <c r="G684">
        <v>202609</v>
      </c>
      <c r="H684" t="s">
        <v>75</v>
      </c>
      <c r="I684" t="s">
        <v>76</v>
      </c>
      <c r="J684" t="s">
        <v>77</v>
      </c>
      <c r="K684" t="s">
        <v>78</v>
      </c>
      <c r="L684" t="s">
        <v>156</v>
      </c>
      <c r="M684" t="s">
        <v>157</v>
      </c>
      <c r="N684" t="s">
        <v>158</v>
      </c>
      <c r="O684" t="s">
        <v>80</v>
      </c>
      <c r="P684" t="str">
        <f>"4170072013                    "</f>
        <v xml:space="preserve">4170072013                    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0</v>
      </c>
      <c r="AG684">
        <v>0</v>
      </c>
      <c r="AH684">
        <v>0</v>
      </c>
      <c r="AI684">
        <v>0</v>
      </c>
      <c r="AJ684">
        <v>0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177.89</v>
      </c>
      <c r="AR684">
        <v>0</v>
      </c>
      <c r="AS684">
        <v>0</v>
      </c>
      <c r="AT684">
        <v>0</v>
      </c>
      <c r="AU684">
        <v>0</v>
      </c>
      <c r="AV684">
        <v>0</v>
      </c>
      <c r="AW684">
        <v>0</v>
      </c>
      <c r="AX684">
        <v>0</v>
      </c>
      <c r="AY684">
        <v>0</v>
      </c>
      <c r="AZ684">
        <v>0</v>
      </c>
      <c r="BA684">
        <v>0</v>
      </c>
      <c r="BB684">
        <v>0</v>
      </c>
      <c r="BC684">
        <v>0</v>
      </c>
      <c r="BD684">
        <v>0</v>
      </c>
      <c r="BE684">
        <v>0</v>
      </c>
      <c r="BF684">
        <v>0</v>
      </c>
      <c r="BG684">
        <v>0</v>
      </c>
      <c r="BH684">
        <v>1</v>
      </c>
      <c r="BI684">
        <v>62</v>
      </c>
      <c r="BJ684">
        <v>77.2</v>
      </c>
      <c r="BK684">
        <v>78</v>
      </c>
      <c r="BL684">
        <v>536.25</v>
      </c>
      <c r="BM684">
        <v>80.44</v>
      </c>
      <c r="BN684">
        <v>616.69000000000005</v>
      </c>
      <c r="BO684">
        <v>616.69000000000005</v>
      </c>
      <c r="BQ684" t="s">
        <v>159</v>
      </c>
      <c r="BR684" t="s">
        <v>82</v>
      </c>
      <c r="BS684" t="s">
        <v>500</v>
      </c>
      <c r="BY684">
        <v>385968</v>
      </c>
      <c r="CC684" t="s">
        <v>157</v>
      </c>
      <c r="CD684">
        <v>7530</v>
      </c>
      <c r="CE684" t="s">
        <v>544</v>
      </c>
      <c r="CI684">
        <v>3</v>
      </c>
      <c r="CJ684" t="s">
        <v>500</v>
      </c>
      <c r="CK684">
        <v>41</v>
      </c>
      <c r="CL684" t="s">
        <v>87</v>
      </c>
    </row>
    <row r="685" spans="1:90" x14ac:dyDescent="0.3">
      <c r="A685" t="s">
        <v>72</v>
      </c>
      <c r="B685" t="s">
        <v>73</v>
      </c>
      <c r="C685" t="s">
        <v>74</v>
      </c>
      <c r="E685" t="str">
        <f>"080069680621"</f>
        <v>080069680621</v>
      </c>
      <c r="F685" s="3">
        <v>45995</v>
      </c>
      <c r="G685">
        <v>202609</v>
      </c>
      <c r="H685" t="s">
        <v>75</v>
      </c>
      <c r="I685" t="s">
        <v>76</v>
      </c>
      <c r="J685" t="s">
        <v>77</v>
      </c>
      <c r="K685" t="s">
        <v>78</v>
      </c>
      <c r="L685" t="s">
        <v>176</v>
      </c>
      <c r="M685" t="s">
        <v>177</v>
      </c>
      <c r="N685" t="s">
        <v>410</v>
      </c>
      <c r="O685" t="s">
        <v>80</v>
      </c>
      <c r="P685" t="str">
        <f>"4170071834                    "</f>
        <v xml:space="preserve">4170071834                    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0</v>
      </c>
      <c r="AG685">
        <v>0</v>
      </c>
      <c r="AH685">
        <v>0</v>
      </c>
      <c r="AI685">
        <v>0</v>
      </c>
      <c r="AJ685">
        <v>0</v>
      </c>
      <c r="AK685">
        <v>0</v>
      </c>
      <c r="AL685">
        <v>0</v>
      </c>
      <c r="AM685">
        <v>0</v>
      </c>
      <c r="AN685">
        <v>0</v>
      </c>
      <c r="AO685">
        <v>0</v>
      </c>
      <c r="AP685">
        <v>0</v>
      </c>
      <c r="AQ685">
        <v>43.64</v>
      </c>
      <c r="AR685">
        <v>0</v>
      </c>
      <c r="AS685">
        <v>0</v>
      </c>
      <c r="AT685">
        <v>0</v>
      </c>
      <c r="AU685">
        <v>0</v>
      </c>
      <c r="AV685">
        <v>0</v>
      </c>
      <c r="AW685">
        <v>0</v>
      </c>
      <c r="AX685">
        <v>0</v>
      </c>
      <c r="AY685">
        <v>0</v>
      </c>
      <c r="AZ685">
        <v>0</v>
      </c>
      <c r="BA685">
        <v>0</v>
      </c>
      <c r="BB685">
        <v>0</v>
      </c>
      <c r="BC685">
        <v>0</v>
      </c>
      <c r="BD685">
        <v>0</v>
      </c>
      <c r="BE685">
        <v>0</v>
      </c>
      <c r="BF685">
        <v>0</v>
      </c>
      <c r="BG685">
        <v>0</v>
      </c>
      <c r="BH685">
        <v>1</v>
      </c>
      <c r="BI685">
        <v>19.8</v>
      </c>
      <c r="BJ685">
        <v>19.100000000000001</v>
      </c>
      <c r="BK685">
        <v>20</v>
      </c>
      <c r="BL685">
        <v>136.16</v>
      </c>
      <c r="BM685">
        <v>20.420000000000002</v>
      </c>
      <c r="BN685">
        <v>156.58000000000001</v>
      </c>
      <c r="BO685">
        <v>156.58000000000001</v>
      </c>
      <c r="BQ685" t="s">
        <v>411</v>
      </c>
      <c r="BR685" t="s">
        <v>82</v>
      </c>
      <c r="BS685" s="3">
        <v>45996</v>
      </c>
      <c r="BT685" s="4">
        <v>0.35416666666666669</v>
      </c>
      <c r="BU685" t="s">
        <v>1394</v>
      </c>
      <c r="BV685" t="s">
        <v>84</v>
      </c>
      <c r="BY685">
        <v>95506.35</v>
      </c>
      <c r="CC685" t="s">
        <v>177</v>
      </c>
      <c r="CD685">
        <v>2013</v>
      </c>
      <c r="CE685" t="s">
        <v>86</v>
      </c>
      <c r="CF685" s="3">
        <v>45997</v>
      </c>
      <c r="CI685">
        <v>1</v>
      </c>
      <c r="CJ685">
        <v>1</v>
      </c>
      <c r="CK685">
        <v>42</v>
      </c>
      <c r="CL685" t="s">
        <v>87</v>
      </c>
    </row>
    <row r="686" spans="1:90" x14ac:dyDescent="0.3">
      <c r="A686" t="s">
        <v>72</v>
      </c>
      <c r="B686" t="s">
        <v>73</v>
      </c>
      <c r="C686" t="s">
        <v>74</v>
      </c>
      <c r="E686" t="str">
        <f>"080069680668"</f>
        <v>080069680668</v>
      </c>
      <c r="F686" s="3">
        <v>45995</v>
      </c>
      <c r="G686">
        <v>202609</v>
      </c>
      <c r="H686" t="s">
        <v>75</v>
      </c>
      <c r="I686" t="s">
        <v>76</v>
      </c>
      <c r="J686" t="s">
        <v>77</v>
      </c>
      <c r="K686" t="s">
        <v>78</v>
      </c>
      <c r="L686" t="s">
        <v>176</v>
      </c>
      <c r="M686" t="s">
        <v>177</v>
      </c>
      <c r="N686" t="s">
        <v>1395</v>
      </c>
      <c r="O686" t="s">
        <v>89</v>
      </c>
      <c r="P686" t="str">
        <f>"4170071921                    "</f>
        <v xml:space="preserve">4170071921                    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0</v>
      </c>
      <c r="AJ686">
        <v>0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19.940000000000001</v>
      </c>
      <c r="AR686">
        <v>0</v>
      </c>
      <c r="AS686">
        <v>0</v>
      </c>
      <c r="AT686">
        <v>0</v>
      </c>
      <c r="AU686">
        <v>0</v>
      </c>
      <c r="AV686">
        <v>0</v>
      </c>
      <c r="AW686">
        <v>0</v>
      </c>
      <c r="AX686">
        <v>0</v>
      </c>
      <c r="AY686">
        <v>0</v>
      </c>
      <c r="AZ686">
        <v>0</v>
      </c>
      <c r="BA686">
        <v>0</v>
      </c>
      <c r="BB686">
        <v>0</v>
      </c>
      <c r="BC686">
        <v>0</v>
      </c>
      <c r="BD686">
        <v>0</v>
      </c>
      <c r="BE686">
        <v>0</v>
      </c>
      <c r="BF686">
        <v>0</v>
      </c>
      <c r="BG686">
        <v>0</v>
      </c>
      <c r="BH686">
        <v>1</v>
      </c>
      <c r="BI686">
        <v>1</v>
      </c>
      <c r="BJ686">
        <v>1.1000000000000001</v>
      </c>
      <c r="BK686">
        <v>2</v>
      </c>
      <c r="BL686">
        <v>59.42</v>
      </c>
      <c r="BM686">
        <v>8.91</v>
      </c>
      <c r="BN686">
        <v>68.33</v>
      </c>
      <c r="BO686">
        <v>68.33</v>
      </c>
      <c r="BQ686" t="s">
        <v>1396</v>
      </c>
      <c r="BR686" t="s">
        <v>82</v>
      </c>
      <c r="BS686" s="3">
        <v>45996</v>
      </c>
      <c r="BT686" s="4">
        <v>0.36249999999999999</v>
      </c>
      <c r="BU686" t="s">
        <v>1397</v>
      </c>
      <c r="BV686" t="s">
        <v>84</v>
      </c>
      <c r="BY686">
        <v>5510</v>
      </c>
      <c r="CA686" t="s">
        <v>182</v>
      </c>
      <c r="CC686" t="s">
        <v>177</v>
      </c>
      <c r="CD686">
        <v>2094</v>
      </c>
      <c r="CE686" t="s">
        <v>86</v>
      </c>
      <c r="CF686" s="3">
        <v>45996</v>
      </c>
      <c r="CI686">
        <v>1</v>
      </c>
      <c r="CJ686">
        <v>1</v>
      </c>
      <c r="CK686">
        <v>22</v>
      </c>
      <c r="CL686" t="s">
        <v>87</v>
      </c>
    </row>
    <row r="687" spans="1:90" x14ac:dyDescent="0.3">
      <c r="A687" t="s">
        <v>72</v>
      </c>
      <c r="B687" t="s">
        <v>73</v>
      </c>
      <c r="C687" t="s">
        <v>74</v>
      </c>
      <c r="E687" t="str">
        <f>"080069680864"</f>
        <v>080069680864</v>
      </c>
      <c r="F687" s="3">
        <v>45995</v>
      </c>
      <c r="G687">
        <v>202609</v>
      </c>
      <c r="H687" t="s">
        <v>75</v>
      </c>
      <c r="I687" t="s">
        <v>76</v>
      </c>
      <c r="J687" t="s">
        <v>77</v>
      </c>
      <c r="K687" t="s">
        <v>78</v>
      </c>
      <c r="L687" t="s">
        <v>75</v>
      </c>
      <c r="M687" t="s">
        <v>76</v>
      </c>
      <c r="N687" t="s">
        <v>88</v>
      </c>
      <c r="O687" t="s">
        <v>89</v>
      </c>
      <c r="P687" t="str">
        <f>"4170071989                    "</f>
        <v xml:space="preserve">4170071989                    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0</v>
      </c>
      <c r="AG687">
        <v>0</v>
      </c>
      <c r="AH687">
        <v>0</v>
      </c>
      <c r="AI687">
        <v>0</v>
      </c>
      <c r="AJ687">
        <v>0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19.940000000000001</v>
      </c>
      <c r="AR687">
        <v>0</v>
      </c>
      <c r="AS687">
        <v>0</v>
      </c>
      <c r="AT687">
        <v>0</v>
      </c>
      <c r="AU687">
        <v>0</v>
      </c>
      <c r="AV687">
        <v>0</v>
      </c>
      <c r="AW687">
        <v>0</v>
      </c>
      <c r="AX687">
        <v>0</v>
      </c>
      <c r="AY687">
        <v>0</v>
      </c>
      <c r="AZ687">
        <v>0</v>
      </c>
      <c r="BA687">
        <v>0</v>
      </c>
      <c r="BB687">
        <v>0</v>
      </c>
      <c r="BC687">
        <v>0</v>
      </c>
      <c r="BD687">
        <v>0</v>
      </c>
      <c r="BE687">
        <v>0</v>
      </c>
      <c r="BF687">
        <v>0</v>
      </c>
      <c r="BG687">
        <v>0</v>
      </c>
      <c r="BH687">
        <v>1</v>
      </c>
      <c r="BI687">
        <v>2.8</v>
      </c>
      <c r="BJ687">
        <v>1</v>
      </c>
      <c r="BK687">
        <v>3</v>
      </c>
      <c r="BL687">
        <v>59.42</v>
      </c>
      <c r="BM687">
        <v>8.91</v>
      </c>
      <c r="BN687">
        <v>68.33</v>
      </c>
      <c r="BO687">
        <v>68.33</v>
      </c>
      <c r="BQ687" t="s">
        <v>90</v>
      </c>
      <c r="BR687" t="s">
        <v>82</v>
      </c>
      <c r="BS687" s="3">
        <v>45996</v>
      </c>
      <c r="BT687" s="4">
        <v>0.2986111111111111</v>
      </c>
      <c r="BU687" t="s">
        <v>1262</v>
      </c>
      <c r="BV687" t="s">
        <v>84</v>
      </c>
      <c r="BY687">
        <v>4779.8100000000004</v>
      </c>
      <c r="CA687" t="s">
        <v>92</v>
      </c>
      <c r="CC687" t="s">
        <v>76</v>
      </c>
      <c r="CD687">
        <v>1600</v>
      </c>
      <c r="CE687" t="s">
        <v>86</v>
      </c>
      <c r="CF687" s="3">
        <v>45997</v>
      </c>
      <c r="CI687">
        <v>1</v>
      </c>
      <c r="CJ687">
        <v>1</v>
      </c>
      <c r="CK687">
        <v>22</v>
      </c>
      <c r="CL687" t="s">
        <v>87</v>
      </c>
    </row>
    <row r="688" spans="1:90" x14ac:dyDescent="0.3">
      <c r="A688" t="s">
        <v>72</v>
      </c>
      <c r="B688" t="s">
        <v>73</v>
      </c>
      <c r="C688" t="s">
        <v>74</v>
      </c>
      <c r="E688" t="str">
        <f>"080069680902"</f>
        <v>080069680902</v>
      </c>
      <c r="F688" s="3">
        <v>45995</v>
      </c>
      <c r="G688">
        <v>202609</v>
      </c>
      <c r="H688" t="s">
        <v>75</v>
      </c>
      <c r="I688" t="s">
        <v>76</v>
      </c>
      <c r="J688" t="s">
        <v>77</v>
      </c>
      <c r="K688" t="s">
        <v>78</v>
      </c>
      <c r="L688" t="s">
        <v>176</v>
      </c>
      <c r="M688" t="s">
        <v>177</v>
      </c>
      <c r="N688" t="s">
        <v>178</v>
      </c>
      <c r="O688" t="s">
        <v>340</v>
      </c>
      <c r="P688" t="str">
        <f>"4170071924                    "</f>
        <v xml:space="preserve">4170071924                    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0</v>
      </c>
      <c r="AG688">
        <v>0</v>
      </c>
      <c r="AH688">
        <v>0</v>
      </c>
      <c r="AI688">
        <v>0</v>
      </c>
      <c r="AJ688">
        <v>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19.940000000000001</v>
      </c>
      <c r="AR688">
        <v>0</v>
      </c>
      <c r="AS688">
        <v>0</v>
      </c>
      <c r="AT688">
        <v>0</v>
      </c>
      <c r="AU688">
        <v>0</v>
      </c>
      <c r="AV688">
        <v>0</v>
      </c>
      <c r="AW688">
        <v>0</v>
      </c>
      <c r="AX688">
        <v>0</v>
      </c>
      <c r="AY688">
        <v>0</v>
      </c>
      <c r="AZ688">
        <v>0</v>
      </c>
      <c r="BA688">
        <v>0</v>
      </c>
      <c r="BB688">
        <v>0</v>
      </c>
      <c r="BC688">
        <v>0</v>
      </c>
      <c r="BD688">
        <v>0</v>
      </c>
      <c r="BE688">
        <v>0</v>
      </c>
      <c r="BF688">
        <v>0</v>
      </c>
      <c r="BG688">
        <v>0</v>
      </c>
      <c r="BH688">
        <v>1</v>
      </c>
      <c r="BI688">
        <v>7.5</v>
      </c>
      <c r="BJ688">
        <v>5.2</v>
      </c>
      <c r="BK688">
        <v>8</v>
      </c>
      <c r="BL688">
        <v>59.43</v>
      </c>
      <c r="BM688">
        <v>8.91</v>
      </c>
      <c r="BN688">
        <v>68.34</v>
      </c>
      <c r="BO688">
        <v>68.34</v>
      </c>
      <c r="BQ688" t="s">
        <v>179</v>
      </c>
      <c r="BR688" t="s">
        <v>82</v>
      </c>
      <c r="BS688" s="3">
        <v>45996</v>
      </c>
      <c r="BT688" s="4">
        <v>0.38194444444444442</v>
      </c>
      <c r="BU688" t="s">
        <v>180</v>
      </c>
      <c r="BV688" t="s">
        <v>84</v>
      </c>
      <c r="BY688">
        <v>26092.71</v>
      </c>
      <c r="CA688" t="s">
        <v>182</v>
      </c>
      <c r="CC688" t="s">
        <v>177</v>
      </c>
      <c r="CD688">
        <v>2094</v>
      </c>
      <c r="CE688" t="s">
        <v>93</v>
      </c>
      <c r="CF688" s="3">
        <v>45996</v>
      </c>
      <c r="CI688">
        <v>1</v>
      </c>
      <c r="CJ688">
        <v>1</v>
      </c>
      <c r="CK688">
        <v>32</v>
      </c>
      <c r="CL688" t="s">
        <v>87</v>
      </c>
    </row>
    <row r="689" spans="1:90" x14ac:dyDescent="0.3">
      <c r="A689" t="s">
        <v>72</v>
      </c>
      <c r="B689" t="s">
        <v>73</v>
      </c>
      <c r="C689" t="s">
        <v>74</v>
      </c>
      <c r="E689" t="str">
        <f>"080069680947"</f>
        <v>080069680947</v>
      </c>
      <c r="F689" s="3">
        <v>45995</v>
      </c>
      <c r="G689">
        <v>202609</v>
      </c>
      <c r="H689" t="s">
        <v>75</v>
      </c>
      <c r="I689" t="s">
        <v>76</v>
      </c>
      <c r="J689" t="s">
        <v>77</v>
      </c>
      <c r="K689" t="s">
        <v>78</v>
      </c>
      <c r="L689" t="s">
        <v>465</v>
      </c>
      <c r="M689" t="s">
        <v>466</v>
      </c>
      <c r="N689" t="s">
        <v>1398</v>
      </c>
      <c r="O689" t="s">
        <v>340</v>
      </c>
      <c r="P689" t="str">
        <f>"4170071948                    "</f>
        <v xml:space="preserve">4170071948                    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  <c r="AG689">
        <v>0</v>
      </c>
      <c r="AH689">
        <v>0</v>
      </c>
      <c r="AI689">
        <v>0</v>
      </c>
      <c r="AJ689">
        <v>0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22.18</v>
      </c>
      <c r="AR689">
        <v>0</v>
      </c>
      <c r="AS689">
        <v>0</v>
      </c>
      <c r="AT689">
        <v>0</v>
      </c>
      <c r="AU689">
        <v>0</v>
      </c>
      <c r="AV689">
        <v>0</v>
      </c>
      <c r="AW689">
        <v>0</v>
      </c>
      <c r="AX689">
        <v>0</v>
      </c>
      <c r="AY689">
        <v>0</v>
      </c>
      <c r="AZ689">
        <v>0</v>
      </c>
      <c r="BA689">
        <v>0</v>
      </c>
      <c r="BB689">
        <v>0</v>
      </c>
      <c r="BC689">
        <v>0</v>
      </c>
      <c r="BD689">
        <v>0</v>
      </c>
      <c r="BE689">
        <v>0</v>
      </c>
      <c r="BF689">
        <v>0</v>
      </c>
      <c r="BG689">
        <v>0</v>
      </c>
      <c r="BH689">
        <v>1</v>
      </c>
      <c r="BI689">
        <v>5.0999999999999996</v>
      </c>
      <c r="BJ689">
        <v>8.1</v>
      </c>
      <c r="BK689">
        <v>9</v>
      </c>
      <c r="BL689">
        <v>66.099999999999994</v>
      </c>
      <c r="BM689">
        <v>9.92</v>
      </c>
      <c r="BN689">
        <v>76.02</v>
      </c>
      <c r="BO689">
        <v>76.02</v>
      </c>
      <c r="BQ689" t="s">
        <v>1399</v>
      </c>
      <c r="BR689" t="s">
        <v>82</v>
      </c>
      <c r="BS689" t="s">
        <v>500</v>
      </c>
      <c r="BY689">
        <v>40642.239999999998</v>
      </c>
      <c r="CC689" t="s">
        <v>466</v>
      </c>
      <c r="CD689">
        <v>1428</v>
      </c>
      <c r="CE689" t="s">
        <v>93</v>
      </c>
      <c r="CI689">
        <v>1</v>
      </c>
      <c r="CJ689" t="s">
        <v>500</v>
      </c>
      <c r="CK689">
        <v>32</v>
      </c>
      <c r="CL689" t="s">
        <v>87</v>
      </c>
    </row>
    <row r="690" spans="1:90" x14ac:dyDescent="0.3">
      <c r="A690" t="s">
        <v>72</v>
      </c>
      <c r="B690" t="s">
        <v>73</v>
      </c>
      <c r="C690" t="s">
        <v>74</v>
      </c>
      <c r="E690" t="str">
        <f>"080069681045"</f>
        <v>080069681045</v>
      </c>
      <c r="F690" s="3">
        <v>45995</v>
      </c>
      <c r="G690">
        <v>202609</v>
      </c>
      <c r="H690" t="s">
        <v>75</v>
      </c>
      <c r="I690" t="s">
        <v>76</v>
      </c>
      <c r="J690" t="s">
        <v>77</v>
      </c>
      <c r="K690" t="s">
        <v>78</v>
      </c>
      <c r="L690" t="s">
        <v>94</v>
      </c>
      <c r="M690" t="s">
        <v>95</v>
      </c>
      <c r="N690" t="s">
        <v>1400</v>
      </c>
      <c r="O690" t="s">
        <v>89</v>
      </c>
      <c r="P690" t="str">
        <f>"4170071997                    "</f>
        <v xml:space="preserve">4170071997                    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0</v>
      </c>
      <c r="AG690">
        <v>0</v>
      </c>
      <c r="AH690">
        <v>0</v>
      </c>
      <c r="AI690">
        <v>0</v>
      </c>
      <c r="AJ690">
        <v>0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25.52</v>
      </c>
      <c r="AR690">
        <v>0</v>
      </c>
      <c r="AS690">
        <v>0</v>
      </c>
      <c r="AT690">
        <v>0</v>
      </c>
      <c r="AU690">
        <v>0</v>
      </c>
      <c r="AV690">
        <v>0</v>
      </c>
      <c r="AW690">
        <v>0</v>
      </c>
      <c r="AX690">
        <v>0</v>
      </c>
      <c r="AY690">
        <v>0</v>
      </c>
      <c r="AZ690">
        <v>0</v>
      </c>
      <c r="BA690">
        <v>0</v>
      </c>
      <c r="BB690">
        <v>0</v>
      </c>
      <c r="BC690">
        <v>0</v>
      </c>
      <c r="BD690">
        <v>0</v>
      </c>
      <c r="BE690">
        <v>0</v>
      </c>
      <c r="BF690">
        <v>0</v>
      </c>
      <c r="BG690">
        <v>0</v>
      </c>
      <c r="BH690">
        <v>1</v>
      </c>
      <c r="BI690">
        <v>1</v>
      </c>
      <c r="BJ690">
        <v>0.2</v>
      </c>
      <c r="BK690">
        <v>1</v>
      </c>
      <c r="BL690">
        <v>76.06</v>
      </c>
      <c r="BM690">
        <v>11.41</v>
      </c>
      <c r="BN690">
        <v>87.47</v>
      </c>
      <c r="BO690">
        <v>87.47</v>
      </c>
      <c r="BQ690" t="s">
        <v>1401</v>
      </c>
      <c r="BR690" t="s">
        <v>82</v>
      </c>
      <c r="BS690" s="3">
        <v>45996</v>
      </c>
      <c r="BT690" s="4">
        <v>0.42569444444444443</v>
      </c>
      <c r="BU690" t="s">
        <v>1402</v>
      </c>
      <c r="BV690" t="s">
        <v>84</v>
      </c>
      <c r="BY690">
        <v>1200</v>
      </c>
      <c r="CA690" t="s">
        <v>912</v>
      </c>
      <c r="CC690" t="s">
        <v>95</v>
      </c>
      <c r="CD690">
        <v>3600</v>
      </c>
      <c r="CE690" t="s">
        <v>134</v>
      </c>
      <c r="CF690" s="3">
        <v>45996</v>
      </c>
      <c r="CI690">
        <v>1</v>
      </c>
      <c r="CJ690">
        <v>1</v>
      </c>
      <c r="CK690">
        <v>21</v>
      </c>
      <c r="CL690" t="s">
        <v>87</v>
      </c>
    </row>
    <row r="691" spans="1:90" x14ac:dyDescent="0.3">
      <c r="A691" t="s">
        <v>72</v>
      </c>
      <c r="B691" t="s">
        <v>73</v>
      </c>
      <c r="C691" t="s">
        <v>74</v>
      </c>
      <c r="E691" t="str">
        <f>"080069681096"</f>
        <v>080069681096</v>
      </c>
      <c r="F691" s="3">
        <v>45995</v>
      </c>
      <c r="G691">
        <v>202609</v>
      </c>
      <c r="H691" t="s">
        <v>75</v>
      </c>
      <c r="I691" t="s">
        <v>76</v>
      </c>
      <c r="J691" t="s">
        <v>77</v>
      </c>
      <c r="K691" t="s">
        <v>78</v>
      </c>
      <c r="L691" t="s">
        <v>141</v>
      </c>
      <c r="M691" t="s">
        <v>142</v>
      </c>
      <c r="N691" t="s">
        <v>486</v>
      </c>
      <c r="O691" t="s">
        <v>89</v>
      </c>
      <c r="P691" t="str">
        <f>"4170072000                    "</f>
        <v xml:space="preserve">4170072000                    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0</v>
      </c>
      <c r="AG691">
        <v>0</v>
      </c>
      <c r="AH691">
        <v>0</v>
      </c>
      <c r="AI691">
        <v>0</v>
      </c>
      <c r="AJ691">
        <v>0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25.52</v>
      </c>
      <c r="AR691">
        <v>0</v>
      </c>
      <c r="AS691">
        <v>0</v>
      </c>
      <c r="AT691">
        <v>0</v>
      </c>
      <c r="AU691">
        <v>0</v>
      </c>
      <c r="AV691">
        <v>0</v>
      </c>
      <c r="AW691">
        <v>0</v>
      </c>
      <c r="AX691">
        <v>0</v>
      </c>
      <c r="AY691">
        <v>0</v>
      </c>
      <c r="AZ691">
        <v>0</v>
      </c>
      <c r="BA691">
        <v>0</v>
      </c>
      <c r="BB691">
        <v>0</v>
      </c>
      <c r="BC691">
        <v>0</v>
      </c>
      <c r="BD691">
        <v>0</v>
      </c>
      <c r="BE691">
        <v>0</v>
      </c>
      <c r="BF691">
        <v>0</v>
      </c>
      <c r="BG691">
        <v>0</v>
      </c>
      <c r="BH691">
        <v>1</v>
      </c>
      <c r="BI691">
        <v>1</v>
      </c>
      <c r="BJ691">
        <v>0.2</v>
      </c>
      <c r="BK691">
        <v>1</v>
      </c>
      <c r="BL691">
        <v>76.06</v>
      </c>
      <c r="BM691">
        <v>11.41</v>
      </c>
      <c r="BN691">
        <v>87.47</v>
      </c>
      <c r="BO691">
        <v>87.47</v>
      </c>
      <c r="BQ691" t="s">
        <v>487</v>
      </c>
      <c r="BR691" t="s">
        <v>82</v>
      </c>
      <c r="BS691" t="s">
        <v>500</v>
      </c>
      <c r="BY691">
        <v>1200</v>
      </c>
      <c r="CC691" t="s">
        <v>142</v>
      </c>
      <c r="CD691">
        <v>6012</v>
      </c>
      <c r="CE691" t="s">
        <v>134</v>
      </c>
      <c r="CI691">
        <v>1</v>
      </c>
      <c r="CJ691" t="s">
        <v>500</v>
      </c>
      <c r="CK691">
        <v>21</v>
      </c>
      <c r="CL691" t="s">
        <v>87</v>
      </c>
    </row>
    <row r="692" spans="1:90" x14ac:dyDescent="0.3">
      <c r="A692" t="s">
        <v>72</v>
      </c>
      <c r="B692" t="s">
        <v>73</v>
      </c>
      <c r="C692" t="s">
        <v>74</v>
      </c>
      <c r="E692" t="str">
        <f>"080069681135"</f>
        <v>080069681135</v>
      </c>
      <c r="F692" s="3">
        <v>45995</v>
      </c>
      <c r="G692">
        <v>202609</v>
      </c>
      <c r="H692" t="s">
        <v>75</v>
      </c>
      <c r="I692" t="s">
        <v>76</v>
      </c>
      <c r="J692" t="s">
        <v>77</v>
      </c>
      <c r="K692" t="s">
        <v>78</v>
      </c>
      <c r="L692" t="s">
        <v>141</v>
      </c>
      <c r="M692" t="s">
        <v>142</v>
      </c>
      <c r="N692" t="s">
        <v>486</v>
      </c>
      <c r="O692" t="s">
        <v>89</v>
      </c>
      <c r="P692" t="str">
        <f>"4170071999                    "</f>
        <v xml:space="preserve">4170071999                    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0</v>
      </c>
      <c r="AG692">
        <v>0</v>
      </c>
      <c r="AH692">
        <v>0</v>
      </c>
      <c r="AI692">
        <v>0</v>
      </c>
      <c r="AJ692">
        <v>0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25.52</v>
      </c>
      <c r="AR692">
        <v>0</v>
      </c>
      <c r="AS692">
        <v>0</v>
      </c>
      <c r="AT692">
        <v>0</v>
      </c>
      <c r="AU692">
        <v>0</v>
      </c>
      <c r="AV692">
        <v>0</v>
      </c>
      <c r="AW692">
        <v>0</v>
      </c>
      <c r="AX692">
        <v>0</v>
      </c>
      <c r="AY692">
        <v>0</v>
      </c>
      <c r="AZ692">
        <v>0</v>
      </c>
      <c r="BA692">
        <v>0</v>
      </c>
      <c r="BB692">
        <v>0</v>
      </c>
      <c r="BC692">
        <v>0</v>
      </c>
      <c r="BD692">
        <v>0</v>
      </c>
      <c r="BE692">
        <v>0</v>
      </c>
      <c r="BF692">
        <v>0</v>
      </c>
      <c r="BG692">
        <v>0</v>
      </c>
      <c r="BH692">
        <v>1</v>
      </c>
      <c r="BI692">
        <v>1</v>
      </c>
      <c r="BJ692">
        <v>0.2</v>
      </c>
      <c r="BK692">
        <v>1</v>
      </c>
      <c r="BL692">
        <v>76.06</v>
      </c>
      <c r="BM692">
        <v>11.41</v>
      </c>
      <c r="BN692">
        <v>87.47</v>
      </c>
      <c r="BO692">
        <v>87.47</v>
      </c>
      <c r="BQ692" t="s">
        <v>487</v>
      </c>
      <c r="BR692" t="s">
        <v>82</v>
      </c>
      <c r="BS692" t="s">
        <v>500</v>
      </c>
      <c r="BY692">
        <v>1200</v>
      </c>
      <c r="CC692" t="s">
        <v>142</v>
      </c>
      <c r="CD692">
        <v>6012</v>
      </c>
      <c r="CE692" t="s">
        <v>134</v>
      </c>
      <c r="CI692">
        <v>1</v>
      </c>
      <c r="CJ692" t="s">
        <v>500</v>
      </c>
      <c r="CK692">
        <v>21</v>
      </c>
      <c r="CL692" t="s">
        <v>87</v>
      </c>
    </row>
    <row r="693" spans="1:90" x14ac:dyDescent="0.3">
      <c r="A693" t="s">
        <v>72</v>
      </c>
      <c r="B693" t="s">
        <v>73</v>
      </c>
      <c r="C693" t="s">
        <v>74</v>
      </c>
      <c r="E693" t="str">
        <f>"080069681184"</f>
        <v>080069681184</v>
      </c>
      <c r="F693" s="3">
        <v>45995</v>
      </c>
      <c r="G693">
        <v>202609</v>
      </c>
      <c r="H693" t="s">
        <v>75</v>
      </c>
      <c r="I693" t="s">
        <v>76</v>
      </c>
      <c r="J693" t="s">
        <v>77</v>
      </c>
      <c r="K693" t="s">
        <v>78</v>
      </c>
      <c r="L693" t="s">
        <v>128</v>
      </c>
      <c r="M693" t="s">
        <v>129</v>
      </c>
      <c r="N693" t="s">
        <v>1403</v>
      </c>
      <c r="O693" t="s">
        <v>89</v>
      </c>
      <c r="P693" t="str">
        <f>"4170072021                    "</f>
        <v xml:space="preserve">4170072021                    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>
        <v>0</v>
      </c>
      <c r="AJ693">
        <v>0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204.11</v>
      </c>
      <c r="AR693">
        <v>0</v>
      </c>
      <c r="AS693">
        <v>0</v>
      </c>
      <c r="AT693">
        <v>0</v>
      </c>
      <c r="AU693">
        <v>0</v>
      </c>
      <c r="AV693">
        <v>0</v>
      </c>
      <c r="AW693">
        <v>0</v>
      </c>
      <c r="AX693">
        <v>0</v>
      </c>
      <c r="AY693">
        <v>0</v>
      </c>
      <c r="AZ693">
        <v>0</v>
      </c>
      <c r="BA693">
        <v>0</v>
      </c>
      <c r="BB693">
        <v>0</v>
      </c>
      <c r="BC693">
        <v>0</v>
      </c>
      <c r="BD693">
        <v>0</v>
      </c>
      <c r="BE693">
        <v>0</v>
      </c>
      <c r="BF693">
        <v>0</v>
      </c>
      <c r="BG693">
        <v>0</v>
      </c>
      <c r="BH693">
        <v>1</v>
      </c>
      <c r="BI693">
        <v>16</v>
      </c>
      <c r="BJ693">
        <v>7.1</v>
      </c>
      <c r="BK693">
        <v>16</v>
      </c>
      <c r="BL693">
        <v>608.29</v>
      </c>
      <c r="BM693">
        <v>91.24</v>
      </c>
      <c r="BN693">
        <v>699.53</v>
      </c>
      <c r="BO693">
        <v>699.53</v>
      </c>
      <c r="BQ693" t="s">
        <v>1404</v>
      </c>
      <c r="BR693" t="s">
        <v>82</v>
      </c>
      <c r="BS693" s="3">
        <v>45996</v>
      </c>
      <c r="BT693" s="4">
        <v>0.55277777777777781</v>
      </c>
      <c r="BU693" t="s">
        <v>1405</v>
      </c>
      <c r="BV693" t="s">
        <v>87</v>
      </c>
      <c r="BW693" t="s">
        <v>186</v>
      </c>
      <c r="BX693" t="s">
        <v>1267</v>
      </c>
      <c r="BY693">
        <v>35340</v>
      </c>
      <c r="CA693" t="s">
        <v>1406</v>
      </c>
      <c r="CC693" t="s">
        <v>129</v>
      </c>
      <c r="CD693">
        <v>5200</v>
      </c>
      <c r="CE693" t="s">
        <v>544</v>
      </c>
      <c r="CI693">
        <v>1</v>
      </c>
      <c r="CJ693">
        <v>1</v>
      </c>
      <c r="CK693">
        <v>21</v>
      </c>
      <c r="CL693" t="s">
        <v>87</v>
      </c>
    </row>
    <row r="694" spans="1:90" x14ac:dyDescent="0.3">
      <c r="A694" t="s">
        <v>72</v>
      </c>
      <c r="B694" t="s">
        <v>73</v>
      </c>
      <c r="C694" t="s">
        <v>74</v>
      </c>
      <c r="E694" t="str">
        <f>"080069681259"</f>
        <v>080069681259</v>
      </c>
      <c r="F694" s="3">
        <v>45995</v>
      </c>
      <c r="G694">
        <v>202609</v>
      </c>
      <c r="H694" t="s">
        <v>75</v>
      </c>
      <c r="I694" t="s">
        <v>76</v>
      </c>
      <c r="J694" t="s">
        <v>77</v>
      </c>
      <c r="K694" t="s">
        <v>78</v>
      </c>
      <c r="L694" t="s">
        <v>120</v>
      </c>
      <c r="M694" t="s">
        <v>121</v>
      </c>
      <c r="N694" t="s">
        <v>337</v>
      </c>
      <c r="O694" t="s">
        <v>80</v>
      </c>
      <c r="P694" t="str">
        <f>"4170072025                    "</f>
        <v xml:space="preserve">4170072025                    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>
        <v>0</v>
      </c>
      <c r="AG694">
        <v>0</v>
      </c>
      <c r="AH694">
        <v>0</v>
      </c>
      <c r="AI694">
        <v>0</v>
      </c>
      <c r="AJ694">
        <v>0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0</v>
      </c>
      <c r="AQ694">
        <v>88.12</v>
      </c>
      <c r="AR694">
        <v>0</v>
      </c>
      <c r="AS694">
        <v>0</v>
      </c>
      <c r="AT694">
        <v>0</v>
      </c>
      <c r="AU694">
        <v>0</v>
      </c>
      <c r="AV694">
        <v>0</v>
      </c>
      <c r="AW694">
        <v>0</v>
      </c>
      <c r="AX694">
        <v>0</v>
      </c>
      <c r="AY694">
        <v>0</v>
      </c>
      <c r="AZ694">
        <v>0</v>
      </c>
      <c r="BA694">
        <v>0</v>
      </c>
      <c r="BB694">
        <v>0</v>
      </c>
      <c r="BC694">
        <v>0</v>
      </c>
      <c r="BD694">
        <v>0</v>
      </c>
      <c r="BE694">
        <v>0</v>
      </c>
      <c r="BF694">
        <v>0</v>
      </c>
      <c r="BG694">
        <v>0</v>
      </c>
      <c r="BH694">
        <v>2</v>
      </c>
      <c r="BI694">
        <v>33.4</v>
      </c>
      <c r="BJ694">
        <v>31.6</v>
      </c>
      <c r="BK694">
        <v>34</v>
      </c>
      <c r="BL694">
        <v>268.72000000000003</v>
      </c>
      <c r="BM694">
        <v>40.31</v>
      </c>
      <c r="BN694">
        <v>309.02999999999997</v>
      </c>
      <c r="BO694">
        <v>309.02999999999997</v>
      </c>
      <c r="BQ694" t="s">
        <v>338</v>
      </c>
      <c r="BR694" t="s">
        <v>82</v>
      </c>
      <c r="BS694" t="s">
        <v>500</v>
      </c>
      <c r="BY694">
        <v>157814.75</v>
      </c>
      <c r="CC694" t="s">
        <v>121</v>
      </c>
      <c r="CD694">
        <v>6230</v>
      </c>
      <c r="CE694" t="s">
        <v>86</v>
      </c>
      <c r="CI694">
        <v>3</v>
      </c>
      <c r="CJ694" t="s">
        <v>500</v>
      </c>
      <c r="CK694">
        <v>41</v>
      </c>
      <c r="CL694" t="s">
        <v>87</v>
      </c>
    </row>
    <row r="695" spans="1:90" x14ac:dyDescent="0.3">
      <c r="A695" t="s">
        <v>72</v>
      </c>
      <c r="B695" t="s">
        <v>73</v>
      </c>
      <c r="C695" t="s">
        <v>74</v>
      </c>
      <c r="E695" t="str">
        <f>"080069681308"</f>
        <v>080069681308</v>
      </c>
      <c r="F695" s="3">
        <v>45995</v>
      </c>
      <c r="G695">
        <v>202609</v>
      </c>
      <c r="H695" t="s">
        <v>75</v>
      </c>
      <c r="I695" t="s">
        <v>76</v>
      </c>
      <c r="J695" t="s">
        <v>77</v>
      </c>
      <c r="K695" t="s">
        <v>78</v>
      </c>
      <c r="L695" t="s">
        <v>75</v>
      </c>
      <c r="M695" t="s">
        <v>76</v>
      </c>
      <c r="N695" t="s">
        <v>328</v>
      </c>
      <c r="O695" t="s">
        <v>89</v>
      </c>
      <c r="P695" t="str">
        <f>"4170071966                    "</f>
        <v xml:space="preserve">4170071966                    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  <c r="AG695">
        <v>0</v>
      </c>
      <c r="AH695">
        <v>0</v>
      </c>
      <c r="AI695">
        <v>0</v>
      </c>
      <c r="AJ695">
        <v>0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0</v>
      </c>
      <c r="AQ695">
        <v>19.940000000000001</v>
      </c>
      <c r="AR695">
        <v>0</v>
      </c>
      <c r="AS695">
        <v>0</v>
      </c>
      <c r="AT695">
        <v>0</v>
      </c>
      <c r="AU695">
        <v>0</v>
      </c>
      <c r="AV695">
        <v>0</v>
      </c>
      <c r="AW695">
        <v>0</v>
      </c>
      <c r="AX695">
        <v>0</v>
      </c>
      <c r="AY695">
        <v>0</v>
      </c>
      <c r="AZ695">
        <v>0</v>
      </c>
      <c r="BA695">
        <v>0</v>
      </c>
      <c r="BB695">
        <v>0</v>
      </c>
      <c r="BC695">
        <v>0</v>
      </c>
      <c r="BD695">
        <v>0</v>
      </c>
      <c r="BE695">
        <v>0</v>
      </c>
      <c r="BF695">
        <v>0</v>
      </c>
      <c r="BG695">
        <v>0</v>
      </c>
      <c r="BH695">
        <v>1</v>
      </c>
      <c r="BI695">
        <v>2</v>
      </c>
      <c r="BJ695">
        <v>1.9</v>
      </c>
      <c r="BK695">
        <v>2</v>
      </c>
      <c r="BL695">
        <v>59.42</v>
      </c>
      <c r="BM695">
        <v>8.91</v>
      </c>
      <c r="BN695">
        <v>68.33</v>
      </c>
      <c r="BO695">
        <v>68.33</v>
      </c>
      <c r="BQ695" t="s">
        <v>329</v>
      </c>
      <c r="BR695" t="s">
        <v>82</v>
      </c>
      <c r="BS695" s="3">
        <v>45996</v>
      </c>
      <c r="BT695" s="4">
        <v>0.37916666666666665</v>
      </c>
      <c r="BU695" t="s">
        <v>1407</v>
      </c>
      <c r="BV695" t="s">
        <v>84</v>
      </c>
      <c r="BY695">
        <v>9600</v>
      </c>
      <c r="CA695" t="s">
        <v>331</v>
      </c>
      <c r="CC695" t="s">
        <v>76</v>
      </c>
      <c r="CD695">
        <v>1645</v>
      </c>
      <c r="CE695" t="s">
        <v>86</v>
      </c>
      <c r="CF695" s="3">
        <v>45996</v>
      </c>
      <c r="CI695">
        <v>1</v>
      </c>
      <c r="CJ695">
        <v>1</v>
      </c>
      <c r="CK695">
        <v>22</v>
      </c>
      <c r="CL695" t="s">
        <v>87</v>
      </c>
    </row>
    <row r="696" spans="1:90" x14ac:dyDescent="0.3">
      <c r="A696" t="s">
        <v>72</v>
      </c>
      <c r="B696" t="s">
        <v>73</v>
      </c>
      <c r="C696" t="s">
        <v>74</v>
      </c>
      <c r="E696" t="str">
        <f>"080069681351"</f>
        <v>080069681351</v>
      </c>
      <c r="F696" s="3">
        <v>45995</v>
      </c>
      <c r="G696">
        <v>202609</v>
      </c>
      <c r="H696" t="s">
        <v>75</v>
      </c>
      <c r="I696" t="s">
        <v>76</v>
      </c>
      <c r="J696" t="s">
        <v>77</v>
      </c>
      <c r="K696" t="s">
        <v>78</v>
      </c>
      <c r="L696" t="s">
        <v>100</v>
      </c>
      <c r="M696" t="s">
        <v>101</v>
      </c>
      <c r="N696" t="s">
        <v>1333</v>
      </c>
      <c r="O696" t="s">
        <v>89</v>
      </c>
      <c r="P696" t="str">
        <f>"4170071995                    "</f>
        <v xml:space="preserve">4170071995                    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0</v>
      </c>
      <c r="AG696">
        <v>0</v>
      </c>
      <c r="AH696">
        <v>0</v>
      </c>
      <c r="AI696">
        <v>0</v>
      </c>
      <c r="AJ696">
        <v>0</v>
      </c>
      <c r="AK696">
        <v>0</v>
      </c>
      <c r="AL696">
        <v>0</v>
      </c>
      <c r="AM696">
        <v>0</v>
      </c>
      <c r="AN696">
        <v>0</v>
      </c>
      <c r="AO696">
        <v>0</v>
      </c>
      <c r="AP696">
        <v>0</v>
      </c>
      <c r="AQ696">
        <v>25.52</v>
      </c>
      <c r="AR696">
        <v>0</v>
      </c>
      <c r="AS696">
        <v>0</v>
      </c>
      <c r="AT696">
        <v>0</v>
      </c>
      <c r="AU696">
        <v>0</v>
      </c>
      <c r="AV696">
        <v>0</v>
      </c>
      <c r="AW696">
        <v>0</v>
      </c>
      <c r="AX696">
        <v>0</v>
      </c>
      <c r="AY696">
        <v>0</v>
      </c>
      <c r="AZ696">
        <v>0</v>
      </c>
      <c r="BA696">
        <v>0</v>
      </c>
      <c r="BB696">
        <v>0</v>
      </c>
      <c r="BC696">
        <v>0</v>
      </c>
      <c r="BD696">
        <v>0</v>
      </c>
      <c r="BE696">
        <v>0</v>
      </c>
      <c r="BF696">
        <v>0</v>
      </c>
      <c r="BG696">
        <v>0</v>
      </c>
      <c r="BH696">
        <v>1</v>
      </c>
      <c r="BI696">
        <v>1</v>
      </c>
      <c r="BJ696">
        <v>1.1000000000000001</v>
      </c>
      <c r="BK696">
        <v>1.5</v>
      </c>
      <c r="BL696">
        <v>76.06</v>
      </c>
      <c r="BM696">
        <v>11.41</v>
      </c>
      <c r="BN696">
        <v>87.47</v>
      </c>
      <c r="BO696">
        <v>87.47</v>
      </c>
      <c r="BQ696" t="s">
        <v>1334</v>
      </c>
      <c r="BR696" t="s">
        <v>82</v>
      </c>
      <c r="BS696" s="3">
        <v>45996</v>
      </c>
      <c r="BT696" s="4">
        <v>0.40833333333333333</v>
      </c>
      <c r="BU696" t="s">
        <v>322</v>
      </c>
      <c r="BV696" t="s">
        <v>84</v>
      </c>
      <c r="BY696">
        <v>5510</v>
      </c>
      <c r="CA696" t="s">
        <v>323</v>
      </c>
      <c r="CC696" t="s">
        <v>101</v>
      </c>
      <c r="CD696">
        <v>4001</v>
      </c>
      <c r="CE696" t="s">
        <v>86</v>
      </c>
      <c r="CF696" s="3">
        <v>45997</v>
      </c>
      <c r="CI696">
        <v>1</v>
      </c>
      <c r="CJ696">
        <v>1</v>
      </c>
      <c r="CK696">
        <v>21</v>
      </c>
      <c r="CL696" t="s">
        <v>87</v>
      </c>
    </row>
    <row r="697" spans="1:90" x14ac:dyDescent="0.3">
      <c r="A697" t="s">
        <v>72</v>
      </c>
      <c r="B697" t="s">
        <v>73</v>
      </c>
      <c r="C697" t="s">
        <v>74</v>
      </c>
      <c r="E697" t="str">
        <f>"080069681337"</f>
        <v>080069681337</v>
      </c>
      <c r="F697" s="3">
        <v>45995</v>
      </c>
      <c r="G697">
        <v>202609</v>
      </c>
      <c r="H697" t="s">
        <v>75</v>
      </c>
      <c r="I697" t="s">
        <v>76</v>
      </c>
      <c r="J697" t="s">
        <v>77</v>
      </c>
      <c r="K697" t="s">
        <v>78</v>
      </c>
      <c r="L697" t="s">
        <v>691</v>
      </c>
      <c r="M697" t="s">
        <v>691</v>
      </c>
      <c r="N697" t="s">
        <v>541</v>
      </c>
      <c r="O697" t="s">
        <v>80</v>
      </c>
      <c r="P697" t="str">
        <f>"4170072029                    "</f>
        <v xml:space="preserve">4170072029                    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>
        <v>0</v>
      </c>
      <c r="AE697">
        <v>0</v>
      </c>
      <c r="AF697">
        <v>0</v>
      </c>
      <c r="AG697">
        <v>0</v>
      </c>
      <c r="AH697">
        <v>0</v>
      </c>
      <c r="AI697">
        <v>0</v>
      </c>
      <c r="AJ697">
        <v>0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0</v>
      </c>
      <c r="AQ697">
        <v>78.72</v>
      </c>
      <c r="AR697">
        <v>0</v>
      </c>
      <c r="AS697">
        <v>0</v>
      </c>
      <c r="AT697">
        <v>0</v>
      </c>
      <c r="AU697">
        <v>0</v>
      </c>
      <c r="AV697">
        <v>0</v>
      </c>
      <c r="AW697">
        <v>0</v>
      </c>
      <c r="AX697">
        <v>0</v>
      </c>
      <c r="AY697">
        <v>0</v>
      </c>
      <c r="AZ697">
        <v>0</v>
      </c>
      <c r="BA697">
        <v>0</v>
      </c>
      <c r="BB697">
        <v>0</v>
      </c>
      <c r="BC697">
        <v>0</v>
      </c>
      <c r="BD697">
        <v>0</v>
      </c>
      <c r="BE697">
        <v>0</v>
      </c>
      <c r="BF697">
        <v>0</v>
      </c>
      <c r="BG697">
        <v>0</v>
      </c>
      <c r="BH697">
        <v>2</v>
      </c>
      <c r="BI697">
        <v>18</v>
      </c>
      <c r="BJ697">
        <v>32</v>
      </c>
      <c r="BK697">
        <v>32</v>
      </c>
      <c r="BL697">
        <v>240.7</v>
      </c>
      <c r="BM697">
        <v>36.11</v>
      </c>
      <c r="BN697">
        <v>276.81</v>
      </c>
      <c r="BO697">
        <v>276.81</v>
      </c>
      <c r="BQ697" t="s">
        <v>542</v>
      </c>
      <c r="BR697" t="s">
        <v>82</v>
      </c>
      <c r="BS697" s="3">
        <v>45996</v>
      </c>
      <c r="BT697" s="4">
        <v>0.41666666666666669</v>
      </c>
      <c r="BU697" t="s">
        <v>341</v>
      </c>
      <c r="BV697" t="s">
        <v>84</v>
      </c>
      <c r="BY697">
        <v>80000</v>
      </c>
      <c r="CA697" t="s">
        <v>1408</v>
      </c>
      <c r="CC697" t="s">
        <v>691</v>
      </c>
      <c r="CD697">
        <v>1491</v>
      </c>
      <c r="CE697" t="s">
        <v>86</v>
      </c>
      <c r="CF697" s="3">
        <v>45997</v>
      </c>
      <c r="CI697">
        <v>1</v>
      </c>
      <c r="CJ697">
        <v>1</v>
      </c>
      <c r="CK697">
        <v>44</v>
      </c>
      <c r="CL697" t="s">
        <v>87</v>
      </c>
    </row>
    <row r="698" spans="1:90" x14ac:dyDescent="0.3">
      <c r="A698" t="s">
        <v>72</v>
      </c>
      <c r="B698" t="s">
        <v>73</v>
      </c>
      <c r="C698" t="s">
        <v>74</v>
      </c>
      <c r="E698" t="str">
        <f>"080069681430"</f>
        <v>080069681430</v>
      </c>
      <c r="F698" s="3">
        <v>45995</v>
      </c>
      <c r="G698">
        <v>202609</v>
      </c>
      <c r="H698" t="s">
        <v>75</v>
      </c>
      <c r="I698" t="s">
        <v>76</v>
      </c>
      <c r="J698" t="s">
        <v>77</v>
      </c>
      <c r="K698" t="s">
        <v>78</v>
      </c>
      <c r="L698" t="s">
        <v>1409</v>
      </c>
      <c r="M698" t="s">
        <v>1410</v>
      </c>
      <c r="N698" t="s">
        <v>1411</v>
      </c>
      <c r="O698" t="s">
        <v>89</v>
      </c>
      <c r="P698" t="str">
        <f>"4170071998                    "</f>
        <v xml:space="preserve">4170071998                    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  <c r="AG698">
        <v>0</v>
      </c>
      <c r="AH698">
        <v>0</v>
      </c>
      <c r="AI698">
        <v>0</v>
      </c>
      <c r="AJ698">
        <v>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60.62</v>
      </c>
      <c r="AR698">
        <v>0</v>
      </c>
      <c r="AS698">
        <v>0</v>
      </c>
      <c r="AT698">
        <v>0</v>
      </c>
      <c r="AU698">
        <v>0</v>
      </c>
      <c r="AV698">
        <v>0</v>
      </c>
      <c r="AW698">
        <v>0</v>
      </c>
      <c r="AX698">
        <v>0</v>
      </c>
      <c r="AY698">
        <v>0</v>
      </c>
      <c r="AZ698">
        <v>0</v>
      </c>
      <c r="BA698">
        <v>0</v>
      </c>
      <c r="BB698">
        <v>0</v>
      </c>
      <c r="BC698">
        <v>0</v>
      </c>
      <c r="BD698">
        <v>0</v>
      </c>
      <c r="BE698">
        <v>0</v>
      </c>
      <c r="BF698">
        <v>0</v>
      </c>
      <c r="BG698">
        <v>0</v>
      </c>
      <c r="BH698">
        <v>1</v>
      </c>
      <c r="BI698">
        <v>2.2999999999999998</v>
      </c>
      <c r="BJ698">
        <v>1.3</v>
      </c>
      <c r="BK698">
        <v>2.5</v>
      </c>
      <c r="BL698">
        <v>180.66</v>
      </c>
      <c r="BM698">
        <v>27.1</v>
      </c>
      <c r="BN698">
        <v>207.76</v>
      </c>
      <c r="BO698">
        <v>207.76</v>
      </c>
      <c r="BQ698" t="s">
        <v>1412</v>
      </c>
      <c r="BR698" t="s">
        <v>82</v>
      </c>
      <c r="BS698" s="3">
        <v>45996</v>
      </c>
      <c r="BT698" s="4">
        <v>0.40972222222222221</v>
      </c>
      <c r="BU698" t="s">
        <v>1413</v>
      </c>
      <c r="BV698" t="s">
        <v>84</v>
      </c>
      <c r="BY698">
        <v>6555</v>
      </c>
      <c r="CA698" t="s">
        <v>1414</v>
      </c>
      <c r="CC698" t="s">
        <v>1410</v>
      </c>
      <c r="CD698">
        <v>9701</v>
      </c>
      <c r="CE698" t="s">
        <v>86</v>
      </c>
      <c r="CI698">
        <v>1</v>
      </c>
      <c r="CJ698">
        <v>1</v>
      </c>
      <c r="CK698">
        <v>23</v>
      </c>
      <c r="CL698" t="s">
        <v>87</v>
      </c>
    </row>
    <row r="699" spans="1:90" x14ac:dyDescent="0.3">
      <c r="A699" t="s">
        <v>72</v>
      </c>
      <c r="B699" t="s">
        <v>73</v>
      </c>
      <c r="C699" t="s">
        <v>74</v>
      </c>
      <c r="E699" t="str">
        <f>"080069681577"</f>
        <v>080069681577</v>
      </c>
      <c r="F699" s="3">
        <v>45995</v>
      </c>
      <c r="G699">
        <v>202609</v>
      </c>
      <c r="H699" t="s">
        <v>75</v>
      </c>
      <c r="I699" t="s">
        <v>76</v>
      </c>
      <c r="J699" t="s">
        <v>77</v>
      </c>
      <c r="K699" t="s">
        <v>78</v>
      </c>
      <c r="L699" t="s">
        <v>302</v>
      </c>
      <c r="M699" t="s">
        <v>303</v>
      </c>
      <c r="N699" t="s">
        <v>1415</v>
      </c>
      <c r="O699" t="s">
        <v>80</v>
      </c>
      <c r="P699" t="str">
        <f>"4170072031                    "</f>
        <v xml:space="preserve">4170072031                    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  <c r="AG699">
        <v>0</v>
      </c>
      <c r="AH699">
        <v>0</v>
      </c>
      <c r="AI699">
        <v>0</v>
      </c>
      <c r="AJ699">
        <v>0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  <c r="AQ699">
        <v>84.04</v>
      </c>
      <c r="AR699">
        <v>0</v>
      </c>
      <c r="AS699">
        <v>0</v>
      </c>
      <c r="AT699">
        <v>0</v>
      </c>
      <c r="AU699">
        <v>0</v>
      </c>
      <c r="AV699">
        <v>0</v>
      </c>
      <c r="AW699">
        <v>0</v>
      </c>
      <c r="AX699">
        <v>0</v>
      </c>
      <c r="AY699">
        <v>0</v>
      </c>
      <c r="AZ699">
        <v>0</v>
      </c>
      <c r="BA699">
        <v>0</v>
      </c>
      <c r="BB699">
        <v>0</v>
      </c>
      <c r="BC699">
        <v>0</v>
      </c>
      <c r="BD699">
        <v>0</v>
      </c>
      <c r="BE699">
        <v>0</v>
      </c>
      <c r="BF699">
        <v>0</v>
      </c>
      <c r="BG699">
        <v>0</v>
      </c>
      <c r="BH699">
        <v>2</v>
      </c>
      <c r="BI699">
        <v>23</v>
      </c>
      <c r="BJ699">
        <v>32</v>
      </c>
      <c r="BK699">
        <v>32</v>
      </c>
      <c r="BL699">
        <v>256.56</v>
      </c>
      <c r="BM699">
        <v>38.479999999999997</v>
      </c>
      <c r="BN699">
        <v>295.04000000000002</v>
      </c>
      <c r="BO699">
        <v>295.04000000000002</v>
      </c>
      <c r="BQ699" t="s">
        <v>1416</v>
      </c>
      <c r="BR699" t="s">
        <v>82</v>
      </c>
      <c r="BS699" s="3">
        <v>45996</v>
      </c>
      <c r="BT699" s="4">
        <v>0.4861111111111111</v>
      </c>
      <c r="BU699" t="s">
        <v>1417</v>
      </c>
      <c r="BV699" t="s">
        <v>84</v>
      </c>
      <c r="BY699">
        <v>160000</v>
      </c>
      <c r="CA699">
        <v>9103315752082</v>
      </c>
      <c r="CC699" t="s">
        <v>303</v>
      </c>
      <c r="CD699" s="5" t="s">
        <v>307</v>
      </c>
      <c r="CE699" t="s">
        <v>86</v>
      </c>
      <c r="CF699" s="3">
        <v>45996</v>
      </c>
      <c r="CI699">
        <v>1</v>
      </c>
      <c r="CJ699">
        <v>1</v>
      </c>
      <c r="CK699">
        <v>41</v>
      </c>
      <c r="CL699" t="s">
        <v>87</v>
      </c>
    </row>
    <row r="700" spans="1:90" x14ac:dyDescent="0.3">
      <c r="A700" t="s">
        <v>72</v>
      </c>
      <c r="B700" t="s">
        <v>73</v>
      </c>
      <c r="C700" t="s">
        <v>74</v>
      </c>
      <c r="E700" t="str">
        <f>"080069681734"</f>
        <v>080069681734</v>
      </c>
      <c r="F700" s="3">
        <v>45995</v>
      </c>
      <c r="G700">
        <v>202609</v>
      </c>
      <c r="H700" t="s">
        <v>75</v>
      </c>
      <c r="I700" t="s">
        <v>76</v>
      </c>
      <c r="J700" t="s">
        <v>77</v>
      </c>
      <c r="K700" t="s">
        <v>78</v>
      </c>
      <c r="L700" t="s">
        <v>128</v>
      </c>
      <c r="M700" t="s">
        <v>129</v>
      </c>
      <c r="N700" t="s">
        <v>183</v>
      </c>
      <c r="O700" t="s">
        <v>89</v>
      </c>
      <c r="P700" t="str">
        <f>"4170071994                    "</f>
        <v xml:space="preserve">4170071994                    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0</v>
      </c>
      <c r="AG700">
        <v>0</v>
      </c>
      <c r="AH700">
        <v>0</v>
      </c>
      <c r="AI700">
        <v>0</v>
      </c>
      <c r="AJ700">
        <v>0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57.41</v>
      </c>
      <c r="AR700">
        <v>0</v>
      </c>
      <c r="AS700">
        <v>0</v>
      </c>
      <c r="AT700">
        <v>0</v>
      </c>
      <c r="AU700">
        <v>0</v>
      </c>
      <c r="AV700">
        <v>0</v>
      </c>
      <c r="AW700">
        <v>0</v>
      </c>
      <c r="AX700">
        <v>0</v>
      </c>
      <c r="AY700">
        <v>0</v>
      </c>
      <c r="AZ700">
        <v>0</v>
      </c>
      <c r="BA700">
        <v>0</v>
      </c>
      <c r="BB700">
        <v>0</v>
      </c>
      <c r="BC700">
        <v>0</v>
      </c>
      <c r="BD700">
        <v>0</v>
      </c>
      <c r="BE700">
        <v>0</v>
      </c>
      <c r="BF700">
        <v>0</v>
      </c>
      <c r="BG700">
        <v>0</v>
      </c>
      <c r="BH700">
        <v>1</v>
      </c>
      <c r="BI700">
        <v>2</v>
      </c>
      <c r="BJ700">
        <v>4.4000000000000004</v>
      </c>
      <c r="BK700">
        <v>4.5</v>
      </c>
      <c r="BL700">
        <v>171.1</v>
      </c>
      <c r="BM700">
        <v>25.67</v>
      </c>
      <c r="BN700">
        <v>196.77</v>
      </c>
      <c r="BO700">
        <v>196.77</v>
      </c>
      <c r="BQ700" t="s">
        <v>184</v>
      </c>
      <c r="BR700" t="s">
        <v>82</v>
      </c>
      <c r="BS700" s="3">
        <v>45996</v>
      </c>
      <c r="BT700" s="4">
        <v>0.51041666666666663</v>
      </c>
      <c r="BU700" t="s">
        <v>1338</v>
      </c>
      <c r="BV700" t="s">
        <v>87</v>
      </c>
      <c r="BW700" t="s">
        <v>715</v>
      </c>
      <c r="BX700" t="s">
        <v>1267</v>
      </c>
      <c r="BY700">
        <v>21760</v>
      </c>
      <c r="CA700" t="s">
        <v>188</v>
      </c>
      <c r="CC700" t="s">
        <v>129</v>
      </c>
      <c r="CD700">
        <v>5201</v>
      </c>
      <c r="CE700" t="s">
        <v>93</v>
      </c>
      <c r="CI700">
        <v>1</v>
      </c>
      <c r="CJ700">
        <v>1</v>
      </c>
      <c r="CK700">
        <v>21</v>
      </c>
      <c r="CL700" t="s">
        <v>87</v>
      </c>
    </row>
    <row r="701" spans="1:90" x14ac:dyDescent="0.3">
      <c r="A701" t="s">
        <v>72</v>
      </c>
      <c r="B701" t="s">
        <v>73</v>
      </c>
      <c r="C701" t="s">
        <v>74</v>
      </c>
      <c r="E701" t="str">
        <f>"080069681789"</f>
        <v>080069681789</v>
      </c>
      <c r="F701" s="3">
        <v>45995</v>
      </c>
      <c r="G701">
        <v>202609</v>
      </c>
      <c r="H701" t="s">
        <v>75</v>
      </c>
      <c r="I701" t="s">
        <v>76</v>
      </c>
      <c r="J701" t="s">
        <v>77</v>
      </c>
      <c r="K701" t="s">
        <v>78</v>
      </c>
      <c r="L701" t="s">
        <v>526</v>
      </c>
      <c r="M701" t="s">
        <v>527</v>
      </c>
      <c r="N701" t="s">
        <v>528</v>
      </c>
      <c r="O701" t="s">
        <v>80</v>
      </c>
      <c r="P701" t="str">
        <f>"4170072015                    "</f>
        <v xml:space="preserve">4170072015                    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0</v>
      </c>
      <c r="AJ701">
        <v>0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69.61</v>
      </c>
      <c r="AR701">
        <v>0</v>
      </c>
      <c r="AS701">
        <v>0</v>
      </c>
      <c r="AT701">
        <v>0</v>
      </c>
      <c r="AU701">
        <v>0</v>
      </c>
      <c r="AV701">
        <v>0</v>
      </c>
      <c r="AW701">
        <v>17.41</v>
      </c>
      <c r="AX701">
        <v>0</v>
      </c>
      <c r="AY701">
        <v>0</v>
      </c>
      <c r="AZ701">
        <v>0</v>
      </c>
      <c r="BA701">
        <v>0</v>
      </c>
      <c r="BB701">
        <v>0</v>
      </c>
      <c r="BC701">
        <v>0</v>
      </c>
      <c r="BD701">
        <v>0</v>
      </c>
      <c r="BE701">
        <v>0</v>
      </c>
      <c r="BF701">
        <v>0</v>
      </c>
      <c r="BG701">
        <v>0</v>
      </c>
      <c r="BH701">
        <v>1</v>
      </c>
      <c r="BI701">
        <v>5</v>
      </c>
      <c r="BJ701">
        <v>3.1</v>
      </c>
      <c r="BK701">
        <v>5</v>
      </c>
      <c r="BL701">
        <v>230.97</v>
      </c>
      <c r="BM701">
        <v>34.65</v>
      </c>
      <c r="BN701">
        <v>265.62</v>
      </c>
      <c r="BO701">
        <v>265.62</v>
      </c>
      <c r="BQ701" t="s">
        <v>529</v>
      </c>
      <c r="BR701" t="s">
        <v>82</v>
      </c>
      <c r="BS701" s="3">
        <v>45996</v>
      </c>
      <c r="BT701" s="4">
        <v>0.52777777777777779</v>
      </c>
      <c r="BU701" t="s">
        <v>1418</v>
      </c>
      <c r="BV701" t="s">
        <v>84</v>
      </c>
      <c r="BY701">
        <v>15360</v>
      </c>
      <c r="BZ701" t="s">
        <v>30</v>
      </c>
      <c r="CA701" t="s">
        <v>432</v>
      </c>
      <c r="CC701" t="s">
        <v>527</v>
      </c>
      <c r="CD701" s="5" t="s">
        <v>532</v>
      </c>
      <c r="CE701" t="s">
        <v>86</v>
      </c>
      <c r="CI701">
        <v>1</v>
      </c>
      <c r="CJ701">
        <v>1</v>
      </c>
      <c r="CK701">
        <v>43</v>
      </c>
      <c r="CL701" t="s">
        <v>87</v>
      </c>
    </row>
    <row r="702" spans="1:90" x14ac:dyDescent="0.3">
      <c r="A702" t="s">
        <v>72</v>
      </c>
      <c r="B702" t="s">
        <v>73</v>
      </c>
      <c r="C702" t="s">
        <v>74</v>
      </c>
      <c r="E702" t="str">
        <f>"080069681842"</f>
        <v>080069681842</v>
      </c>
      <c r="F702" s="3">
        <v>45995</v>
      </c>
      <c r="G702">
        <v>202609</v>
      </c>
      <c r="H702" t="s">
        <v>75</v>
      </c>
      <c r="I702" t="s">
        <v>76</v>
      </c>
      <c r="J702" t="s">
        <v>77</v>
      </c>
      <c r="K702" t="s">
        <v>78</v>
      </c>
      <c r="L702" t="s">
        <v>75</v>
      </c>
      <c r="M702" t="s">
        <v>76</v>
      </c>
      <c r="N702" t="s">
        <v>1054</v>
      </c>
      <c r="O702" t="s">
        <v>89</v>
      </c>
      <c r="P702" t="str">
        <f>"4170072036                    "</f>
        <v xml:space="preserve">4170072036                    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  <c r="AG702">
        <v>0</v>
      </c>
      <c r="AH702">
        <v>0</v>
      </c>
      <c r="AI702">
        <v>0</v>
      </c>
      <c r="AJ702">
        <v>0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19.940000000000001</v>
      </c>
      <c r="AR702">
        <v>0</v>
      </c>
      <c r="AS702">
        <v>0</v>
      </c>
      <c r="AT702">
        <v>0</v>
      </c>
      <c r="AU702">
        <v>0</v>
      </c>
      <c r="AV702">
        <v>0</v>
      </c>
      <c r="AW702">
        <v>0</v>
      </c>
      <c r="AX702">
        <v>0</v>
      </c>
      <c r="AY702">
        <v>0</v>
      </c>
      <c r="AZ702">
        <v>0</v>
      </c>
      <c r="BA702">
        <v>0</v>
      </c>
      <c r="BB702">
        <v>0</v>
      </c>
      <c r="BC702">
        <v>0</v>
      </c>
      <c r="BD702">
        <v>0</v>
      </c>
      <c r="BE702">
        <v>0</v>
      </c>
      <c r="BF702">
        <v>0</v>
      </c>
      <c r="BG702">
        <v>0</v>
      </c>
      <c r="BH702">
        <v>1</v>
      </c>
      <c r="BI702">
        <v>1.2</v>
      </c>
      <c r="BJ702">
        <v>3.1</v>
      </c>
      <c r="BK702">
        <v>4</v>
      </c>
      <c r="BL702">
        <v>59.42</v>
      </c>
      <c r="BM702">
        <v>8.91</v>
      </c>
      <c r="BN702">
        <v>68.33</v>
      </c>
      <c r="BO702">
        <v>68.33</v>
      </c>
      <c r="BQ702" t="s">
        <v>1055</v>
      </c>
      <c r="BR702" t="s">
        <v>82</v>
      </c>
      <c r="BS702" s="3">
        <v>45996</v>
      </c>
      <c r="BT702" s="4">
        <v>0.36736111111111114</v>
      </c>
      <c r="BU702" t="s">
        <v>1419</v>
      </c>
      <c r="BV702" t="s">
        <v>84</v>
      </c>
      <c r="BY702">
        <v>15254.64</v>
      </c>
      <c r="CA702" t="s">
        <v>497</v>
      </c>
      <c r="CC702" t="s">
        <v>76</v>
      </c>
      <c r="CD702">
        <v>1614</v>
      </c>
      <c r="CE702" t="s">
        <v>86</v>
      </c>
      <c r="CF702" s="3">
        <v>45997</v>
      </c>
      <c r="CI702">
        <v>1</v>
      </c>
      <c r="CJ702">
        <v>1</v>
      </c>
      <c r="CK702">
        <v>22</v>
      </c>
      <c r="CL702" t="s">
        <v>87</v>
      </c>
    </row>
    <row r="703" spans="1:90" x14ac:dyDescent="0.3">
      <c r="A703" t="s">
        <v>72</v>
      </c>
      <c r="B703" t="s">
        <v>73</v>
      </c>
      <c r="C703" t="s">
        <v>74</v>
      </c>
      <c r="E703" t="str">
        <f>"080069681923"</f>
        <v>080069681923</v>
      </c>
      <c r="F703" s="3">
        <v>45995</v>
      </c>
      <c r="G703">
        <v>202609</v>
      </c>
      <c r="H703" t="s">
        <v>75</v>
      </c>
      <c r="I703" t="s">
        <v>76</v>
      </c>
      <c r="J703" t="s">
        <v>77</v>
      </c>
      <c r="K703" t="s">
        <v>78</v>
      </c>
      <c r="L703" t="s">
        <v>465</v>
      </c>
      <c r="M703" t="s">
        <v>466</v>
      </c>
      <c r="N703" t="s">
        <v>1420</v>
      </c>
      <c r="O703" t="s">
        <v>340</v>
      </c>
      <c r="P703" t="str">
        <f>"4170072002                    "</f>
        <v xml:space="preserve">4170072002                    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  <c r="AG703">
        <v>0</v>
      </c>
      <c r="AH703">
        <v>0</v>
      </c>
      <c r="AI703">
        <v>0</v>
      </c>
      <c r="AJ703">
        <v>0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22.18</v>
      </c>
      <c r="AR703">
        <v>0</v>
      </c>
      <c r="AS703">
        <v>0</v>
      </c>
      <c r="AT703">
        <v>0</v>
      </c>
      <c r="AU703">
        <v>0</v>
      </c>
      <c r="AV703">
        <v>0</v>
      </c>
      <c r="AW703">
        <v>0</v>
      </c>
      <c r="AX703">
        <v>0</v>
      </c>
      <c r="AY703">
        <v>0</v>
      </c>
      <c r="AZ703">
        <v>0</v>
      </c>
      <c r="BA703">
        <v>0</v>
      </c>
      <c r="BB703">
        <v>0</v>
      </c>
      <c r="BC703">
        <v>0</v>
      </c>
      <c r="BD703">
        <v>0</v>
      </c>
      <c r="BE703">
        <v>0</v>
      </c>
      <c r="BF703">
        <v>0</v>
      </c>
      <c r="BG703">
        <v>0</v>
      </c>
      <c r="BH703">
        <v>1</v>
      </c>
      <c r="BI703">
        <v>3</v>
      </c>
      <c r="BJ703">
        <v>8.6</v>
      </c>
      <c r="BK703">
        <v>9</v>
      </c>
      <c r="BL703">
        <v>66.099999999999994</v>
      </c>
      <c r="BM703">
        <v>9.92</v>
      </c>
      <c r="BN703">
        <v>76.02</v>
      </c>
      <c r="BO703">
        <v>76.02</v>
      </c>
      <c r="BQ703" t="s">
        <v>1421</v>
      </c>
      <c r="BR703" t="s">
        <v>82</v>
      </c>
      <c r="BS703" t="s">
        <v>500</v>
      </c>
      <c r="BY703">
        <v>42798.58</v>
      </c>
      <c r="CC703" t="s">
        <v>466</v>
      </c>
      <c r="CD703">
        <v>1428</v>
      </c>
      <c r="CE703" t="s">
        <v>93</v>
      </c>
      <c r="CI703">
        <v>1</v>
      </c>
      <c r="CJ703" t="s">
        <v>500</v>
      </c>
      <c r="CK703">
        <v>32</v>
      </c>
      <c r="CL703" t="s">
        <v>87</v>
      </c>
    </row>
    <row r="704" spans="1:90" x14ac:dyDescent="0.3">
      <c r="A704" t="s">
        <v>72</v>
      </c>
      <c r="B704" t="s">
        <v>73</v>
      </c>
      <c r="C704" t="s">
        <v>74</v>
      </c>
      <c r="E704" t="str">
        <f>"080069682019"</f>
        <v>080069682019</v>
      </c>
      <c r="F704" s="3">
        <v>45995</v>
      </c>
      <c r="G704">
        <v>202609</v>
      </c>
      <c r="H704" t="s">
        <v>75</v>
      </c>
      <c r="I704" t="s">
        <v>76</v>
      </c>
      <c r="J704" t="s">
        <v>77</v>
      </c>
      <c r="K704" t="s">
        <v>78</v>
      </c>
      <c r="L704" t="s">
        <v>120</v>
      </c>
      <c r="M704" t="s">
        <v>121</v>
      </c>
      <c r="N704" t="s">
        <v>163</v>
      </c>
      <c r="O704" t="s">
        <v>89</v>
      </c>
      <c r="P704" t="str">
        <f>"4170071975                    "</f>
        <v xml:space="preserve">4170071975                    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25.52</v>
      </c>
      <c r="AR704">
        <v>0</v>
      </c>
      <c r="AS704">
        <v>0</v>
      </c>
      <c r="AT704">
        <v>0</v>
      </c>
      <c r="AU704">
        <v>0</v>
      </c>
      <c r="AV704">
        <v>0</v>
      </c>
      <c r="AW704">
        <v>0</v>
      </c>
      <c r="AX704">
        <v>0</v>
      </c>
      <c r="AY704">
        <v>0</v>
      </c>
      <c r="AZ704">
        <v>0</v>
      </c>
      <c r="BA704">
        <v>0</v>
      </c>
      <c r="BB704">
        <v>0</v>
      </c>
      <c r="BC704">
        <v>0</v>
      </c>
      <c r="BD704">
        <v>0</v>
      </c>
      <c r="BE704">
        <v>0</v>
      </c>
      <c r="BF704">
        <v>0</v>
      </c>
      <c r="BG704">
        <v>0</v>
      </c>
      <c r="BH704">
        <v>1</v>
      </c>
      <c r="BI704">
        <v>1</v>
      </c>
      <c r="BJ704">
        <v>0.2</v>
      </c>
      <c r="BK704">
        <v>1</v>
      </c>
      <c r="BL704">
        <v>76.06</v>
      </c>
      <c r="BM704">
        <v>11.41</v>
      </c>
      <c r="BN704">
        <v>87.47</v>
      </c>
      <c r="BO704">
        <v>87.47</v>
      </c>
      <c r="BQ704" t="s">
        <v>164</v>
      </c>
      <c r="BR704" t="s">
        <v>82</v>
      </c>
      <c r="BS704" s="3">
        <v>45996</v>
      </c>
      <c r="BT704" s="4">
        <v>0.40069444444444446</v>
      </c>
      <c r="BU704" t="s">
        <v>165</v>
      </c>
      <c r="BV704" t="s">
        <v>84</v>
      </c>
      <c r="BY704">
        <v>1200</v>
      </c>
      <c r="CA704" t="s">
        <v>126</v>
      </c>
      <c r="CC704" t="s">
        <v>121</v>
      </c>
      <c r="CD704">
        <v>6230</v>
      </c>
      <c r="CE704" t="s">
        <v>134</v>
      </c>
      <c r="CF704" s="3">
        <v>45996</v>
      </c>
      <c r="CI704">
        <v>1</v>
      </c>
      <c r="CJ704">
        <v>1</v>
      </c>
      <c r="CK704">
        <v>21</v>
      </c>
      <c r="CL704" t="s">
        <v>87</v>
      </c>
    </row>
    <row r="705" spans="1:90" x14ac:dyDescent="0.3">
      <c r="A705" t="s">
        <v>72</v>
      </c>
      <c r="B705" t="s">
        <v>73</v>
      </c>
      <c r="C705" t="s">
        <v>74</v>
      </c>
      <c r="E705" t="str">
        <f>"080069682055"</f>
        <v>080069682055</v>
      </c>
      <c r="F705" s="3">
        <v>45995</v>
      </c>
      <c r="G705">
        <v>202609</v>
      </c>
      <c r="H705" t="s">
        <v>75</v>
      </c>
      <c r="I705" t="s">
        <v>76</v>
      </c>
      <c r="J705" t="s">
        <v>77</v>
      </c>
      <c r="K705" t="s">
        <v>78</v>
      </c>
      <c r="L705" t="s">
        <v>1422</v>
      </c>
      <c r="M705" t="s">
        <v>1423</v>
      </c>
      <c r="N705" t="s">
        <v>1424</v>
      </c>
      <c r="O705" t="s">
        <v>89</v>
      </c>
      <c r="P705" t="str">
        <f>"4170072033                    "</f>
        <v xml:space="preserve">4170072033                    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  <c r="AG705">
        <v>0</v>
      </c>
      <c r="AH705">
        <v>0</v>
      </c>
      <c r="AI705">
        <v>0</v>
      </c>
      <c r="AJ705">
        <v>0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  <c r="AQ705">
        <v>25.52</v>
      </c>
      <c r="AR705">
        <v>0</v>
      </c>
      <c r="AS705">
        <v>0</v>
      </c>
      <c r="AT705">
        <v>0</v>
      </c>
      <c r="AU705">
        <v>0</v>
      </c>
      <c r="AV705">
        <v>0</v>
      </c>
      <c r="AW705">
        <v>0</v>
      </c>
      <c r="AX705">
        <v>0</v>
      </c>
      <c r="AY705">
        <v>0</v>
      </c>
      <c r="AZ705">
        <v>0</v>
      </c>
      <c r="BA705">
        <v>0</v>
      </c>
      <c r="BB705">
        <v>0</v>
      </c>
      <c r="BC705">
        <v>0</v>
      </c>
      <c r="BD705">
        <v>0</v>
      </c>
      <c r="BE705">
        <v>0</v>
      </c>
      <c r="BF705">
        <v>0</v>
      </c>
      <c r="BG705">
        <v>0</v>
      </c>
      <c r="BH705">
        <v>1</v>
      </c>
      <c r="BI705">
        <v>1</v>
      </c>
      <c r="BJ705">
        <v>0.2</v>
      </c>
      <c r="BK705">
        <v>1</v>
      </c>
      <c r="BL705">
        <v>76.06</v>
      </c>
      <c r="BM705">
        <v>11.41</v>
      </c>
      <c r="BN705">
        <v>87.47</v>
      </c>
      <c r="BO705">
        <v>87.47</v>
      </c>
      <c r="BQ705" t="s">
        <v>1425</v>
      </c>
      <c r="BR705" t="s">
        <v>82</v>
      </c>
      <c r="BS705" s="3">
        <v>45996</v>
      </c>
      <c r="BT705" s="4">
        <v>0.51388888888888884</v>
      </c>
      <c r="BU705" t="s">
        <v>1426</v>
      </c>
      <c r="BV705" t="s">
        <v>84</v>
      </c>
      <c r="BY705">
        <v>1200</v>
      </c>
      <c r="CA705">
        <v>8005225731083</v>
      </c>
      <c r="CC705" t="s">
        <v>1423</v>
      </c>
      <c r="CD705">
        <v>6529</v>
      </c>
      <c r="CE705" t="s">
        <v>134</v>
      </c>
      <c r="CI705">
        <v>1</v>
      </c>
      <c r="CJ705">
        <v>1</v>
      </c>
      <c r="CK705">
        <v>21</v>
      </c>
      <c r="CL705" t="s">
        <v>87</v>
      </c>
    </row>
    <row r="706" spans="1:90" x14ac:dyDescent="0.3">
      <c r="A706" t="s">
        <v>72</v>
      </c>
      <c r="B706" t="s">
        <v>73</v>
      </c>
      <c r="C706" t="s">
        <v>74</v>
      </c>
      <c r="E706" t="str">
        <f>"080069682058"</f>
        <v>080069682058</v>
      </c>
      <c r="F706" s="3">
        <v>45995</v>
      </c>
      <c r="G706">
        <v>202609</v>
      </c>
      <c r="H706" t="s">
        <v>75</v>
      </c>
      <c r="I706" t="s">
        <v>76</v>
      </c>
      <c r="J706" t="s">
        <v>77</v>
      </c>
      <c r="K706" t="s">
        <v>78</v>
      </c>
      <c r="L706" t="s">
        <v>882</v>
      </c>
      <c r="M706" t="s">
        <v>883</v>
      </c>
      <c r="N706" t="s">
        <v>884</v>
      </c>
      <c r="O706" t="s">
        <v>89</v>
      </c>
      <c r="P706" t="str">
        <f>"4170071969                    "</f>
        <v xml:space="preserve">4170071969                    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0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62.12</v>
      </c>
      <c r="AR706">
        <v>0</v>
      </c>
      <c r="AS706">
        <v>0</v>
      </c>
      <c r="AT706">
        <v>0</v>
      </c>
      <c r="AU706">
        <v>0</v>
      </c>
      <c r="AV706">
        <v>0</v>
      </c>
      <c r="AW706">
        <v>0</v>
      </c>
      <c r="AX706">
        <v>0</v>
      </c>
      <c r="AY706">
        <v>0</v>
      </c>
      <c r="AZ706">
        <v>0</v>
      </c>
      <c r="BA706">
        <v>0</v>
      </c>
      <c r="BB706">
        <v>0</v>
      </c>
      <c r="BC706">
        <v>0</v>
      </c>
      <c r="BD706">
        <v>0</v>
      </c>
      <c r="BE706">
        <v>0</v>
      </c>
      <c r="BF706">
        <v>0</v>
      </c>
      <c r="BG706">
        <v>0</v>
      </c>
      <c r="BH706">
        <v>1</v>
      </c>
      <c r="BI706">
        <v>1</v>
      </c>
      <c r="BJ706">
        <v>3.2</v>
      </c>
      <c r="BK706">
        <v>3.5</v>
      </c>
      <c r="BL706">
        <v>185.13</v>
      </c>
      <c r="BM706">
        <v>27.77</v>
      </c>
      <c r="BN706">
        <v>212.9</v>
      </c>
      <c r="BO706">
        <v>212.9</v>
      </c>
      <c r="BQ706" t="s">
        <v>885</v>
      </c>
      <c r="BR706" t="s">
        <v>82</v>
      </c>
      <c r="BS706" s="3">
        <v>45996</v>
      </c>
      <c r="BT706" s="4">
        <v>0.41458333333333336</v>
      </c>
      <c r="BU706" t="s">
        <v>886</v>
      </c>
      <c r="BV706" t="s">
        <v>84</v>
      </c>
      <c r="BY706">
        <v>16160.63</v>
      </c>
      <c r="CA706" t="s">
        <v>887</v>
      </c>
      <c r="CC706" t="s">
        <v>883</v>
      </c>
      <c r="CD706">
        <v>2410</v>
      </c>
      <c r="CE706" t="s">
        <v>93</v>
      </c>
      <c r="CF706" s="3">
        <v>45997</v>
      </c>
      <c r="CI706">
        <v>1</v>
      </c>
      <c r="CJ706">
        <v>1</v>
      </c>
      <c r="CK706">
        <v>24</v>
      </c>
      <c r="CL706" t="s">
        <v>87</v>
      </c>
    </row>
    <row r="707" spans="1:90" x14ac:dyDescent="0.3">
      <c r="A707" t="s">
        <v>72</v>
      </c>
      <c r="B707" t="s">
        <v>73</v>
      </c>
      <c r="C707" t="s">
        <v>74</v>
      </c>
      <c r="E707" t="str">
        <f>"080069682130"</f>
        <v>080069682130</v>
      </c>
      <c r="F707" s="3">
        <v>45995</v>
      </c>
      <c r="G707">
        <v>202609</v>
      </c>
      <c r="H707" t="s">
        <v>75</v>
      </c>
      <c r="I707" t="s">
        <v>76</v>
      </c>
      <c r="J707" t="s">
        <v>77</v>
      </c>
      <c r="K707" t="s">
        <v>78</v>
      </c>
      <c r="L707" t="s">
        <v>109</v>
      </c>
      <c r="M707" t="s">
        <v>110</v>
      </c>
      <c r="N707" t="s">
        <v>111</v>
      </c>
      <c r="O707" t="s">
        <v>340</v>
      </c>
      <c r="P707" t="str">
        <f>"4170072050                    "</f>
        <v xml:space="preserve">4170072050                    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  <c r="AG707">
        <v>0</v>
      </c>
      <c r="AH707">
        <v>0</v>
      </c>
      <c r="AI707">
        <v>0</v>
      </c>
      <c r="AJ707">
        <v>0</v>
      </c>
      <c r="AK707">
        <v>0</v>
      </c>
      <c r="AL707">
        <v>0</v>
      </c>
      <c r="AM707">
        <v>0</v>
      </c>
      <c r="AN707">
        <v>0</v>
      </c>
      <c r="AO707">
        <v>0</v>
      </c>
      <c r="AP707">
        <v>0</v>
      </c>
      <c r="AQ707">
        <v>186.7</v>
      </c>
      <c r="AR707">
        <v>0</v>
      </c>
      <c r="AS707">
        <v>0</v>
      </c>
      <c r="AT707">
        <v>0</v>
      </c>
      <c r="AU707">
        <v>0</v>
      </c>
      <c r="AV707">
        <v>0</v>
      </c>
      <c r="AW707">
        <v>0</v>
      </c>
      <c r="AX707">
        <v>0</v>
      </c>
      <c r="AY707">
        <v>0</v>
      </c>
      <c r="AZ707">
        <v>0</v>
      </c>
      <c r="BA707">
        <v>0</v>
      </c>
      <c r="BB707">
        <v>0</v>
      </c>
      <c r="BC707">
        <v>0</v>
      </c>
      <c r="BD707">
        <v>0</v>
      </c>
      <c r="BE707">
        <v>0</v>
      </c>
      <c r="BF707">
        <v>0</v>
      </c>
      <c r="BG707">
        <v>0</v>
      </c>
      <c r="BH707">
        <v>1</v>
      </c>
      <c r="BI707">
        <v>9</v>
      </c>
      <c r="BJ707">
        <v>2.9</v>
      </c>
      <c r="BK707">
        <v>9</v>
      </c>
      <c r="BL707">
        <v>556.4</v>
      </c>
      <c r="BM707">
        <v>83.46</v>
      </c>
      <c r="BN707">
        <v>639.86</v>
      </c>
      <c r="BO707">
        <v>639.86</v>
      </c>
      <c r="BQ707" t="s">
        <v>112</v>
      </c>
      <c r="BR707" t="s">
        <v>82</v>
      </c>
      <c r="BS707" t="s">
        <v>500</v>
      </c>
      <c r="BY707">
        <v>14560</v>
      </c>
      <c r="CC707" t="s">
        <v>110</v>
      </c>
      <c r="CD707">
        <v>1748</v>
      </c>
      <c r="CE707" t="s">
        <v>93</v>
      </c>
      <c r="CI707">
        <v>1</v>
      </c>
      <c r="CJ707" t="s">
        <v>500</v>
      </c>
      <c r="CK707">
        <v>34</v>
      </c>
      <c r="CL707" t="s">
        <v>87</v>
      </c>
    </row>
    <row r="708" spans="1:90" x14ac:dyDescent="0.3">
      <c r="A708" t="s">
        <v>72</v>
      </c>
      <c r="B708" t="s">
        <v>73</v>
      </c>
      <c r="C708" t="s">
        <v>74</v>
      </c>
      <c r="E708" t="str">
        <f>"080069682235"</f>
        <v>080069682235</v>
      </c>
      <c r="F708" s="3">
        <v>45995</v>
      </c>
      <c r="G708">
        <v>202609</v>
      </c>
      <c r="H708" t="s">
        <v>75</v>
      </c>
      <c r="I708" t="s">
        <v>76</v>
      </c>
      <c r="J708" t="s">
        <v>77</v>
      </c>
      <c r="K708" t="s">
        <v>78</v>
      </c>
      <c r="L708" t="s">
        <v>366</v>
      </c>
      <c r="M708" t="s">
        <v>367</v>
      </c>
      <c r="N708" t="s">
        <v>1427</v>
      </c>
      <c r="O708" t="s">
        <v>80</v>
      </c>
      <c r="P708" t="str">
        <f>"4170072020                    "</f>
        <v xml:space="preserve">4170072020                    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  <c r="AG708">
        <v>0</v>
      </c>
      <c r="AH708">
        <v>0</v>
      </c>
      <c r="AI708">
        <v>0</v>
      </c>
      <c r="AJ708">
        <v>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69.61</v>
      </c>
      <c r="AR708">
        <v>0</v>
      </c>
      <c r="AS708">
        <v>0</v>
      </c>
      <c r="AT708">
        <v>0</v>
      </c>
      <c r="AU708">
        <v>0</v>
      </c>
      <c r="AV708">
        <v>0</v>
      </c>
      <c r="AW708">
        <v>0</v>
      </c>
      <c r="AX708">
        <v>0</v>
      </c>
      <c r="AY708">
        <v>0</v>
      </c>
      <c r="AZ708">
        <v>0</v>
      </c>
      <c r="BA708">
        <v>0</v>
      </c>
      <c r="BB708">
        <v>0</v>
      </c>
      <c r="BC708">
        <v>0</v>
      </c>
      <c r="BD708">
        <v>0</v>
      </c>
      <c r="BE708">
        <v>0</v>
      </c>
      <c r="BF708">
        <v>0</v>
      </c>
      <c r="BG708">
        <v>0</v>
      </c>
      <c r="BH708">
        <v>1</v>
      </c>
      <c r="BI708">
        <v>15</v>
      </c>
      <c r="BJ708">
        <v>6.9</v>
      </c>
      <c r="BK708">
        <v>15</v>
      </c>
      <c r="BL708">
        <v>213.56</v>
      </c>
      <c r="BM708">
        <v>32.03</v>
      </c>
      <c r="BN708">
        <v>245.59</v>
      </c>
      <c r="BO708">
        <v>245.59</v>
      </c>
      <c r="BQ708" t="s">
        <v>1428</v>
      </c>
      <c r="BR708" t="s">
        <v>82</v>
      </c>
      <c r="BS708" t="s">
        <v>500</v>
      </c>
      <c r="BW708" t="s">
        <v>1429</v>
      </c>
      <c r="BX708" t="s">
        <v>270</v>
      </c>
      <c r="BY708">
        <v>34680</v>
      </c>
      <c r="CC708" t="s">
        <v>367</v>
      </c>
      <c r="CD708">
        <v>1911</v>
      </c>
      <c r="CE708" t="s">
        <v>86</v>
      </c>
      <c r="CI708">
        <v>1</v>
      </c>
      <c r="CJ708" t="s">
        <v>500</v>
      </c>
      <c r="CK708">
        <v>43</v>
      </c>
      <c r="CL708" t="s">
        <v>87</v>
      </c>
    </row>
    <row r="709" spans="1:90" x14ac:dyDescent="0.3">
      <c r="A709" t="s">
        <v>72</v>
      </c>
      <c r="B709" t="s">
        <v>73</v>
      </c>
      <c r="C709" t="s">
        <v>74</v>
      </c>
      <c r="E709" t="str">
        <f>"080069682449"</f>
        <v>080069682449</v>
      </c>
      <c r="F709" s="3">
        <v>45995</v>
      </c>
      <c r="G709">
        <v>202609</v>
      </c>
      <c r="H709" t="s">
        <v>75</v>
      </c>
      <c r="I709" t="s">
        <v>76</v>
      </c>
      <c r="J709" t="s">
        <v>77</v>
      </c>
      <c r="K709" t="s">
        <v>78</v>
      </c>
      <c r="L709" t="s">
        <v>218</v>
      </c>
      <c r="M709" t="s">
        <v>219</v>
      </c>
      <c r="N709" t="s">
        <v>220</v>
      </c>
      <c r="O709" t="s">
        <v>89</v>
      </c>
      <c r="P709" t="str">
        <f>"4170072009                    "</f>
        <v xml:space="preserve">4170072009                    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  <c r="AG709">
        <v>0</v>
      </c>
      <c r="AH709">
        <v>0</v>
      </c>
      <c r="AI709">
        <v>0</v>
      </c>
      <c r="AJ709">
        <v>0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362.09</v>
      </c>
      <c r="AR709">
        <v>0</v>
      </c>
      <c r="AS709">
        <v>0</v>
      </c>
      <c r="AT709">
        <v>0</v>
      </c>
      <c r="AU709">
        <v>0</v>
      </c>
      <c r="AV709">
        <v>0</v>
      </c>
      <c r="AW709">
        <v>0</v>
      </c>
      <c r="AX709">
        <v>0</v>
      </c>
      <c r="AY709">
        <v>0</v>
      </c>
      <c r="AZ709">
        <v>0</v>
      </c>
      <c r="BA709">
        <v>0</v>
      </c>
      <c r="BB709">
        <v>0</v>
      </c>
      <c r="BC709">
        <v>0</v>
      </c>
      <c r="BD709">
        <v>0</v>
      </c>
      <c r="BE709">
        <v>0</v>
      </c>
      <c r="BF709">
        <v>0</v>
      </c>
      <c r="BG709">
        <v>0</v>
      </c>
      <c r="BH709">
        <v>1</v>
      </c>
      <c r="BI709">
        <v>5</v>
      </c>
      <c r="BJ709">
        <v>15.8</v>
      </c>
      <c r="BK709">
        <v>16</v>
      </c>
      <c r="BL709">
        <v>1079.0999999999999</v>
      </c>
      <c r="BM709">
        <v>161.87</v>
      </c>
      <c r="BN709">
        <v>1240.97</v>
      </c>
      <c r="BO709">
        <v>1240.97</v>
      </c>
      <c r="BQ709" t="s">
        <v>221</v>
      </c>
      <c r="BR709" t="s">
        <v>82</v>
      </c>
      <c r="BS709" s="3">
        <v>45996</v>
      </c>
      <c r="BT709" s="4">
        <v>0.31597222222222221</v>
      </c>
      <c r="BU709" t="s">
        <v>222</v>
      </c>
      <c r="BV709" t="s">
        <v>84</v>
      </c>
      <c r="BY709">
        <v>78800</v>
      </c>
      <c r="CC709" t="s">
        <v>219</v>
      </c>
      <c r="CD709">
        <v>2740</v>
      </c>
      <c r="CE709" t="s">
        <v>544</v>
      </c>
      <c r="CI709">
        <v>1</v>
      </c>
      <c r="CJ709">
        <v>1</v>
      </c>
      <c r="CK709">
        <v>23</v>
      </c>
      <c r="CL709" t="s">
        <v>87</v>
      </c>
    </row>
    <row r="710" spans="1:90" x14ac:dyDescent="0.3">
      <c r="A710" t="s">
        <v>72</v>
      </c>
      <c r="B710" t="s">
        <v>73</v>
      </c>
      <c r="C710" t="s">
        <v>74</v>
      </c>
      <c r="E710" t="str">
        <f>"080069682799"</f>
        <v>080069682799</v>
      </c>
      <c r="F710" s="3">
        <v>45995</v>
      </c>
      <c r="G710">
        <v>202609</v>
      </c>
      <c r="H710" t="s">
        <v>75</v>
      </c>
      <c r="I710" t="s">
        <v>76</v>
      </c>
      <c r="J710" t="s">
        <v>77</v>
      </c>
      <c r="K710" t="s">
        <v>78</v>
      </c>
      <c r="L710" t="s">
        <v>189</v>
      </c>
      <c r="M710" t="s">
        <v>190</v>
      </c>
      <c r="N710" t="s">
        <v>782</v>
      </c>
      <c r="O710" t="s">
        <v>89</v>
      </c>
      <c r="P710" t="str">
        <f>"4170072014                    "</f>
        <v xml:space="preserve">4170072014                    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  <c r="AG710">
        <v>0</v>
      </c>
      <c r="AH710">
        <v>0</v>
      </c>
      <c r="AI710">
        <v>0</v>
      </c>
      <c r="AJ710">
        <v>0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  <c r="AQ710">
        <v>178.6</v>
      </c>
      <c r="AR710">
        <v>0</v>
      </c>
      <c r="AS710">
        <v>0</v>
      </c>
      <c r="AT710">
        <v>0</v>
      </c>
      <c r="AU710">
        <v>0</v>
      </c>
      <c r="AV710">
        <v>0</v>
      </c>
      <c r="AW710">
        <v>0</v>
      </c>
      <c r="AX710">
        <v>0</v>
      </c>
      <c r="AY710">
        <v>0</v>
      </c>
      <c r="AZ710">
        <v>0</v>
      </c>
      <c r="BA710">
        <v>0</v>
      </c>
      <c r="BB710">
        <v>0</v>
      </c>
      <c r="BC710">
        <v>0</v>
      </c>
      <c r="BD710">
        <v>0</v>
      </c>
      <c r="BE710">
        <v>0</v>
      </c>
      <c r="BF710">
        <v>0</v>
      </c>
      <c r="BG710">
        <v>0</v>
      </c>
      <c r="BH710">
        <v>1</v>
      </c>
      <c r="BI710">
        <v>14</v>
      </c>
      <c r="BJ710">
        <v>11.2</v>
      </c>
      <c r="BK710">
        <v>14</v>
      </c>
      <c r="BL710">
        <v>532.26</v>
      </c>
      <c r="BM710">
        <v>79.84</v>
      </c>
      <c r="BN710">
        <v>612.1</v>
      </c>
      <c r="BO710">
        <v>612.1</v>
      </c>
      <c r="BQ710" t="s">
        <v>783</v>
      </c>
      <c r="BR710" t="s">
        <v>82</v>
      </c>
      <c r="BS710" s="3">
        <v>45996</v>
      </c>
      <c r="BT710" s="4">
        <v>0.48888888888888887</v>
      </c>
      <c r="BU710" t="s">
        <v>1430</v>
      </c>
      <c r="BV710" t="s">
        <v>84</v>
      </c>
      <c r="BY710">
        <v>56160</v>
      </c>
      <c r="CA710" t="s">
        <v>1431</v>
      </c>
      <c r="CC710" t="s">
        <v>190</v>
      </c>
      <c r="CD710">
        <v>3201</v>
      </c>
      <c r="CE710" t="s">
        <v>86</v>
      </c>
      <c r="CF710" s="3">
        <v>45997</v>
      </c>
      <c r="CI710">
        <v>1</v>
      </c>
      <c r="CJ710">
        <v>1</v>
      </c>
      <c r="CK710">
        <v>21</v>
      </c>
      <c r="CL710" t="s">
        <v>87</v>
      </c>
    </row>
    <row r="711" spans="1:90" x14ac:dyDescent="0.3">
      <c r="A711" t="s">
        <v>72</v>
      </c>
      <c r="B711" t="s">
        <v>73</v>
      </c>
      <c r="C711" t="s">
        <v>74</v>
      </c>
      <c r="E711" t="str">
        <f>"080069682831"</f>
        <v>080069682831</v>
      </c>
      <c r="F711" s="3">
        <v>45995</v>
      </c>
      <c r="G711">
        <v>202609</v>
      </c>
      <c r="H711" t="s">
        <v>75</v>
      </c>
      <c r="I711" t="s">
        <v>76</v>
      </c>
      <c r="J711" t="s">
        <v>77</v>
      </c>
      <c r="K711" t="s">
        <v>78</v>
      </c>
      <c r="L711" t="s">
        <v>94</v>
      </c>
      <c r="M711" t="s">
        <v>95</v>
      </c>
      <c r="N711" t="s">
        <v>1163</v>
      </c>
      <c r="O711" t="s">
        <v>89</v>
      </c>
      <c r="P711" t="str">
        <f>"4170071849                    "</f>
        <v xml:space="preserve">4170071849                    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0</v>
      </c>
      <c r="AH711">
        <v>0</v>
      </c>
      <c r="AI711">
        <v>0</v>
      </c>
      <c r="AJ711">
        <v>0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38.28</v>
      </c>
      <c r="AR711">
        <v>0</v>
      </c>
      <c r="AS711">
        <v>0</v>
      </c>
      <c r="AT711">
        <v>0</v>
      </c>
      <c r="AU711">
        <v>0</v>
      </c>
      <c r="AV711">
        <v>0</v>
      </c>
      <c r="AW711">
        <v>0</v>
      </c>
      <c r="AX711">
        <v>0</v>
      </c>
      <c r="AY711">
        <v>0</v>
      </c>
      <c r="AZ711">
        <v>0</v>
      </c>
      <c r="BA711">
        <v>0</v>
      </c>
      <c r="BB711">
        <v>0</v>
      </c>
      <c r="BC711">
        <v>0</v>
      </c>
      <c r="BD711">
        <v>0</v>
      </c>
      <c r="BE711">
        <v>0</v>
      </c>
      <c r="BF711">
        <v>0</v>
      </c>
      <c r="BG711">
        <v>0</v>
      </c>
      <c r="BH711">
        <v>1</v>
      </c>
      <c r="BI711">
        <v>1</v>
      </c>
      <c r="BJ711">
        <v>2.6</v>
      </c>
      <c r="BK711">
        <v>3</v>
      </c>
      <c r="BL711">
        <v>114.08</v>
      </c>
      <c r="BM711">
        <v>17.11</v>
      </c>
      <c r="BN711">
        <v>131.19</v>
      </c>
      <c r="BO711">
        <v>131.19</v>
      </c>
      <c r="BQ711" t="s">
        <v>1164</v>
      </c>
      <c r="BR711" t="s">
        <v>82</v>
      </c>
      <c r="BS711" s="3">
        <v>45996</v>
      </c>
      <c r="BT711" s="4">
        <v>0.71805555555555556</v>
      </c>
      <c r="BU711" t="s">
        <v>1432</v>
      </c>
      <c r="BV711" t="s">
        <v>87</v>
      </c>
      <c r="BY711">
        <v>12992</v>
      </c>
      <c r="CA711" t="s">
        <v>1166</v>
      </c>
      <c r="CC711" t="s">
        <v>95</v>
      </c>
      <c r="CD711">
        <v>3610</v>
      </c>
      <c r="CE711" t="s">
        <v>93</v>
      </c>
      <c r="CF711" s="3">
        <v>45997</v>
      </c>
      <c r="CI711">
        <v>1</v>
      </c>
      <c r="CJ711">
        <v>1</v>
      </c>
      <c r="CK711">
        <v>21</v>
      </c>
      <c r="CL711" t="s">
        <v>87</v>
      </c>
    </row>
    <row r="712" spans="1:90" x14ac:dyDescent="0.3">
      <c r="A712" t="s">
        <v>72</v>
      </c>
      <c r="B712" t="s">
        <v>73</v>
      </c>
      <c r="C712" t="s">
        <v>74</v>
      </c>
      <c r="E712" t="str">
        <f>"080069682879"</f>
        <v>080069682879</v>
      </c>
      <c r="F712" s="3">
        <v>45995</v>
      </c>
      <c r="G712">
        <v>202609</v>
      </c>
      <c r="H712" t="s">
        <v>75</v>
      </c>
      <c r="I712" t="s">
        <v>76</v>
      </c>
      <c r="J712" t="s">
        <v>77</v>
      </c>
      <c r="K712" t="s">
        <v>78</v>
      </c>
      <c r="L712" t="s">
        <v>141</v>
      </c>
      <c r="M712" t="s">
        <v>142</v>
      </c>
      <c r="N712" t="s">
        <v>668</v>
      </c>
      <c r="O712" t="s">
        <v>89</v>
      </c>
      <c r="P712" t="str">
        <f>"4170071991                    "</f>
        <v xml:space="preserve">4170071991                    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  <c r="AH712">
        <v>0</v>
      </c>
      <c r="AI712">
        <v>0</v>
      </c>
      <c r="AJ712">
        <v>0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  <c r="AQ712">
        <v>25.52</v>
      </c>
      <c r="AR712">
        <v>0</v>
      </c>
      <c r="AS712">
        <v>0</v>
      </c>
      <c r="AT712">
        <v>0</v>
      </c>
      <c r="AU712">
        <v>0</v>
      </c>
      <c r="AV712">
        <v>0</v>
      </c>
      <c r="AW712">
        <v>0</v>
      </c>
      <c r="AX712">
        <v>0</v>
      </c>
      <c r="AY712">
        <v>0</v>
      </c>
      <c r="AZ712">
        <v>0</v>
      </c>
      <c r="BA712">
        <v>0</v>
      </c>
      <c r="BB712">
        <v>0</v>
      </c>
      <c r="BC712">
        <v>0</v>
      </c>
      <c r="BD712">
        <v>0</v>
      </c>
      <c r="BE712">
        <v>0</v>
      </c>
      <c r="BF712">
        <v>0</v>
      </c>
      <c r="BG712">
        <v>0</v>
      </c>
      <c r="BH712">
        <v>1</v>
      </c>
      <c r="BI712">
        <v>1</v>
      </c>
      <c r="BJ712">
        <v>0.2</v>
      </c>
      <c r="BK712">
        <v>1</v>
      </c>
      <c r="BL712">
        <v>76.06</v>
      </c>
      <c r="BM712">
        <v>11.41</v>
      </c>
      <c r="BN712">
        <v>87.47</v>
      </c>
      <c r="BO712">
        <v>87.47</v>
      </c>
      <c r="BQ712" t="s">
        <v>669</v>
      </c>
      <c r="BR712" t="s">
        <v>82</v>
      </c>
      <c r="BS712" t="s">
        <v>500</v>
      </c>
      <c r="BW712" t="s">
        <v>1433</v>
      </c>
      <c r="BX712" t="s">
        <v>270</v>
      </c>
      <c r="BY712">
        <v>1200</v>
      </c>
      <c r="CC712" t="s">
        <v>142</v>
      </c>
      <c r="CD712">
        <v>6001</v>
      </c>
      <c r="CE712" t="s">
        <v>134</v>
      </c>
      <c r="CI712">
        <v>1</v>
      </c>
      <c r="CJ712" t="s">
        <v>500</v>
      </c>
      <c r="CK712">
        <v>21</v>
      </c>
      <c r="CL712" t="s">
        <v>87</v>
      </c>
    </row>
    <row r="713" spans="1:90" x14ac:dyDescent="0.3">
      <c r="A713" t="s">
        <v>72</v>
      </c>
      <c r="B713" t="s">
        <v>73</v>
      </c>
      <c r="C713" t="s">
        <v>74</v>
      </c>
      <c r="E713" t="str">
        <f>"080069682915"</f>
        <v>080069682915</v>
      </c>
      <c r="F713" s="3">
        <v>45995</v>
      </c>
      <c r="G713">
        <v>202609</v>
      </c>
      <c r="H713" t="s">
        <v>75</v>
      </c>
      <c r="I713" t="s">
        <v>76</v>
      </c>
      <c r="J713" t="s">
        <v>77</v>
      </c>
      <c r="K713" t="s">
        <v>78</v>
      </c>
      <c r="L713" t="s">
        <v>100</v>
      </c>
      <c r="M713" t="s">
        <v>101</v>
      </c>
      <c r="N713" t="s">
        <v>498</v>
      </c>
      <c r="O713" t="s">
        <v>89</v>
      </c>
      <c r="P713" t="str">
        <f>"4170072022                    "</f>
        <v xml:space="preserve">4170072022                    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  <c r="AG713">
        <v>0</v>
      </c>
      <c r="AH713">
        <v>0</v>
      </c>
      <c r="AI713">
        <v>0</v>
      </c>
      <c r="AJ713">
        <v>0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</v>
      </c>
      <c r="AQ713">
        <v>25.52</v>
      </c>
      <c r="AR713">
        <v>0</v>
      </c>
      <c r="AS713">
        <v>0</v>
      </c>
      <c r="AT713">
        <v>0</v>
      </c>
      <c r="AU713">
        <v>0</v>
      </c>
      <c r="AV713">
        <v>0</v>
      </c>
      <c r="AW713">
        <v>0</v>
      </c>
      <c r="AX713">
        <v>0</v>
      </c>
      <c r="AY713">
        <v>0</v>
      </c>
      <c r="AZ713">
        <v>0</v>
      </c>
      <c r="BA713">
        <v>0</v>
      </c>
      <c r="BB713">
        <v>0</v>
      </c>
      <c r="BC713">
        <v>0</v>
      </c>
      <c r="BD713">
        <v>0</v>
      </c>
      <c r="BE713">
        <v>0</v>
      </c>
      <c r="BF713">
        <v>0</v>
      </c>
      <c r="BG713">
        <v>0</v>
      </c>
      <c r="BH713">
        <v>1</v>
      </c>
      <c r="BI713">
        <v>1</v>
      </c>
      <c r="BJ713">
        <v>0.2</v>
      </c>
      <c r="BK713">
        <v>1</v>
      </c>
      <c r="BL713">
        <v>76.06</v>
      </c>
      <c r="BM713">
        <v>11.41</v>
      </c>
      <c r="BN713">
        <v>87.47</v>
      </c>
      <c r="BO713">
        <v>87.47</v>
      </c>
      <c r="BQ713" t="s">
        <v>499</v>
      </c>
      <c r="BR713" t="s">
        <v>82</v>
      </c>
      <c r="BS713" s="3">
        <v>45996</v>
      </c>
      <c r="BT713" s="4">
        <v>0.73124999999999996</v>
      </c>
      <c r="BU713" t="s">
        <v>1209</v>
      </c>
      <c r="BV713" t="s">
        <v>87</v>
      </c>
      <c r="BY713">
        <v>1200</v>
      </c>
      <c r="CA713" t="s">
        <v>248</v>
      </c>
      <c r="CC713" t="s">
        <v>101</v>
      </c>
      <c r="CD713">
        <v>4052</v>
      </c>
      <c r="CE713" t="s">
        <v>1434</v>
      </c>
      <c r="CF713" s="3">
        <v>45996</v>
      </c>
      <c r="CI713">
        <v>1</v>
      </c>
      <c r="CJ713">
        <v>1</v>
      </c>
      <c r="CK713">
        <v>21</v>
      </c>
      <c r="CL713" t="s">
        <v>87</v>
      </c>
    </row>
    <row r="714" spans="1:90" x14ac:dyDescent="0.3">
      <c r="A714" t="s">
        <v>72</v>
      </c>
      <c r="B714" t="s">
        <v>73</v>
      </c>
      <c r="C714" t="s">
        <v>74</v>
      </c>
      <c r="E714" t="str">
        <f>"080069682962"</f>
        <v>080069682962</v>
      </c>
      <c r="F714" s="3">
        <v>45995</v>
      </c>
      <c r="G714">
        <v>202609</v>
      </c>
      <c r="H714" t="s">
        <v>75</v>
      </c>
      <c r="I714" t="s">
        <v>76</v>
      </c>
      <c r="J714" t="s">
        <v>77</v>
      </c>
      <c r="K714" t="s">
        <v>78</v>
      </c>
      <c r="L714" t="s">
        <v>141</v>
      </c>
      <c r="M714" t="s">
        <v>142</v>
      </c>
      <c r="N714" t="s">
        <v>486</v>
      </c>
      <c r="O714" t="s">
        <v>89</v>
      </c>
      <c r="P714" t="str">
        <f>"4170072001                    "</f>
        <v xml:space="preserve">4170072001                    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25.52</v>
      </c>
      <c r="AR714">
        <v>0</v>
      </c>
      <c r="AS714">
        <v>0</v>
      </c>
      <c r="AT714">
        <v>0</v>
      </c>
      <c r="AU714">
        <v>0</v>
      </c>
      <c r="AV714">
        <v>0</v>
      </c>
      <c r="AW714">
        <v>0</v>
      </c>
      <c r="AX714">
        <v>0</v>
      </c>
      <c r="AY714">
        <v>0</v>
      </c>
      <c r="AZ714">
        <v>0</v>
      </c>
      <c r="BA714">
        <v>0</v>
      </c>
      <c r="BB714">
        <v>0</v>
      </c>
      <c r="BC714">
        <v>0</v>
      </c>
      <c r="BD714">
        <v>0</v>
      </c>
      <c r="BE714">
        <v>0</v>
      </c>
      <c r="BF714">
        <v>0</v>
      </c>
      <c r="BG714">
        <v>0</v>
      </c>
      <c r="BH714">
        <v>1</v>
      </c>
      <c r="BI714">
        <v>1</v>
      </c>
      <c r="BJ714">
        <v>0.2</v>
      </c>
      <c r="BK714">
        <v>1</v>
      </c>
      <c r="BL714">
        <v>76.06</v>
      </c>
      <c r="BM714">
        <v>11.41</v>
      </c>
      <c r="BN714">
        <v>87.47</v>
      </c>
      <c r="BO714">
        <v>87.47</v>
      </c>
      <c r="BQ714" t="s">
        <v>487</v>
      </c>
      <c r="BR714" t="s">
        <v>82</v>
      </c>
      <c r="BS714" t="s">
        <v>500</v>
      </c>
      <c r="BY714">
        <v>1200</v>
      </c>
      <c r="CC714" t="s">
        <v>142</v>
      </c>
      <c r="CD714">
        <v>6012</v>
      </c>
      <c r="CE714" t="s">
        <v>1435</v>
      </c>
      <c r="CI714">
        <v>1</v>
      </c>
      <c r="CJ714" t="s">
        <v>500</v>
      </c>
      <c r="CK714">
        <v>21</v>
      </c>
      <c r="CL714" t="s">
        <v>87</v>
      </c>
    </row>
    <row r="715" spans="1:90" x14ac:dyDescent="0.3">
      <c r="A715" t="s">
        <v>72</v>
      </c>
      <c r="B715" t="s">
        <v>73</v>
      </c>
      <c r="C715" t="s">
        <v>74</v>
      </c>
      <c r="E715" t="str">
        <f>"080069682983"</f>
        <v>080069682983</v>
      </c>
      <c r="F715" s="3">
        <v>45995</v>
      </c>
      <c r="G715">
        <v>202609</v>
      </c>
      <c r="H715" t="s">
        <v>75</v>
      </c>
      <c r="I715" t="s">
        <v>76</v>
      </c>
      <c r="J715" t="s">
        <v>77</v>
      </c>
      <c r="K715" t="s">
        <v>78</v>
      </c>
      <c r="L715" t="s">
        <v>156</v>
      </c>
      <c r="M715" t="s">
        <v>157</v>
      </c>
      <c r="N715" t="s">
        <v>863</v>
      </c>
      <c r="O715" t="s">
        <v>89</v>
      </c>
      <c r="P715" t="str">
        <f>"4170071996                    "</f>
        <v xml:space="preserve">4170071996                    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  <c r="AG715">
        <v>0</v>
      </c>
      <c r="AH715">
        <v>0</v>
      </c>
      <c r="AI715">
        <v>0</v>
      </c>
      <c r="AJ715">
        <v>0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  <c r="AQ715">
        <v>25.52</v>
      </c>
      <c r="AR715">
        <v>0</v>
      </c>
      <c r="AS715">
        <v>0</v>
      </c>
      <c r="AT715">
        <v>0</v>
      </c>
      <c r="AU715">
        <v>0</v>
      </c>
      <c r="AV715">
        <v>0</v>
      </c>
      <c r="AW715">
        <v>0</v>
      </c>
      <c r="AX715">
        <v>0</v>
      </c>
      <c r="AY715">
        <v>0</v>
      </c>
      <c r="AZ715">
        <v>0</v>
      </c>
      <c r="BA715">
        <v>0</v>
      </c>
      <c r="BB715">
        <v>0</v>
      </c>
      <c r="BC715">
        <v>0</v>
      </c>
      <c r="BD715">
        <v>0</v>
      </c>
      <c r="BE715">
        <v>0</v>
      </c>
      <c r="BF715">
        <v>0</v>
      </c>
      <c r="BG715">
        <v>0</v>
      </c>
      <c r="BH715">
        <v>1</v>
      </c>
      <c r="BI715">
        <v>1</v>
      </c>
      <c r="BJ715">
        <v>0.2</v>
      </c>
      <c r="BK715">
        <v>1</v>
      </c>
      <c r="BL715">
        <v>76.06</v>
      </c>
      <c r="BM715">
        <v>11.41</v>
      </c>
      <c r="BN715">
        <v>87.47</v>
      </c>
      <c r="BO715">
        <v>87.47</v>
      </c>
      <c r="BQ715" t="s">
        <v>864</v>
      </c>
      <c r="BR715" t="s">
        <v>82</v>
      </c>
      <c r="BS715" s="3">
        <v>45996</v>
      </c>
      <c r="BT715" s="4">
        <v>0.50555555555555554</v>
      </c>
      <c r="BU715" t="s">
        <v>1436</v>
      </c>
      <c r="BV715" t="s">
        <v>87</v>
      </c>
      <c r="BY715">
        <v>1200</v>
      </c>
      <c r="CA715" t="s">
        <v>661</v>
      </c>
      <c r="CC715" t="s">
        <v>157</v>
      </c>
      <c r="CD715">
        <v>7550</v>
      </c>
      <c r="CE715" t="s">
        <v>134</v>
      </c>
      <c r="CI715">
        <v>1</v>
      </c>
      <c r="CJ715">
        <v>1</v>
      </c>
      <c r="CK715">
        <v>21</v>
      </c>
      <c r="CL715" t="s">
        <v>87</v>
      </c>
    </row>
    <row r="716" spans="1:90" x14ac:dyDescent="0.3">
      <c r="A716" t="s">
        <v>72</v>
      </c>
      <c r="B716" t="s">
        <v>73</v>
      </c>
      <c r="C716" t="s">
        <v>74</v>
      </c>
      <c r="E716" t="str">
        <f>"080011694338"</f>
        <v>080011694338</v>
      </c>
      <c r="F716" s="3">
        <v>45995</v>
      </c>
      <c r="G716">
        <v>202609</v>
      </c>
      <c r="H716" t="s">
        <v>75</v>
      </c>
      <c r="I716" t="s">
        <v>76</v>
      </c>
      <c r="J716" t="s">
        <v>1437</v>
      </c>
      <c r="K716" t="s">
        <v>78</v>
      </c>
      <c r="L716" t="s">
        <v>75</v>
      </c>
      <c r="M716" t="s">
        <v>76</v>
      </c>
      <c r="N716" t="s">
        <v>598</v>
      </c>
      <c r="O716" t="s">
        <v>89</v>
      </c>
      <c r="P716" t="str">
        <f>"-                             "</f>
        <v xml:space="preserve">-                             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>
        <v>0</v>
      </c>
      <c r="AJ716">
        <v>0</v>
      </c>
      <c r="AK716">
        <v>0</v>
      </c>
      <c r="AL716">
        <v>0</v>
      </c>
      <c r="AM716">
        <v>0</v>
      </c>
      <c r="AN716">
        <v>0</v>
      </c>
      <c r="AO716">
        <v>0</v>
      </c>
      <c r="AP716">
        <v>0</v>
      </c>
      <c r="AQ716">
        <v>19.940000000000001</v>
      </c>
      <c r="AR716">
        <v>0</v>
      </c>
      <c r="AS716">
        <v>0</v>
      </c>
      <c r="AT716">
        <v>0</v>
      </c>
      <c r="AU716">
        <v>0</v>
      </c>
      <c r="AV716">
        <v>0</v>
      </c>
      <c r="AW716">
        <v>0</v>
      </c>
      <c r="AX716">
        <v>0</v>
      </c>
      <c r="AY716">
        <v>0</v>
      </c>
      <c r="AZ716">
        <v>0</v>
      </c>
      <c r="BA716">
        <v>0</v>
      </c>
      <c r="BB716">
        <v>0</v>
      </c>
      <c r="BC716">
        <v>0</v>
      </c>
      <c r="BD716">
        <v>0</v>
      </c>
      <c r="BE716">
        <v>0</v>
      </c>
      <c r="BF716">
        <v>0</v>
      </c>
      <c r="BG716">
        <v>0</v>
      </c>
      <c r="BH716">
        <v>1</v>
      </c>
      <c r="BI716">
        <v>2</v>
      </c>
      <c r="BJ716">
        <v>7.2</v>
      </c>
      <c r="BK716">
        <v>8</v>
      </c>
      <c r="BL716">
        <v>59.42</v>
      </c>
      <c r="BM716">
        <v>8.91</v>
      </c>
      <c r="BN716">
        <v>68.33</v>
      </c>
      <c r="BO716">
        <v>68.33</v>
      </c>
      <c r="BQ716" t="s">
        <v>1438</v>
      </c>
      <c r="BR716" t="s">
        <v>1439</v>
      </c>
      <c r="BS716" s="3">
        <v>45996</v>
      </c>
      <c r="BT716" s="4">
        <v>0.39374999999999999</v>
      </c>
      <c r="BU716" t="s">
        <v>601</v>
      </c>
      <c r="BV716" t="s">
        <v>84</v>
      </c>
      <c r="BY716">
        <v>36000</v>
      </c>
      <c r="BZ716" t="s">
        <v>271</v>
      </c>
      <c r="CA716" t="s">
        <v>602</v>
      </c>
      <c r="CC716" t="s">
        <v>76</v>
      </c>
      <c r="CD716">
        <v>1619</v>
      </c>
      <c r="CE716" t="s">
        <v>603</v>
      </c>
      <c r="CF716" s="3">
        <v>45996</v>
      </c>
      <c r="CI716">
        <v>1</v>
      </c>
      <c r="CJ716">
        <v>1</v>
      </c>
      <c r="CK716">
        <v>22</v>
      </c>
      <c r="CL716" t="s">
        <v>87</v>
      </c>
    </row>
    <row r="717" spans="1:90" x14ac:dyDescent="0.3">
      <c r="A717" t="s">
        <v>72</v>
      </c>
      <c r="B717" t="s">
        <v>73</v>
      </c>
      <c r="C717" t="s">
        <v>74</v>
      </c>
      <c r="E717" t="str">
        <f>"080011697411"</f>
        <v>080011697411</v>
      </c>
      <c r="F717" s="3">
        <v>45995</v>
      </c>
      <c r="G717">
        <v>202609</v>
      </c>
      <c r="H717" t="s">
        <v>141</v>
      </c>
      <c r="I717" t="s">
        <v>142</v>
      </c>
      <c r="J717" t="s">
        <v>1440</v>
      </c>
      <c r="K717" t="s">
        <v>78</v>
      </c>
      <c r="L717" t="s">
        <v>75</v>
      </c>
      <c r="M717" t="s">
        <v>76</v>
      </c>
      <c r="N717" t="s">
        <v>598</v>
      </c>
      <c r="O717" t="s">
        <v>89</v>
      </c>
      <c r="P717" t="str">
        <f>"ZA1001431923                  "</f>
        <v xml:space="preserve">ZA1001431923                  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  <c r="AG717">
        <v>0</v>
      </c>
      <c r="AH717">
        <v>0</v>
      </c>
      <c r="AI717">
        <v>0</v>
      </c>
      <c r="AJ717">
        <v>0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  <c r="AQ717">
        <v>248.76</v>
      </c>
      <c r="AR717">
        <v>0</v>
      </c>
      <c r="AS717">
        <v>0</v>
      </c>
      <c r="AT717">
        <v>0</v>
      </c>
      <c r="AU717">
        <v>0</v>
      </c>
      <c r="AV717">
        <v>0</v>
      </c>
      <c r="AW717">
        <v>0</v>
      </c>
      <c r="AX717">
        <v>0</v>
      </c>
      <c r="AY717">
        <v>0</v>
      </c>
      <c r="AZ717">
        <v>0</v>
      </c>
      <c r="BA717">
        <v>0</v>
      </c>
      <c r="BB717">
        <v>0</v>
      </c>
      <c r="BC717">
        <v>0</v>
      </c>
      <c r="BD717">
        <v>0</v>
      </c>
      <c r="BE717">
        <v>0</v>
      </c>
      <c r="BF717">
        <v>0</v>
      </c>
      <c r="BG717">
        <v>0</v>
      </c>
      <c r="BH717">
        <v>4</v>
      </c>
      <c r="BI717">
        <v>14</v>
      </c>
      <c r="BJ717">
        <v>19.2</v>
      </c>
      <c r="BK717">
        <v>19.5</v>
      </c>
      <c r="BL717">
        <v>741.35</v>
      </c>
      <c r="BM717">
        <v>111.2</v>
      </c>
      <c r="BN717">
        <v>852.55</v>
      </c>
      <c r="BO717">
        <v>852.55</v>
      </c>
      <c r="BQ717" t="s">
        <v>599</v>
      </c>
      <c r="BR717" t="s">
        <v>1441</v>
      </c>
      <c r="BS717" s="3">
        <v>45996</v>
      </c>
      <c r="BT717" s="4">
        <v>0.4375</v>
      </c>
      <c r="BU717" t="s">
        <v>895</v>
      </c>
      <c r="BV717" t="s">
        <v>84</v>
      </c>
      <c r="BY717">
        <v>24000</v>
      </c>
      <c r="BZ717" t="s">
        <v>271</v>
      </c>
      <c r="CA717" t="s">
        <v>848</v>
      </c>
      <c r="CC717" t="s">
        <v>76</v>
      </c>
      <c r="CD717">
        <v>1619</v>
      </c>
      <c r="CE717" t="s">
        <v>603</v>
      </c>
      <c r="CF717" s="3">
        <v>45996</v>
      </c>
      <c r="CI717">
        <v>1</v>
      </c>
      <c r="CJ717">
        <v>1</v>
      </c>
      <c r="CK717">
        <v>21</v>
      </c>
      <c r="CL717" t="s">
        <v>87</v>
      </c>
    </row>
    <row r="718" spans="1:90" x14ac:dyDescent="0.3">
      <c r="A718" t="s">
        <v>72</v>
      </c>
      <c r="B718" t="s">
        <v>73</v>
      </c>
      <c r="C718" t="s">
        <v>74</v>
      </c>
      <c r="E718" t="str">
        <f>"080011697429"</f>
        <v>080011697429</v>
      </c>
      <c r="F718" s="3">
        <v>45995</v>
      </c>
      <c r="G718">
        <v>202609</v>
      </c>
      <c r="H718" t="s">
        <v>465</v>
      </c>
      <c r="I718" t="s">
        <v>466</v>
      </c>
      <c r="J718" t="s">
        <v>1442</v>
      </c>
      <c r="K718" t="s">
        <v>78</v>
      </c>
      <c r="L718" t="s">
        <v>75</v>
      </c>
      <c r="M718" t="s">
        <v>76</v>
      </c>
      <c r="N718" t="s">
        <v>598</v>
      </c>
      <c r="O718" t="s">
        <v>89</v>
      </c>
      <c r="P718" t="str">
        <f>"ZA1001431893                  "</f>
        <v xml:space="preserve">ZA1001431893                  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  <c r="AG718">
        <v>0</v>
      </c>
      <c r="AH718">
        <v>0</v>
      </c>
      <c r="AI718">
        <v>0</v>
      </c>
      <c r="AJ718">
        <v>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19.940000000000001</v>
      </c>
      <c r="AR718">
        <v>0</v>
      </c>
      <c r="AS718">
        <v>0</v>
      </c>
      <c r="AT718">
        <v>0</v>
      </c>
      <c r="AU718">
        <v>0</v>
      </c>
      <c r="AV718">
        <v>0</v>
      </c>
      <c r="AW718">
        <v>0</v>
      </c>
      <c r="AX718">
        <v>0</v>
      </c>
      <c r="AY718">
        <v>0</v>
      </c>
      <c r="AZ718">
        <v>0</v>
      </c>
      <c r="BA718">
        <v>0</v>
      </c>
      <c r="BB718">
        <v>0</v>
      </c>
      <c r="BC718">
        <v>0</v>
      </c>
      <c r="BD718">
        <v>0</v>
      </c>
      <c r="BE718">
        <v>0</v>
      </c>
      <c r="BF718">
        <v>0</v>
      </c>
      <c r="BG718">
        <v>0</v>
      </c>
      <c r="BH718">
        <v>1</v>
      </c>
      <c r="BI718">
        <v>3</v>
      </c>
      <c r="BJ718">
        <v>2.4</v>
      </c>
      <c r="BK718">
        <v>3</v>
      </c>
      <c r="BL718">
        <v>59.42</v>
      </c>
      <c r="BM718">
        <v>8.91</v>
      </c>
      <c r="BN718">
        <v>68.33</v>
      </c>
      <c r="BO718">
        <v>68.33</v>
      </c>
      <c r="BQ718" t="s">
        <v>599</v>
      </c>
      <c r="BR718" t="s">
        <v>1443</v>
      </c>
      <c r="BS718" s="3">
        <v>45996</v>
      </c>
      <c r="BT718" s="4">
        <v>0.39374999999999999</v>
      </c>
      <c r="BU718" t="s">
        <v>601</v>
      </c>
      <c r="BV718" t="s">
        <v>84</v>
      </c>
      <c r="BY718">
        <v>12000</v>
      </c>
      <c r="BZ718" t="s">
        <v>271</v>
      </c>
      <c r="CA718" t="s">
        <v>602</v>
      </c>
      <c r="CC718" t="s">
        <v>76</v>
      </c>
      <c r="CD718">
        <v>1619</v>
      </c>
      <c r="CE718" t="s">
        <v>603</v>
      </c>
      <c r="CF718" s="3">
        <v>45996</v>
      </c>
      <c r="CI718">
        <v>1</v>
      </c>
      <c r="CJ718">
        <v>1</v>
      </c>
      <c r="CK718">
        <v>22</v>
      </c>
      <c r="CL718" t="s">
        <v>87</v>
      </c>
    </row>
    <row r="719" spans="1:90" x14ac:dyDescent="0.3">
      <c r="A719" t="s">
        <v>72</v>
      </c>
      <c r="B719" t="s">
        <v>73</v>
      </c>
      <c r="C719" t="s">
        <v>74</v>
      </c>
      <c r="E719" t="str">
        <f>"080011698853"</f>
        <v>080011698853</v>
      </c>
      <c r="F719" s="3">
        <v>45995</v>
      </c>
      <c r="G719">
        <v>202609</v>
      </c>
      <c r="H719" t="s">
        <v>75</v>
      </c>
      <c r="I719" t="s">
        <v>76</v>
      </c>
      <c r="J719" t="s">
        <v>1444</v>
      </c>
      <c r="K719" t="s">
        <v>78</v>
      </c>
      <c r="L719" t="s">
        <v>75</v>
      </c>
      <c r="M719" t="s">
        <v>76</v>
      </c>
      <c r="N719" t="s">
        <v>598</v>
      </c>
      <c r="O719" t="s">
        <v>89</v>
      </c>
      <c r="P719" t="str">
        <f>"ZA1001431569                  "</f>
        <v xml:space="preserve">ZA1001431569                  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  <c r="AG719">
        <v>0</v>
      </c>
      <c r="AH719">
        <v>0</v>
      </c>
      <c r="AI719">
        <v>0</v>
      </c>
      <c r="AJ719">
        <v>0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19.940000000000001</v>
      </c>
      <c r="AR719">
        <v>0</v>
      </c>
      <c r="AS719">
        <v>0</v>
      </c>
      <c r="AT719">
        <v>0</v>
      </c>
      <c r="AU719">
        <v>0</v>
      </c>
      <c r="AV719">
        <v>0</v>
      </c>
      <c r="AW719">
        <v>0</v>
      </c>
      <c r="AX719">
        <v>0</v>
      </c>
      <c r="AY719">
        <v>0</v>
      </c>
      <c r="AZ719">
        <v>0</v>
      </c>
      <c r="BA719">
        <v>0</v>
      </c>
      <c r="BB719">
        <v>0</v>
      </c>
      <c r="BC719">
        <v>0</v>
      </c>
      <c r="BD719">
        <v>0</v>
      </c>
      <c r="BE719">
        <v>0</v>
      </c>
      <c r="BF719">
        <v>0</v>
      </c>
      <c r="BG719">
        <v>0</v>
      </c>
      <c r="BH719">
        <v>1</v>
      </c>
      <c r="BI719">
        <v>3</v>
      </c>
      <c r="BJ719">
        <v>4.8</v>
      </c>
      <c r="BK719">
        <v>5</v>
      </c>
      <c r="BL719">
        <v>59.42</v>
      </c>
      <c r="BM719">
        <v>8.91</v>
      </c>
      <c r="BN719">
        <v>68.33</v>
      </c>
      <c r="BO719">
        <v>68.33</v>
      </c>
      <c r="BQ719" t="s">
        <v>599</v>
      </c>
      <c r="BR719" t="s">
        <v>1445</v>
      </c>
      <c r="BS719" s="3">
        <v>45996</v>
      </c>
      <c r="BT719" s="4">
        <v>0.39374999999999999</v>
      </c>
      <c r="BU719" t="s">
        <v>601</v>
      </c>
      <c r="BV719" t="s">
        <v>84</v>
      </c>
      <c r="BY719">
        <v>24000</v>
      </c>
      <c r="BZ719" t="s">
        <v>271</v>
      </c>
      <c r="CA719" t="s">
        <v>602</v>
      </c>
      <c r="CC719" t="s">
        <v>76</v>
      </c>
      <c r="CD719">
        <v>1619</v>
      </c>
      <c r="CE719" t="s">
        <v>603</v>
      </c>
      <c r="CF719" s="3">
        <v>45996</v>
      </c>
      <c r="CI719">
        <v>1</v>
      </c>
      <c r="CJ719">
        <v>1</v>
      </c>
      <c r="CK719">
        <v>22</v>
      </c>
      <c r="CL719" t="s">
        <v>87</v>
      </c>
    </row>
    <row r="720" spans="1:90" x14ac:dyDescent="0.3">
      <c r="A720" t="s">
        <v>72</v>
      </c>
      <c r="B720" t="s">
        <v>73</v>
      </c>
      <c r="C720" t="s">
        <v>74</v>
      </c>
      <c r="E720" t="str">
        <f>"080069683158"</f>
        <v>080069683158</v>
      </c>
      <c r="F720" s="3">
        <v>45995</v>
      </c>
      <c r="G720">
        <v>202609</v>
      </c>
      <c r="H720" t="s">
        <v>75</v>
      </c>
      <c r="I720" t="s">
        <v>76</v>
      </c>
      <c r="J720" t="s">
        <v>77</v>
      </c>
      <c r="K720" t="s">
        <v>78</v>
      </c>
      <c r="L720" t="s">
        <v>156</v>
      </c>
      <c r="M720" t="s">
        <v>157</v>
      </c>
      <c r="N720" t="s">
        <v>261</v>
      </c>
      <c r="O720" t="s">
        <v>89</v>
      </c>
      <c r="P720" t="str">
        <f>"4170072012                    "</f>
        <v xml:space="preserve">4170072012                    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  <c r="AG720">
        <v>0</v>
      </c>
      <c r="AH720">
        <v>0</v>
      </c>
      <c r="AI720">
        <v>0</v>
      </c>
      <c r="AJ720">
        <v>0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108.44</v>
      </c>
      <c r="AR720">
        <v>0</v>
      </c>
      <c r="AS720">
        <v>0</v>
      </c>
      <c r="AT720">
        <v>0</v>
      </c>
      <c r="AU720">
        <v>0</v>
      </c>
      <c r="AV720">
        <v>0</v>
      </c>
      <c r="AW720">
        <v>0</v>
      </c>
      <c r="AX720">
        <v>0</v>
      </c>
      <c r="AY720">
        <v>0</v>
      </c>
      <c r="AZ720">
        <v>0</v>
      </c>
      <c r="BA720">
        <v>0</v>
      </c>
      <c r="BB720">
        <v>0</v>
      </c>
      <c r="BC720">
        <v>0</v>
      </c>
      <c r="BD720">
        <v>0</v>
      </c>
      <c r="BE720">
        <v>0</v>
      </c>
      <c r="BF720">
        <v>0</v>
      </c>
      <c r="BG720">
        <v>0</v>
      </c>
      <c r="BH720">
        <v>1</v>
      </c>
      <c r="BI720">
        <v>5</v>
      </c>
      <c r="BJ720">
        <v>8.1999999999999993</v>
      </c>
      <c r="BK720">
        <v>8.5</v>
      </c>
      <c r="BL720">
        <v>323.17</v>
      </c>
      <c r="BM720">
        <v>48.48</v>
      </c>
      <c r="BN720">
        <v>371.65</v>
      </c>
      <c r="BO720">
        <v>371.65</v>
      </c>
      <c r="BQ720" t="s">
        <v>262</v>
      </c>
      <c r="BR720" t="s">
        <v>82</v>
      </c>
      <c r="BS720" s="3">
        <v>45996</v>
      </c>
      <c r="BT720" s="4">
        <v>0.39861111111111114</v>
      </c>
      <c r="BU720" t="s">
        <v>263</v>
      </c>
      <c r="BV720" t="s">
        <v>84</v>
      </c>
      <c r="BY720">
        <v>40896</v>
      </c>
      <c r="CA720" t="s">
        <v>264</v>
      </c>
      <c r="CC720" t="s">
        <v>157</v>
      </c>
      <c r="CD720">
        <v>7441</v>
      </c>
      <c r="CE720" t="s">
        <v>86</v>
      </c>
      <c r="CF720" s="3">
        <v>45999</v>
      </c>
      <c r="CI720">
        <v>1</v>
      </c>
      <c r="CJ720">
        <v>1</v>
      </c>
      <c r="CK720">
        <v>21</v>
      </c>
      <c r="CL720" t="s">
        <v>87</v>
      </c>
    </row>
    <row r="721" spans="1:90" x14ac:dyDescent="0.3">
      <c r="A721" t="s">
        <v>72</v>
      </c>
      <c r="B721" t="s">
        <v>73</v>
      </c>
      <c r="C721" t="s">
        <v>74</v>
      </c>
      <c r="E721" t="str">
        <f>"080069683233"</f>
        <v>080069683233</v>
      </c>
      <c r="F721" s="3">
        <v>45995</v>
      </c>
      <c r="G721">
        <v>202609</v>
      </c>
      <c r="H721" t="s">
        <v>75</v>
      </c>
      <c r="I721" t="s">
        <v>76</v>
      </c>
      <c r="J721" t="s">
        <v>77</v>
      </c>
      <c r="K721" t="s">
        <v>78</v>
      </c>
      <c r="L721" t="s">
        <v>218</v>
      </c>
      <c r="M721" t="s">
        <v>219</v>
      </c>
      <c r="N721" t="s">
        <v>220</v>
      </c>
      <c r="O721" t="s">
        <v>89</v>
      </c>
      <c r="P721" t="str">
        <f>"4170072034                    "</f>
        <v xml:space="preserve">4170072034                    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  <c r="AH721">
        <v>0</v>
      </c>
      <c r="AI721">
        <v>0</v>
      </c>
      <c r="AJ721">
        <v>0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49.45</v>
      </c>
      <c r="AR721">
        <v>0</v>
      </c>
      <c r="AS721">
        <v>0</v>
      </c>
      <c r="AT721">
        <v>0</v>
      </c>
      <c r="AU721">
        <v>0</v>
      </c>
      <c r="AV721">
        <v>0</v>
      </c>
      <c r="AW721">
        <v>0</v>
      </c>
      <c r="AX721">
        <v>0</v>
      </c>
      <c r="AY721">
        <v>0</v>
      </c>
      <c r="AZ721">
        <v>0</v>
      </c>
      <c r="BA721">
        <v>0</v>
      </c>
      <c r="BB721">
        <v>0</v>
      </c>
      <c r="BC721">
        <v>0</v>
      </c>
      <c r="BD721">
        <v>0</v>
      </c>
      <c r="BE721">
        <v>0</v>
      </c>
      <c r="BF721">
        <v>0</v>
      </c>
      <c r="BG721">
        <v>0</v>
      </c>
      <c r="BH721">
        <v>1</v>
      </c>
      <c r="BI721">
        <v>1</v>
      </c>
      <c r="BJ721">
        <v>0.2</v>
      </c>
      <c r="BK721">
        <v>1</v>
      </c>
      <c r="BL721">
        <v>147.38</v>
      </c>
      <c r="BM721">
        <v>22.11</v>
      </c>
      <c r="BN721">
        <v>169.49</v>
      </c>
      <c r="BO721">
        <v>169.49</v>
      </c>
      <c r="BQ721" t="s">
        <v>221</v>
      </c>
      <c r="BR721" t="s">
        <v>82</v>
      </c>
      <c r="BS721" s="3">
        <v>45996</v>
      </c>
      <c r="BT721" s="4">
        <v>0.31597222222222221</v>
      </c>
      <c r="BU721" t="s">
        <v>1268</v>
      </c>
      <c r="BV721" t="s">
        <v>84</v>
      </c>
      <c r="BY721">
        <v>1200</v>
      </c>
      <c r="CC721" t="s">
        <v>219</v>
      </c>
      <c r="CD721">
        <v>2740</v>
      </c>
      <c r="CE721" t="s">
        <v>134</v>
      </c>
      <c r="CI721">
        <v>1</v>
      </c>
      <c r="CJ721">
        <v>1</v>
      </c>
      <c r="CK721">
        <v>23</v>
      </c>
      <c r="CL721" t="s">
        <v>87</v>
      </c>
    </row>
    <row r="722" spans="1:90" x14ac:dyDescent="0.3">
      <c r="A722" t="s">
        <v>72</v>
      </c>
      <c r="B722" t="s">
        <v>73</v>
      </c>
      <c r="C722" t="s">
        <v>74</v>
      </c>
      <c r="E722" t="str">
        <f>"080069683272"</f>
        <v>080069683272</v>
      </c>
      <c r="F722" s="3">
        <v>45995</v>
      </c>
      <c r="G722">
        <v>202609</v>
      </c>
      <c r="H722" t="s">
        <v>75</v>
      </c>
      <c r="I722" t="s">
        <v>76</v>
      </c>
      <c r="J722" t="s">
        <v>77</v>
      </c>
      <c r="K722" t="s">
        <v>78</v>
      </c>
      <c r="L722" t="s">
        <v>75</v>
      </c>
      <c r="M722" t="s">
        <v>76</v>
      </c>
      <c r="N722" t="s">
        <v>1142</v>
      </c>
      <c r="O722" t="s">
        <v>89</v>
      </c>
      <c r="P722" t="str">
        <f>"4170072032                    "</f>
        <v xml:space="preserve">4170072032                    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0</v>
      </c>
      <c r="AJ722">
        <v>0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</v>
      </c>
      <c r="AQ722">
        <v>19.940000000000001</v>
      </c>
      <c r="AR722">
        <v>0</v>
      </c>
      <c r="AS722">
        <v>0</v>
      </c>
      <c r="AT722">
        <v>0</v>
      </c>
      <c r="AU722">
        <v>0</v>
      </c>
      <c r="AV722">
        <v>0</v>
      </c>
      <c r="AW722">
        <v>0</v>
      </c>
      <c r="AX722">
        <v>0</v>
      </c>
      <c r="AY722">
        <v>0</v>
      </c>
      <c r="AZ722">
        <v>0</v>
      </c>
      <c r="BA722">
        <v>0</v>
      </c>
      <c r="BB722">
        <v>0</v>
      </c>
      <c r="BC722">
        <v>0</v>
      </c>
      <c r="BD722">
        <v>0</v>
      </c>
      <c r="BE722">
        <v>0</v>
      </c>
      <c r="BF722">
        <v>0</v>
      </c>
      <c r="BG722">
        <v>0</v>
      </c>
      <c r="BH722">
        <v>1</v>
      </c>
      <c r="BI722">
        <v>1</v>
      </c>
      <c r="BJ722">
        <v>0.2</v>
      </c>
      <c r="BK722">
        <v>1</v>
      </c>
      <c r="BL722">
        <v>59.42</v>
      </c>
      <c r="BM722">
        <v>8.91</v>
      </c>
      <c r="BN722">
        <v>68.33</v>
      </c>
      <c r="BO722">
        <v>68.33</v>
      </c>
      <c r="BQ722" t="s">
        <v>1143</v>
      </c>
      <c r="BR722" t="s">
        <v>82</v>
      </c>
      <c r="BS722" s="3">
        <v>45996</v>
      </c>
      <c r="BT722" s="4">
        <v>0.2986111111111111</v>
      </c>
      <c r="BU722" t="s">
        <v>1262</v>
      </c>
      <c r="BV722" t="s">
        <v>84</v>
      </c>
      <c r="BY722">
        <v>1200</v>
      </c>
      <c r="CA722" t="s">
        <v>92</v>
      </c>
      <c r="CC722" t="s">
        <v>76</v>
      </c>
      <c r="CD722">
        <v>1600</v>
      </c>
      <c r="CE722" t="s">
        <v>134</v>
      </c>
      <c r="CF722" s="3">
        <v>45997</v>
      </c>
      <c r="CI722">
        <v>1</v>
      </c>
      <c r="CJ722">
        <v>1</v>
      </c>
      <c r="CK722">
        <v>22</v>
      </c>
      <c r="CL722" t="s">
        <v>87</v>
      </c>
    </row>
    <row r="723" spans="1:90" x14ac:dyDescent="0.3">
      <c r="A723" t="s">
        <v>72</v>
      </c>
      <c r="B723" t="s">
        <v>73</v>
      </c>
      <c r="C723" t="s">
        <v>74</v>
      </c>
      <c r="E723" t="str">
        <f>"080069683288"</f>
        <v>080069683288</v>
      </c>
      <c r="F723" s="3">
        <v>45995</v>
      </c>
      <c r="G723">
        <v>202609</v>
      </c>
      <c r="H723" t="s">
        <v>75</v>
      </c>
      <c r="I723" t="s">
        <v>76</v>
      </c>
      <c r="J723" t="s">
        <v>77</v>
      </c>
      <c r="K723" t="s">
        <v>78</v>
      </c>
      <c r="L723" t="s">
        <v>156</v>
      </c>
      <c r="M723" t="s">
        <v>157</v>
      </c>
      <c r="N723" t="s">
        <v>1446</v>
      </c>
      <c r="O723" t="s">
        <v>89</v>
      </c>
      <c r="P723" t="str">
        <f>"4170072028                    "</f>
        <v xml:space="preserve">4170072028                    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  <c r="AG723">
        <v>0</v>
      </c>
      <c r="AH723">
        <v>0</v>
      </c>
      <c r="AI723">
        <v>0</v>
      </c>
      <c r="AJ723">
        <v>0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  <c r="AQ723">
        <v>153.09</v>
      </c>
      <c r="AR723">
        <v>0</v>
      </c>
      <c r="AS723">
        <v>0</v>
      </c>
      <c r="AT723">
        <v>0</v>
      </c>
      <c r="AU723">
        <v>0</v>
      </c>
      <c r="AV723">
        <v>0</v>
      </c>
      <c r="AW723">
        <v>0</v>
      </c>
      <c r="AX723">
        <v>0</v>
      </c>
      <c r="AY723">
        <v>0</v>
      </c>
      <c r="AZ723">
        <v>0</v>
      </c>
      <c r="BA723">
        <v>0</v>
      </c>
      <c r="BB723">
        <v>0</v>
      </c>
      <c r="BC723">
        <v>0</v>
      </c>
      <c r="BD723">
        <v>0</v>
      </c>
      <c r="BE723">
        <v>0</v>
      </c>
      <c r="BF723">
        <v>0</v>
      </c>
      <c r="BG723">
        <v>0</v>
      </c>
      <c r="BH723">
        <v>1</v>
      </c>
      <c r="BI723">
        <v>12</v>
      </c>
      <c r="BJ723">
        <v>9.4</v>
      </c>
      <c r="BK723">
        <v>12</v>
      </c>
      <c r="BL723">
        <v>456.23</v>
      </c>
      <c r="BM723">
        <v>68.430000000000007</v>
      </c>
      <c r="BN723">
        <v>524.66</v>
      </c>
      <c r="BO723">
        <v>524.66</v>
      </c>
      <c r="BQ723" t="s">
        <v>1447</v>
      </c>
      <c r="BR723" t="s">
        <v>82</v>
      </c>
      <c r="BS723" s="3">
        <v>45996</v>
      </c>
      <c r="BT723" s="4">
        <v>0.64652777777777781</v>
      </c>
      <c r="BU723" t="s">
        <v>1448</v>
      </c>
      <c r="BV723" t="s">
        <v>87</v>
      </c>
      <c r="BY723">
        <v>46800</v>
      </c>
      <c r="CA723" t="s">
        <v>1184</v>
      </c>
      <c r="CC723" t="s">
        <v>157</v>
      </c>
      <c r="CD723">
        <v>7945</v>
      </c>
      <c r="CE723" t="s">
        <v>544</v>
      </c>
      <c r="CF723" s="3">
        <v>45999</v>
      </c>
      <c r="CI723">
        <v>1</v>
      </c>
      <c r="CJ723">
        <v>1</v>
      </c>
      <c r="CK723">
        <v>21</v>
      </c>
      <c r="CL723" t="s">
        <v>87</v>
      </c>
    </row>
    <row r="724" spans="1:90" x14ac:dyDescent="0.3">
      <c r="A724" t="s">
        <v>72</v>
      </c>
      <c r="B724" t="s">
        <v>73</v>
      </c>
      <c r="C724" t="s">
        <v>74</v>
      </c>
      <c r="E724" t="str">
        <f>"080069683331"</f>
        <v>080069683331</v>
      </c>
      <c r="F724" s="3">
        <v>45995</v>
      </c>
      <c r="G724">
        <v>202609</v>
      </c>
      <c r="H724" t="s">
        <v>75</v>
      </c>
      <c r="I724" t="s">
        <v>76</v>
      </c>
      <c r="J724" t="s">
        <v>77</v>
      </c>
      <c r="K724" t="s">
        <v>78</v>
      </c>
      <c r="L724" t="s">
        <v>100</v>
      </c>
      <c r="M724" t="s">
        <v>101</v>
      </c>
      <c r="N724" t="s">
        <v>498</v>
      </c>
      <c r="O724" t="s">
        <v>89</v>
      </c>
      <c r="P724" t="str">
        <f>"4170072023                    "</f>
        <v xml:space="preserve">4170072023                    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0</v>
      </c>
      <c r="AG724">
        <v>0</v>
      </c>
      <c r="AH724">
        <v>0</v>
      </c>
      <c r="AI724">
        <v>0</v>
      </c>
      <c r="AJ724">
        <v>0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25.52</v>
      </c>
      <c r="AR724">
        <v>0</v>
      </c>
      <c r="AS724">
        <v>0</v>
      </c>
      <c r="AT724">
        <v>0</v>
      </c>
      <c r="AU724">
        <v>0</v>
      </c>
      <c r="AV724">
        <v>0</v>
      </c>
      <c r="AW724">
        <v>0</v>
      </c>
      <c r="AX724">
        <v>0</v>
      </c>
      <c r="AY724">
        <v>0</v>
      </c>
      <c r="AZ724">
        <v>0</v>
      </c>
      <c r="BA724">
        <v>0</v>
      </c>
      <c r="BB724">
        <v>0</v>
      </c>
      <c r="BC724">
        <v>0</v>
      </c>
      <c r="BD724">
        <v>0</v>
      </c>
      <c r="BE724">
        <v>0</v>
      </c>
      <c r="BF724">
        <v>0</v>
      </c>
      <c r="BG724">
        <v>0</v>
      </c>
      <c r="BH724">
        <v>1</v>
      </c>
      <c r="BI724">
        <v>1</v>
      </c>
      <c r="BJ724">
        <v>0.2</v>
      </c>
      <c r="BK724">
        <v>1</v>
      </c>
      <c r="BL724">
        <v>76.06</v>
      </c>
      <c r="BM724">
        <v>11.41</v>
      </c>
      <c r="BN724">
        <v>87.47</v>
      </c>
      <c r="BO724">
        <v>87.47</v>
      </c>
      <c r="BQ724" t="s">
        <v>499</v>
      </c>
      <c r="BR724" t="s">
        <v>82</v>
      </c>
      <c r="BS724" s="3">
        <v>45996</v>
      </c>
      <c r="BT724" s="4">
        <v>0.73888888888888893</v>
      </c>
      <c r="BU724" t="s">
        <v>1209</v>
      </c>
      <c r="BV724" t="s">
        <v>87</v>
      </c>
      <c r="BY724">
        <v>1200</v>
      </c>
      <c r="CA724" t="s">
        <v>248</v>
      </c>
      <c r="CC724" t="s">
        <v>101</v>
      </c>
      <c r="CD724">
        <v>4052</v>
      </c>
      <c r="CE724" t="s">
        <v>134</v>
      </c>
      <c r="CF724" s="3">
        <v>45996</v>
      </c>
      <c r="CI724">
        <v>1</v>
      </c>
      <c r="CJ724">
        <v>1</v>
      </c>
      <c r="CK724">
        <v>21</v>
      </c>
      <c r="CL724" t="s">
        <v>87</v>
      </c>
    </row>
    <row r="725" spans="1:90" x14ac:dyDescent="0.3">
      <c r="A725" t="s">
        <v>72</v>
      </c>
      <c r="B725" t="s">
        <v>73</v>
      </c>
      <c r="C725" t="s">
        <v>74</v>
      </c>
      <c r="E725" t="str">
        <f>"080069683352"</f>
        <v>080069683352</v>
      </c>
      <c r="F725" s="3">
        <v>45995</v>
      </c>
      <c r="G725">
        <v>202609</v>
      </c>
      <c r="H725" t="s">
        <v>75</v>
      </c>
      <c r="I725" t="s">
        <v>76</v>
      </c>
      <c r="J725" t="s">
        <v>77</v>
      </c>
      <c r="K725" t="s">
        <v>78</v>
      </c>
      <c r="L725" t="s">
        <v>156</v>
      </c>
      <c r="M725" t="s">
        <v>157</v>
      </c>
      <c r="N725" t="s">
        <v>1347</v>
      </c>
      <c r="O725" t="s">
        <v>89</v>
      </c>
      <c r="P725" t="str">
        <f>"4170071986                    "</f>
        <v xml:space="preserve">4170071986                    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  <c r="AG725">
        <v>0</v>
      </c>
      <c r="AH725">
        <v>0</v>
      </c>
      <c r="AI725">
        <v>0</v>
      </c>
      <c r="AJ725">
        <v>0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204.11</v>
      </c>
      <c r="AR725">
        <v>0</v>
      </c>
      <c r="AS725">
        <v>0</v>
      </c>
      <c r="AT725">
        <v>0</v>
      </c>
      <c r="AU725">
        <v>0</v>
      </c>
      <c r="AV725">
        <v>0</v>
      </c>
      <c r="AW725">
        <v>0</v>
      </c>
      <c r="AX725">
        <v>0</v>
      </c>
      <c r="AY725">
        <v>0</v>
      </c>
      <c r="AZ725">
        <v>0</v>
      </c>
      <c r="BA725">
        <v>0</v>
      </c>
      <c r="BB725">
        <v>0</v>
      </c>
      <c r="BC725">
        <v>0</v>
      </c>
      <c r="BD725">
        <v>0</v>
      </c>
      <c r="BE725">
        <v>0</v>
      </c>
      <c r="BF725">
        <v>0</v>
      </c>
      <c r="BG725">
        <v>0</v>
      </c>
      <c r="BH725">
        <v>1</v>
      </c>
      <c r="BI725">
        <v>16</v>
      </c>
      <c r="BJ725">
        <v>3.4</v>
      </c>
      <c r="BK725">
        <v>16</v>
      </c>
      <c r="BL725">
        <v>608.29</v>
      </c>
      <c r="BM725">
        <v>91.24</v>
      </c>
      <c r="BN725">
        <v>699.53</v>
      </c>
      <c r="BO725">
        <v>699.53</v>
      </c>
      <c r="BQ725" t="s">
        <v>1348</v>
      </c>
      <c r="BR725" t="s">
        <v>82</v>
      </c>
      <c r="BS725" s="3">
        <v>45996</v>
      </c>
      <c r="BT725" s="4">
        <v>0.55277777777777781</v>
      </c>
      <c r="BU725" t="s">
        <v>1349</v>
      </c>
      <c r="BV725" t="s">
        <v>87</v>
      </c>
      <c r="BY725">
        <v>16965</v>
      </c>
      <c r="CA725" t="s">
        <v>992</v>
      </c>
      <c r="CC725" t="s">
        <v>157</v>
      </c>
      <c r="CD725">
        <v>7460</v>
      </c>
      <c r="CE725" t="s">
        <v>86</v>
      </c>
      <c r="CI725">
        <v>1</v>
      </c>
      <c r="CJ725">
        <v>1</v>
      </c>
      <c r="CK725">
        <v>21</v>
      </c>
      <c r="CL725" t="s">
        <v>87</v>
      </c>
    </row>
    <row r="726" spans="1:90" x14ac:dyDescent="0.3">
      <c r="A726" t="s">
        <v>72</v>
      </c>
      <c r="B726" t="s">
        <v>73</v>
      </c>
      <c r="C726" t="s">
        <v>74</v>
      </c>
      <c r="E726" t="str">
        <f>"080069683365"</f>
        <v>080069683365</v>
      </c>
      <c r="F726" s="3">
        <v>45995</v>
      </c>
      <c r="G726">
        <v>202609</v>
      </c>
      <c r="H726" t="s">
        <v>75</v>
      </c>
      <c r="I726" t="s">
        <v>76</v>
      </c>
      <c r="J726" t="s">
        <v>77</v>
      </c>
      <c r="K726" t="s">
        <v>78</v>
      </c>
      <c r="L726" t="s">
        <v>533</v>
      </c>
      <c r="M726" t="s">
        <v>533</v>
      </c>
      <c r="N726" t="s">
        <v>554</v>
      </c>
      <c r="O726" t="s">
        <v>89</v>
      </c>
      <c r="P726" t="str">
        <f>"4170072024                    "</f>
        <v xml:space="preserve">4170072024                    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  <c r="AG726">
        <v>0</v>
      </c>
      <c r="AH726">
        <v>0</v>
      </c>
      <c r="AI726">
        <v>0</v>
      </c>
      <c r="AJ726">
        <v>0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49.45</v>
      </c>
      <c r="AR726">
        <v>0</v>
      </c>
      <c r="AS726">
        <v>0</v>
      </c>
      <c r="AT726">
        <v>0</v>
      </c>
      <c r="AU726">
        <v>0</v>
      </c>
      <c r="AV726">
        <v>0</v>
      </c>
      <c r="AW726">
        <v>0</v>
      </c>
      <c r="AX726">
        <v>0</v>
      </c>
      <c r="AY726">
        <v>0</v>
      </c>
      <c r="AZ726">
        <v>0</v>
      </c>
      <c r="BA726">
        <v>0</v>
      </c>
      <c r="BB726">
        <v>0</v>
      </c>
      <c r="BC726">
        <v>0</v>
      </c>
      <c r="BD726">
        <v>0</v>
      </c>
      <c r="BE726">
        <v>0</v>
      </c>
      <c r="BF726">
        <v>0</v>
      </c>
      <c r="BG726">
        <v>0</v>
      </c>
      <c r="BH726">
        <v>1</v>
      </c>
      <c r="BI726">
        <v>1</v>
      </c>
      <c r="BJ726">
        <v>0.2</v>
      </c>
      <c r="BK726">
        <v>1</v>
      </c>
      <c r="BL726">
        <v>147.38</v>
      </c>
      <c r="BM726">
        <v>22.11</v>
      </c>
      <c r="BN726">
        <v>169.49</v>
      </c>
      <c r="BO726">
        <v>169.49</v>
      </c>
      <c r="BQ726" t="s">
        <v>555</v>
      </c>
      <c r="BR726" t="s">
        <v>82</v>
      </c>
      <c r="BS726" s="3">
        <v>45996</v>
      </c>
      <c r="BT726" s="4">
        <v>0.72638888888888886</v>
      </c>
      <c r="BU726" t="s">
        <v>1214</v>
      </c>
      <c r="BV726" t="s">
        <v>87</v>
      </c>
      <c r="BY726">
        <v>1200</v>
      </c>
      <c r="CA726" t="s">
        <v>537</v>
      </c>
      <c r="CC726" t="s">
        <v>533</v>
      </c>
      <c r="CD726">
        <v>7646</v>
      </c>
      <c r="CE726" t="s">
        <v>134</v>
      </c>
      <c r="CI726">
        <v>1</v>
      </c>
      <c r="CJ726">
        <v>1</v>
      </c>
      <c r="CK726">
        <v>23</v>
      </c>
      <c r="CL726" t="s">
        <v>87</v>
      </c>
    </row>
    <row r="727" spans="1:90" x14ac:dyDescent="0.3">
      <c r="A727" t="s">
        <v>72</v>
      </c>
      <c r="B727" t="s">
        <v>73</v>
      </c>
      <c r="C727" t="s">
        <v>74</v>
      </c>
      <c r="E727" t="str">
        <f>"080069683379"</f>
        <v>080069683379</v>
      </c>
      <c r="F727" s="3">
        <v>45995</v>
      </c>
      <c r="G727">
        <v>202609</v>
      </c>
      <c r="H727" t="s">
        <v>75</v>
      </c>
      <c r="I727" t="s">
        <v>76</v>
      </c>
      <c r="J727" t="s">
        <v>77</v>
      </c>
      <c r="K727" t="s">
        <v>78</v>
      </c>
      <c r="L727" t="s">
        <v>1099</v>
      </c>
      <c r="M727" t="s">
        <v>1100</v>
      </c>
      <c r="N727" t="s">
        <v>234</v>
      </c>
      <c r="O727" t="s">
        <v>89</v>
      </c>
      <c r="P727" t="str">
        <f>"4170072011                    "</f>
        <v xml:space="preserve">4170072011                    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0</v>
      </c>
      <c r="AG727">
        <v>0</v>
      </c>
      <c r="AH727">
        <v>0</v>
      </c>
      <c r="AI727">
        <v>0</v>
      </c>
      <c r="AJ727">
        <v>0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138.78</v>
      </c>
      <c r="AR727">
        <v>0</v>
      </c>
      <c r="AS727">
        <v>0</v>
      </c>
      <c r="AT727">
        <v>0</v>
      </c>
      <c r="AU727">
        <v>0</v>
      </c>
      <c r="AV727">
        <v>0</v>
      </c>
      <c r="AW727">
        <v>0</v>
      </c>
      <c r="AX727">
        <v>0</v>
      </c>
      <c r="AY727">
        <v>0</v>
      </c>
      <c r="AZ727">
        <v>0</v>
      </c>
      <c r="BA727">
        <v>0</v>
      </c>
      <c r="BB727">
        <v>0</v>
      </c>
      <c r="BC727">
        <v>0</v>
      </c>
      <c r="BD727">
        <v>0</v>
      </c>
      <c r="BE727">
        <v>0</v>
      </c>
      <c r="BF727">
        <v>0</v>
      </c>
      <c r="BG727">
        <v>0</v>
      </c>
      <c r="BH727">
        <v>1</v>
      </c>
      <c r="BI727">
        <v>6</v>
      </c>
      <c r="BJ727">
        <v>3.1</v>
      </c>
      <c r="BK727">
        <v>6</v>
      </c>
      <c r="BL727">
        <v>413.59</v>
      </c>
      <c r="BM727">
        <v>62.04</v>
      </c>
      <c r="BN727">
        <v>475.63</v>
      </c>
      <c r="BO727">
        <v>475.63</v>
      </c>
      <c r="BQ727" t="s">
        <v>235</v>
      </c>
      <c r="BR727" t="s">
        <v>82</v>
      </c>
      <c r="BS727" s="3">
        <v>45996</v>
      </c>
      <c r="BT727" s="4">
        <v>0.4236111111111111</v>
      </c>
      <c r="BU727" t="s">
        <v>1449</v>
      </c>
      <c r="BV727" t="s">
        <v>84</v>
      </c>
      <c r="BY727">
        <v>15360</v>
      </c>
      <c r="CC727" t="s">
        <v>1100</v>
      </c>
      <c r="CD727" s="5" t="s">
        <v>1104</v>
      </c>
      <c r="CE727" t="s">
        <v>86</v>
      </c>
      <c r="CF727" s="3">
        <v>45997</v>
      </c>
      <c r="CI727">
        <v>1</v>
      </c>
      <c r="CJ727">
        <v>1</v>
      </c>
      <c r="CK727">
        <v>23</v>
      </c>
      <c r="CL727" t="s">
        <v>87</v>
      </c>
    </row>
    <row r="728" spans="1:90" x14ac:dyDescent="0.3">
      <c r="A728" t="s">
        <v>72</v>
      </c>
      <c r="B728" t="s">
        <v>73</v>
      </c>
      <c r="C728" t="s">
        <v>74</v>
      </c>
      <c r="E728" t="str">
        <f>"080069683377"</f>
        <v>080069683377</v>
      </c>
      <c r="F728" s="3">
        <v>45995</v>
      </c>
      <c r="G728">
        <v>202609</v>
      </c>
      <c r="H728" t="s">
        <v>75</v>
      </c>
      <c r="I728" t="s">
        <v>76</v>
      </c>
      <c r="J728" t="s">
        <v>77</v>
      </c>
      <c r="K728" t="s">
        <v>78</v>
      </c>
      <c r="L728" t="s">
        <v>141</v>
      </c>
      <c r="M728" t="s">
        <v>142</v>
      </c>
      <c r="N728" t="s">
        <v>809</v>
      </c>
      <c r="O728" t="s">
        <v>89</v>
      </c>
      <c r="P728" t="str">
        <f>"4170072037                    "</f>
        <v xml:space="preserve">4170072037                    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  <c r="AG728">
        <v>0</v>
      </c>
      <c r="AH728">
        <v>0</v>
      </c>
      <c r="AI728">
        <v>0</v>
      </c>
      <c r="AJ728">
        <v>0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76.55</v>
      </c>
      <c r="AR728">
        <v>0</v>
      </c>
      <c r="AS728">
        <v>0</v>
      </c>
      <c r="AT728">
        <v>0</v>
      </c>
      <c r="AU728">
        <v>0</v>
      </c>
      <c r="AV728">
        <v>0</v>
      </c>
      <c r="AW728">
        <v>0</v>
      </c>
      <c r="AX728">
        <v>0</v>
      </c>
      <c r="AY728">
        <v>0</v>
      </c>
      <c r="AZ728">
        <v>0</v>
      </c>
      <c r="BA728">
        <v>0</v>
      </c>
      <c r="BB728">
        <v>0</v>
      </c>
      <c r="BC728">
        <v>0</v>
      </c>
      <c r="BD728">
        <v>0</v>
      </c>
      <c r="BE728">
        <v>0</v>
      </c>
      <c r="BF728">
        <v>0</v>
      </c>
      <c r="BG728">
        <v>0</v>
      </c>
      <c r="BH728">
        <v>2</v>
      </c>
      <c r="BI728">
        <v>3</v>
      </c>
      <c r="BJ728">
        <v>6</v>
      </c>
      <c r="BK728">
        <v>6</v>
      </c>
      <c r="BL728">
        <v>228.13</v>
      </c>
      <c r="BM728">
        <v>34.22</v>
      </c>
      <c r="BN728">
        <v>262.35000000000002</v>
      </c>
      <c r="BO728">
        <v>262.35000000000002</v>
      </c>
      <c r="BQ728" t="s">
        <v>810</v>
      </c>
      <c r="BR728" t="s">
        <v>82</v>
      </c>
      <c r="BS728" s="3">
        <v>45996</v>
      </c>
      <c r="BT728" s="4">
        <v>0.60069444444444442</v>
      </c>
      <c r="BU728" t="s">
        <v>1450</v>
      </c>
      <c r="BV728" t="s">
        <v>87</v>
      </c>
      <c r="BY728">
        <v>29934</v>
      </c>
      <c r="CA728" t="s">
        <v>327</v>
      </c>
      <c r="CC728" t="s">
        <v>142</v>
      </c>
      <c r="CD728">
        <v>6020</v>
      </c>
      <c r="CE728" t="s">
        <v>86</v>
      </c>
      <c r="CF728" s="3">
        <v>45996</v>
      </c>
      <c r="CI728">
        <v>1</v>
      </c>
      <c r="CJ728">
        <v>1</v>
      </c>
      <c r="CK728">
        <v>21</v>
      </c>
      <c r="CL728" t="s">
        <v>87</v>
      </c>
    </row>
    <row r="729" spans="1:90" x14ac:dyDescent="0.3">
      <c r="A729" t="s">
        <v>72</v>
      </c>
      <c r="B729" t="s">
        <v>73</v>
      </c>
      <c r="C729" t="s">
        <v>74</v>
      </c>
      <c r="E729" t="str">
        <f>"080069683402"</f>
        <v>080069683402</v>
      </c>
      <c r="F729" s="3">
        <v>45995</v>
      </c>
      <c r="G729">
        <v>202609</v>
      </c>
      <c r="H729" t="s">
        <v>75</v>
      </c>
      <c r="I729" t="s">
        <v>76</v>
      </c>
      <c r="J729" t="s">
        <v>77</v>
      </c>
      <c r="K729" t="s">
        <v>78</v>
      </c>
      <c r="L729" t="s">
        <v>156</v>
      </c>
      <c r="M729" t="s">
        <v>157</v>
      </c>
      <c r="N729" t="s">
        <v>947</v>
      </c>
      <c r="O729" t="s">
        <v>89</v>
      </c>
      <c r="P729" t="str">
        <f>"4170072048                    "</f>
        <v xml:space="preserve">4170072048                    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0</v>
      </c>
      <c r="AG729">
        <v>0</v>
      </c>
      <c r="AH729">
        <v>0</v>
      </c>
      <c r="AI729">
        <v>0</v>
      </c>
      <c r="AJ729">
        <v>0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  <c r="AQ729">
        <v>44.66</v>
      </c>
      <c r="AR729">
        <v>0</v>
      </c>
      <c r="AS729">
        <v>0</v>
      </c>
      <c r="AT729">
        <v>0</v>
      </c>
      <c r="AU729">
        <v>0</v>
      </c>
      <c r="AV729">
        <v>0</v>
      </c>
      <c r="AW729">
        <v>0</v>
      </c>
      <c r="AX729">
        <v>0</v>
      </c>
      <c r="AY729">
        <v>0</v>
      </c>
      <c r="AZ729">
        <v>0</v>
      </c>
      <c r="BA729">
        <v>0</v>
      </c>
      <c r="BB729">
        <v>0</v>
      </c>
      <c r="BC729">
        <v>0</v>
      </c>
      <c r="BD729">
        <v>0</v>
      </c>
      <c r="BE729">
        <v>0</v>
      </c>
      <c r="BF729">
        <v>0</v>
      </c>
      <c r="BG729">
        <v>0</v>
      </c>
      <c r="BH729">
        <v>1</v>
      </c>
      <c r="BI729">
        <v>2</v>
      </c>
      <c r="BJ729">
        <v>3.1</v>
      </c>
      <c r="BK729">
        <v>3.5</v>
      </c>
      <c r="BL729">
        <v>133.09</v>
      </c>
      <c r="BM729">
        <v>19.96</v>
      </c>
      <c r="BN729">
        <v>153.05000000000001</v>
      </c>
      <c r="BO729">
        <v>153.05000000000001</v>
      </c>
      <c r="BQ729" t="s">
        <v>948</v>
      </c>
      <c r="BR729" t="s">
        <v>82</v>
      </c>
      <c r="BS729" s="3">
        <v>45996</v>
      </c>
      <c r="BT729" s="4">
        <v>0.51249999999999996</v>
      </c>
      <c r="BU729" t="s">
        <v>1451</v>
      </c>
      <c r="BV729" t="s">
        <v>87</v>
      </c>
      <c r="BY729">
        <v>15360</v>
      </c>
      <c r="CA729" t="s">
        <v>950</v>
      </c>
      <c r="CC729" t="s">
        <v>157</v>
      </c>
      <c r="CD729">
        <v>7500</v>
      </c>
      <c r="CE729" t="s">
        <v>86</v>
      </c>
      <c r="CF729" s="3">
        <v>45999</v>
      </c>
      <c r="CI729">
        <v>1</v>
      </c>
      <c r="CJ729">
        <v>1</v>
      </c>
      <c r="CK729">
        <v>21</v>
      </c>
      <c r="CL729" t="s">
        <v>87</v>
      </c>
    </row>
    <row r="730" spans="1:90" x14ac:dyDescent="0.3">
      <c r="A730" t="s">
        <v>72</v>
      </c>
      <c r="B730" t="s">
        <v>73</v>
      </c>
      <c r="C730" t="s">
        <v>74</v>
      </c>
      <c r="E730" t="str">
        <f>"080069683403"</f>
        <v>080069683403</v>
      </c>
      <c r="F730" s="3">
        <v>45995</v>
      </c>
      <c r="G730">
        <v>202609</v>
      </c>
      <c r="H730" t="s">
        <v>75</v>
      </c>
      <c r="I730" t="s">
        <v>76</v>
      </c>
      <c r="J730" t="s">
        <v>77</v>
      </c>
      <c r="K730" t="s">
        <v>78</v>
      </c>
      <c r="L730" t="s">
        <v>272</v>
      </c>
      <c r="M730" t="s">
        <v>273</v>
      </c>
      <c r="N730" t="s">
        <v>274</v>
      </c>
      <c r="O730" t="s">
        <v>80</v>
      </c>
      <c r="P730" t="str">
        <f>"4170072042                    "</f>
        <v xml:space="preserve">4170072042                    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0</v>
      </c>
      <c r="AG730">
        <v>0</v>
      </c>
      <c r="AH730">
        <v>0</v>
      </c>
      <c r="AI730">
        <v>0</v>
      </c>
      <c r="AJ730">
        <v>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67.72</v>
      </c>
      <c r="AR730">
        <v>0</v>
      </c>
      <c r="AS730">
        <v>0</v>
      </c>
      <c r="AT730">
        <v>0</v>
      </c>
      <c r="AU730">
        <v>0</v>
      </c>
      <c r="AV730">
        <v>0</v>
      </c>
      <c r="AW730">
        <v>0</v>
      </c>
      <c r="AX730">
        <v>0</v>
      </c>
      <c r="AY730">
        <v>0</v>
      </c>
      <c r="AZ730">
        <v>0</v>
      </c>
      <c r="BA730">
        <v>0</v>
      </c>
      <c r="BB730">
        <v>0</v>
      </c>
      <c r="BC730">
        <v>0</v>
      </c>
      <c r="BD730">
        <v>0</v>
      </c>
      <c r="BE730">
        <v>0</v>
      </c>
      <c r="BF730">
        <v>0</v>
      </c>
      <c r="BG730">
        <v>0</v>
      </c>
      <c r="BH730">
        <v>1</v>
      </c>
      <c r="BI730">
        <v>24</v>
      </c>
      <c r="BJ730">
        <v>9.6</v>
      </c>
      <c r="BK730">
        <v>24</v>
      </c>
      <c r="BL730">
        <v>207.92</v>
      </c>
      <c r="BM730">
        <v>31.19</v>
      </c>
      <c r="BN730">
        <v>239.11</v>
      </c>
      <c r="BO730">
        <v>239.11</v>
      </c>
      <c r="BQ730" t="s">
        <v>275</v>
      </c>
      <c r="BR730" t="s">
        <v>82</v>
      </c>
      <c r="BS730" s="3">
        <v>45996</v>
      </c>
      <c r="BT730" s="4">
        <v>0.34444444444444444</v>
      </c>
      <c r="BU730" t="s">
        <v>1452</v>
      </c>
      <c r="BV730" t="s">
        <v>84</v>
      </c>
      <c r="BY730">
        <v>48000</v>
      </c>
      <c r="CA730" t="s">
        <v>1453</v>
      </c>
      <c r="CC730" t="s">
        <v>273</v>
      </c>
      <c r="CD730">
        <v>6220</v>
      </c>
      <c r="CE730" t="s">
        <v>86</v>
      </c>
      <c r="CI730">
        <v>3</v>
      </c>
      <c r="CJ730">
        <v>1</v>
      </c>
      <c r="CK730">
        <v>41</v>
      </c>
      <c r="CL730" t="s">
        <v>87</v>
      </c>
    </row>
    <row r="731" spans="1:90" x14ac:dyDescent="0.3">
      <c r="A731" t="s">
        <v>72</v>
      </c>
      <c r="B731" t="s">
        <v>73</v>
      </c>
      <c r="C731" t="s">
        <v>74</v>
      </c>
      <c r="E731" t="str">
        <f>"080069683429"</f>
        <v>080069683429</v>
      </c>
      <c r="F731" s="3">
        <v>45995</v>
      </c>
      <c r="G731">
        <v>202609</v>
      </c>
      <c r="H731" t="s">
        <v>75</v>
      </c>
      <c r="I731" t="s">
        <v>76</v>
      </c>
      <c r="J731" t="s">
        <v>77</v>
      </c>
      <c r="K731" t="s">
        <v>78</v>
      </c>
      <c r="L731" t="s">
        <v>100</v>
      </c>
      <c r="M731" t="s">
        <v>101</v>
      </c>
      <c r="N731" t="s">
        <v>102</v>
      </c>
      <c r="O731" t="s">
        <v>89</v>
      </c>
      <c r="P731" t="str">
        <f>"4170071992                    "</f>
        <v xml:space="preserve">4170071992                    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0</v>
      </c>
      <c r="AG731">
        <v>0</v>
      </c>
      <c r="AH731">
        <v>0</v>
      </c>
      <c r="AI731">
        <v>0</v>
      </c>
      <c r="AJ731">
        <v>0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38.28</v>
      </c>
      <c r="AR731">
        <v>0</v>
      </c>
      <c r="AS731">
        <v>0</v>
      </c>
      <c r="AT731">
        <v>0</v>
      </c>
      <c r="AU731">
        <v>0</v>
      </c>
      <c r="AV731">
        <v>0</v>
      </c>
      <c r="AW731">
        <v>0</v>
      </c>
      <c r="AX731">
        <v>0</v>
      </c>
      <c r="AY731">
        <v>0</v>
      </c>
      <c r="AZ731">
        <v>0</v>
      </c>
      <c r="BA731">
        <v>0</v>
      </c>
      <c r="BB731">
        <v>0</v>
      </c>
      <c r="BC731">
        <v>0</v>
      </c>
      <c r="BD731">
        <v>0</v>
      </c>
      <c r="BE731">
        <v>0</v>
      </c>
      <c r="BF731">
        <v>0</v>
      </c>
      <c r="BG731">
        <v>0</v>
      </c>
      <c r="BH731">
        <v>1</v>
      </c>
      <c r="BI731">
        <v>2</v>
      </c>
      <c r="BJ731">
        <v>3</v>
      </c>
      <c r="BK731">
        <v>3</v>
      </c>
      <c r="BL731">
        <v>114.08</v>
      </c>
      <c r="BM731">
        <v>17.11</v>
      </c>
      <c r="BN731">
        <v>131.19</v>
      </c>
      <c r="BO731">
        <v>131.19</v>
      </c>
      <c r="BQ731" t="s">
        <v>103</v>
      </c>
      <c r="BR731" t="s">
        <v>82</v>
      </c>
      <c r="BS731" s="3">
        <v>45996</v>
      </c>
      <c r="BT731" s="4">
        <v>0.35347222222222224</v>
      </c>
      <c r="BU731" t="s">
        <v>1186</v>
      </c>
      <c r="BV731" t="s">
        <v>84</v>
      </c>
      <c r="BY731">
        <v>15232</v>
      </c>
      <c r="CA731" t="s">
        <v>107</v>
      </c>
      <c r="CC731" t="s">
        <v>101</v>
      </c>
      <c r="CD731">
        <v>4051</v>
      </c>
      <c r="CE731" t="s">
        <v>93</v>
      </c>
      <c r="CF731" s="3">
        <v>45996</v>
      </c>
      <c r="CI731">
        <v>1</v>
      </c>
      <c r="CJ731">
        <v>1</v>
      </c>
      <c r="CK731">
        <v>21</v>
      </c>
      <c r="CL731" t="s">
        <v>87</v>
      </c>
    </row>
    <row r="732" spans="1:90" x14ac:dyDescent="0.3">
      <c r="A732" t="s">
        <v>72</v>
      </c>
      <c r="B732" t="s">
        <v>73</v>
      </c>
      <c r="C732" t="s">
        <v>74</v>
      </c>
      <c r="E732" t="str">
        <f>"080069683433"</f>
        <v>080069683433</v>
      </c>
      <c r="F732" s="3">
        <v>45995</v>
      </c>
      <c r="G732">
        <v>202609</v>
      </c>
      <c r="H732" t="s">
        <v>75</v>
      </c>
      <c r="I732" t="s">
        <v>76</v>
      </c>
      <c r="J732" t="s">
        <v>77</v>
      </c>
      <c r="K732" t="s">
        <v>78</v>
      </c>
      <c r="L732" t="s">
        <v>141</v>
      </c>
      <c r="M732" t="s">
        <v>142</v>
      </c>
      <c r="N732" t="s">
        <v>604</v>
      </c>
      <c r="O732" t="s">
        <v>89</v>
      </c>
      <c r="P732" t="str">
        <f>"4170072035                    "</f>
        <v xml:space="preserve">4170072035                    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0</v>
      </c>
      <c r="AG732">
        <v>0</v>
      </c>
      <c r="AH732">
        <v>0</v>
      </c>
      <c r="AI732">
        <v>0</v>
      </c>
      <c r="AJ732">
        <v>0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108.44</v>
      </c>
      <c r="AR732">
        <v>0</v>
      </c>
      <c r="AS732">
        <v>0</v>
      </c>
      <c r="AT732">
        <v>0</v>
      </c>
      <c r="AU732">
        <v>0</v>
      </c>
      <c r="AV732">
        <v>0</v>
      </c>
      <c r="AW732">
        <v>0</v>
      </c>
      <c r="AX732">
        <v>0</v>
      </c>
      <c r="AY732">
        <v>0</v>
      </c>
      <c r="AZ732">
        <v>0</v>
      </c>
      <c r="BA732">
        <v>0</v>
      </c>
      <c r="BB732">
        <v>0</v>
      </c>
      <c r="BC732">
        <v>0</v>
      </c>
      <c r="BD732">
        <v>0</v>
      </c>
      <c r="BE732">
        <v>0</v>
      </c>
      <c r="BF732">
        <v>0</v>
      </c>
      <c r="BG732">
        <v>0</v>
      </c>
      <c r="BH732">
        <v>1</v>
      </c>
      <c r="BI732">
        <v>6</v>
      </c>
      <c r="BJ732">
        <v>8.1</v>
      </c>
      <c r="BK732">
        <v>8.5</v>
      </c>
      <c r="BL732">
        <v>323.17</v>
      </c>
      <c r="BM732">
        <v>48.48</v>
      </c>
      <c r="BN732">
        <v>371.65</v>
      </c>
      <c r="BO732">
        <v>371.65</v>
      </c>
      <c r="BQ732" t="s">
        <v>605</v>
      </c>
      <c r="BR732" t="s">
        <v>82</v>
      </c>
      <c r="BS732" s="3">
        <v>45996</v>
      </c>
      <c r="BT732" s="4">
        <v>0.41736111111111113</v>
      </c>
      <c r="BU732" t="s">
        <v>606</v>
      </c>
      <c r="BV732" t="s">
        <v>84</v>
      </c>
      <c r="BY732">
        <v>40320</v>
      </c>
      <c r="CA732" t="s">
        <v>315</v>
      </c>
      <c r="CC732" t="s">
        <v>142</v>
      </c>
      <c r="CD732">
        <v>6070</v>
      </c>
      <c r="CE732" t="s">
        <v>86</v>
      </c>
      <c r="CF732" s="3">
        <v>45996</v>
      </c>
      <c r="CI732">
        <v>1</v>
      </c>
      <c r="CJ732">
        <v>1</v>
      </c>
      <c r="CK732">
        <v>21</v>
      </c>
      <c r="CL732" t="s">
        <v>87</v>
      </c>
    </row>
    <row r="733" spans="1:90" x14ac:dyDescent="0.3">
      <c r="A733" t="s">
        <v>72</v>
      </c>
      <c r="B733" t="s">
        <v>73</v>
      </c>
      <c r="C733" t="s">
        <v>74</v>
      </c>
      <c r="E733" t="str">
        <f>"080069683482"</f>
        <v>080069683482</v>
      </c>
      <c r="F733" s="3">
        <v>45995</v>
      </c>
      <c r="G733">
        <v>202609</v>
      </c>
      <c r="H733" t="s">
        <v>75</v>
      </c>
      <c r="I733" t="s">
        <v>76</v>
      </c>
      <c r="J733" t="s">
        <v>77</v>
      </c>
      <c r="K733" t="s">
        <v>78</v>
      </c>
      <c r="L733" t="s">
        <v>295</v>
      </c>
      <c r="M733" t="s">
        <v>296</v>
      </c>
      <c r="N733" t="s">
        <v>1454</v>
      </c>
      <c r="O733" t="s">
        <v>89</v>
      </c>
      <c r="P733" t="str">
        <f>"4170072004                    "</f>
        <v xml:space="preserve">4170072004                    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  <c r="AF733">
        <v>0</v>
      </c>
      <c r="AG733">
        <v>0</v>
      </c>
      <c r="AH733">
        <v>0</v>
      </c>
      <c r="AI733">
        <v>0</v>
      </c>
      <c r="AJ733">
        <v>0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19.940000000000001</v>
      </c>
      <c r="AR733">
        <v>0</v>
      </c>
      <c r="AS733">
        <v>0</v>
      </c>
      <c r="AT733">
        <v>0</v>
      </c>
      <c r="AU733">
        <v>0</v>
      </c>
      <c r="AV733">
        <v>0</v>
      </c>
      <c r="AW733">
        <v>0</v>
      </c>
      <c r="AX733">
        <v>0</v>
      </c>
      <c r="AY733">
        <v>0</v>
      </c>
      <c r="AZ733">
        <v>0</v>
      </c>
      <c r="BA733">
        <v>0</v>
      </c>
      <c r="BB733">
        <v>0</v>
      </c>
      <c r="BC733">
        <v>0</v>
      </c>
      <c r="BD733">
        <v>0</v>
      </c>
      <c r="BE733">
        <v>0</v>
      </c>
      <c r="BF733">
        <v>0</v>
      </c>
      <c r="BG733">
        <v>0</v>
      </c>
      <c r="BH733">
        <v>1</v>
      </c>
      <c r="BI733">
        <v>1</v>
      </c>
      <c r="BJ733">
        <v>1.2</v>
      </c>
      <c r="BK733">
        <v>2</v>
      </c>
      <c r="BL733">
        <v>59.42</v>
      </c>
      <c r="BM733">
        <v>8.91</v>
      </c>
      <c r="BN733">
        <v>68.33</v>
      </c>
      <c r="BO733">
        <v>68.33</v>
      </c>
      <c r="BQ733" t="s">
        <v>1455</v>
      </c>
      <c r="BR733" t="s">
        <v>82</v>
      </c>
      <c r="BS733" t="s">
        <v>500</v>
      </c>
      <c r="BY733">
        <v>5760</v>
      </c>
      <c r="CC733" t="s">
        <v>296</v>
      </c>
      <c r="CD733">
        <v>1500</v>
      </c>
      <c r="CE733" t="s">
        <v>93</v>
      </c>
      <c r="CI733">
        <v>1</v>
      </c>
      <c r="CJ733" t="s">
        <v>500</v>
      </c>
      <c r="CK733">
        <v>22</v>
      </c>
      <c r="CL733" t="s">
        <v>87</v>
      </c>
    </row>
    <row r="734" spans="1:90" x14ac:dyDescent="0.3">
      <c r="A734" t="s">
        <v>72</v>
      </c>
      <c r="B734" t="s">
        <v>73</v>
      </c>
      <c r="C734" t="s">
        <v>74</v>
      </c>
      <c r="E734" t="str">
        <f>"080069683477"</f>
        <v>080069683477</v>
      </c>
      <c r="F734" s="3">
        <v>45995</v>
      </c>
      <c r="G734">
        <v>202609</v>
      </c>
      <c r="H734" t="s">
        <v>75</v>
      </c>
      <c r="I734" t="s">
        <v>76</v>
      </c>
      <c r="J734" t="s">
        <v>77</v>
      </c>
      <c r="K734" t="s">
        <v>78</v>
      </c>
      <c r="L734" t="s">
        <v>100</v>
      </c>
      <c r="M734" t="s">
        <v>101</v>
      </c>
      <c r="N734" t="s">
        <v>1456</v>
      </c>
      <c r="O734" t="s">
        <v>89</v>
      </c>
      <c r="P734" t="str">
        <f>"4170072018                    "</f>
        <v xml:space="preserve">4170072018                    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  <c r="AG734">
        <v>0</v>
      </c>
      <c r="AH734">
        <v>0</v>
      </c>
      <c r="AI734">
        <v>0</v>
      </c>
      <c r="AJ734">
        <v>0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51.04</v>
      </c>
      <c r="AR734">
        <v>0</v>
      </c>
      <c r="AS734">
        <v>0</v>
      </c>
      <c r="AT734">
        <v>0</v>
      </c>
      <c r="AU734">
        <v>0</v>
      </c>
      <c r="AV734">
        <v>0</v>
      </c>
      <c r="AW734">
        <v>0</v>
      </c>
      <c r="AX734">
        <v>0</v>
      </c>
      <c r="AY734">
        <v>0</v>
      </c>
      <c r="AZ734">
        <v>0</v>
      </c>
      <c r="BA734">
        <v>0</v>
      </c>
      <c r="BB734">
        <v>0</v>
      </c>
      <c r="BC734">
        <v>0</v>
      </c>
      <c r="BD734">
        <v>0</v>
      </c>
      <c r="BE734">
        <v>0</v>
      </c>
      <c r="BF734">
        <v>0</v>
      </c>
      <c r="BG734">
        <v>0</v>
      </c>
      <c r="BH734">
        <v>1</v>
      </c>
      <c r="BI734">
        <v>1</v>
      </c>
      <c r="BJ734">
        <v>3.7</v>
      </c>
      <c r="BK734">
        <v>4</v>
      </c>
      <c r="BL734">
        <v>152.1</v>
      </c>
      <c r="BM734">
        <v>22.82</v>
      </c>
      <c r="BN734">
        <v>174.92</v>
      </c>
      <c r="BO734">
        <v>174.92</v>
      </c>
      <c r="BQ734" t="s">
        <v>1457</v>
      </c>
      <c r="BR734" t="s">
        <v>82</v>
      </c>
      <c r="BS734" s="3">
        <v>45996</v>
      </c>
      <c r="BT734" s="4">
        <v>0.62638888888888888</v>
      </c>
      <c r="BU734" t="s">
        <v>1458</v>
      </c>
      <c r="BV734" t="s">
        <v>87</v>
      </c>
      <c r="BY734">
        <v>18304</v>
      </c>
      <c r="CA734" t="s">
        <v>1459</v>
      </c>
      <c r="CC734" t="s">
        <v>101</v>
      </c>
      <c r="CD734">
        <v>4093</v>
      </c>
      <c r="CE734" t="s">
        <v>86</v>
      </c>
      <c r="CF734" s="3">
        <v>45996</v>
      </c>
      <c r="CI734">
        <v>1</v>
      </c>
      <c r="CJ734">
        <v>1</v>
      </c>
      <c r="CK734">
        <v>21</v>
      </c>
      <c r="CL734" t="s">
        <v>87</v>
      </c>
    </row>
    <row r="735" spans="1:90" x14ac:dyDescent="0.3">
      <c r="A735" t="s">
        <v>72</v>
      </c>
      <c r="B735" t="s">
        <v>73</v>
      </c>
      <c r="C735" t="s">
        <v>74</v>
      </c>
      <c r="E735" t="str">
        <f>"080069683521"</f>
        <v>080069683521</v>
      </c>
      <c r="F735" s="3">
        <v>45995</v>
      </c>
      <c r="G735">
        <v>202609</v>
      </c>
      <c r="H735" t="s">
        <v>75</v>
      </c>
      <c r="I735" t="s">
        <v>76</v>
      </c>
      <c r="J735" t="s">
        <v>77</v>
      </c>
      <c r="K735" t="s">
        <v>78</v>
      </c>
      <c r="L735" t="s">
        <v>141</v>
      </c>
      <c r="M735" t="s">
        <v>142</v>
      </c>
      <c r="N735" t="s">
        <v>791</v>
      </c>
      <c r="O735" t="s">
        <v>89</v>
      </c>
      <c r="P735" t="str">
        <f>"4170072016                    "</f>
        <v xml:space="preserve">4170072016                    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  <c r="AG735">
        <v>0</v>
      </c>
      <c r="AH735">
        <v>0</v>
      </c>
      <c r="AI735">
        <v>0</v>
      </c>
      <c r="AJ735">
        <v>0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51.04</v>
      </c>
      <c r="AR735">
        <v>0</v>
      </c>
      <c r="AS735">
        <v>0</v>
      </c>
      <c r="AT735">
        <v>0</v>
      </c>
      <c r="AU735">
        <v>0</v>
      </c>
      <c r="AV735">
        <v>0</v>
      </c>
      <c r="AW735">
        <v>0</v>
      </c>
      <c r="AX735">
        <v>0</v>
      </c>
      <c r="AY735">
        <v>0</v>
      </c>
      <c r="AZ735">
        <v>0</v>
      </c>
      <c r="BA735">
        <v>0</v>
      </c>
      <c r="BB735">
        <v>0</v>
      </c>
      <c r="BC735">
        <v>0</v>
      </c>
      <c r="BD735">
        <v>0</v>
      </c>
      <c r="BE735">
        <v>0</v>
      </c>
      <c r="BF735">
        <v>0</v>
      </c>
      <c r="BG735">
        <v>0</v>
      </c>
      <c r="BH735">
        <v>1</v>
      </c>
      <c r="BI735">
        <v>4</v>
      </c>
      <c r="BJ735">
        <v>1.9</v>
      </c>
      <c r="BK735">
        <v>4</v>
      </c>
      <c r="BL735">
        <v>152.1</v>
      </c>
      <c r="BM735">
        <v>22.82</v>
      </c>
      <c r="BN735">
        <v>174.92</v>
      </c>
      <c r="BO735">
        <v>174.92</v>
      </c>
      <c r="BQ735" t="s">
        <v>792</v>
      </c>
      <c r="BR735" t="s">
        <v>82</v>
      </c>
      <c r="BS735" s="3">
        <v>45996</v>
      </c>
      <c r="BT735" s="4">
        <v>0.42708333333333331</v>
      </c>
      <c r="BU735" t="s">
        <v>1460</v>
      </c>
      <c r="BV735" t="s">
        <v>84</v>
      </c>
      <c r="BY735">
        <v>9576</v>
      </c>
      <c r="CA735" t="s">
        <v>1203</v>
      </c>
      <c r="CC735" t="s">
        <v>142</v>
      </c>
      <c r="CD735">
        <v>6001</v>
      </c>
      <c r="CE735" t="s">
        <v>86</v>
      </c>
      <c r="CF735" s="3">
        <v>45996</v>
      </c>
      <c r="CI735">
        <v>1</v>
      </c>
      <c r="CJ735">
        <v>1</v>
      </c>
      <c r="CK735">
        <v>21</v>
      </c>
      <c r="CL735" t="s">
        <v>87</v>
      </c>
    </row>
    <row r="736" spans="1:90" x14ac:dyDescent="0.3">
      <c r="A736" t="s">
        <v>72</v>
      </c>
      <c r="B736" t="s">
        <v>73</v>
      </c>
      <c r="C736" t="s">
        <v>74</v>
      </c>
      <c r="E736" t="str">
        <f>"080069683520"</f>
        <v>080069683520</v>
      </c>
      <c r="F736" s="3">
        <v>45995</v>
      </c>
      <c r="G736">
        <v>202609</v>
      </c>
      <c r="H736" t="s">
        <v>75</v>
      </c>
      <c r="I736" t="s">
        <v>76</v>
      </c>
      <c r="J736" t="s">
        <v>77</v>
      </c>
      <c r="K736" t="s">
        <v>78</v>
      </c>
      <c r="L736" t="s">
        <v>533</v>
      </c>
      <c r="M736" t="s">
        <v>533</v>
      </c>
      <c r="N736" t="s">
        <v>554</v>
      </c>
      <c r="O736" t="s">
        <v>89</v>
      </c>
      <c r="P736" t="str">
        <f>"4170072019                    "</f>
        <v xml:space="preserve">4170072019                    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0</v>
      </c>
      <c r="AG736">
        <v>0</v>
      </c>
      <c r="AH736">
        <v>0</v>
      </c>
      <c r="AI736">
        <v>0</v>
      </c>
      <c r="AJ736">
        <v>0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94.12</v>
      </c>
      <c r="AR736">
        <v>0</v>
      </c>
      <c r="AS736">
        <v>0</v>
      </c>
      <c r="AT736">
        <v>0</v>
      </c>
      <c r="AU736">
        <v>0</v>
      </c>
      <c r="AV736">
        <v>0</v>
      </c>
      <c r="AW736">
        <v>0</v>
      </c>
      <c r="AX736">
        <v>0</v>
      </c>
      <c r="AY736">
        <v>0</v>
      </c>
      <c r="AZ736">
        <v>0</v>
      </c>
      <c r="BA736">
        <v>0</v>
      </c>
      <c r="BB736">
        <v>0</v>
      </c>
      <c r="BC736">
        <v>0</v>
      </c>
      <c r="BD736">
        <v>0</v>
      </c>
      <c r="BE736">
        <v>0</v>
      </c>
      <c r="BF736">
        <v>0</v>
      </c>
      <c r="BG736">
        <v>0</v>
      </c>
      <c r="BH736">
        <v>1</v>
      </c>
      <c r="BI736">
        <v>3</v>
      </c>
      <c r="BJ736">
        <v>3.7</v>
      </c>
      <c r="BK736">
        <v>4</v>
      </c>
      <c r="BL736">
        <v>280.49</v>
      </c>
      <c r="BM736">
        <v>42.07</v>
      </c>
      <c r="BN736">
        <v>322.56</v>
      </c>
      <c r="BO736">
        <v>322.56</v>
      </c>
      <c r="BQ736" t="s">
        <v>555</v>
      </c>
      <c r="BR736" t="s">
        <v>82</v>
      </c>
      <c r="BS736" s="3">
        <v>45996</v>
      </c>
      <c r="BT736" s="4">
        <v>0.72638888888888886</v>
      </c>
      <c r="BU736" t="s">
        <v>1214</v>
      </c>
      <c r="BV736" t="s">
        <v>87</v>
      </c>
      <c r="BY736">
        <v>18304</v>
      </c>
      <c r="CA736" t="s">
        <v>537</v>
      </c>
      <c r="CC736" t="s">
        <v>533</v>
      </c>
      <c r="CD736">
        <v>7646</v>
      </c>
      <c r="CE736" t="s">
        <v>86</v>
      </c>
      <c r="CI736">
        <v>1</v>
      </c>
      <c r="CJ736">
        <v>1</v>
      </c>
      <c r="CK736">
        <v>23</v>
      </c>
      <c r="CL736" t="s">
        <v>87</v>
      </c>
    </row>
    <row r="737" spans="1:90" x14ac:dyDescent="0.3">
      <c r="A737" t="s">
        <v>72</v>
      </c>
      <c r="B737" t="s">
        <v>73</v>
      </c>
      <c r="C737" t="s">
        <v>74</v>
      </c>
      <c r="E737" t="str">
        <f>"080069683545"</f>
        <v>080069683545</v>
      </c>
      <c r="F737" s="3">
        <v>45995</v>
      </c>
      <c r="G737">
        <v>202609</v>
      </c>
      <c r="H737" t="s">
        <v>75</v>
      </c>
      <c r="I737" t="s">
        <v>76</v>
      </c>
      <c r="J737" t="s">
        <v>77</v>
      </c>
      <c r="K737" t="s">
        <v>78</v>
      </c>
      <c r="L737" t="s">
        <v>1461</v>
      </c>
      <c r="M737" t="s">
        <v>1462</v>
      </c>
      <c r="N737" t="s">
        <v>1463</v>
      </c>
      <c r="O737" t="s">
        <v>89</v>
      </c>
      <c r="P737" t="str">
        <f>"4170072017                    "</f>
        <v xml:space="preserve">4170072017                    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0</v>
      </c>
      <c r="AG737">
        <v>0</v>
      </c>
      <c r="AH737">
        <v>0</v>
      </c>
      <c r="AI737">
        <v>0</v>
      </c>
      <c r="AJ737">
        <v>0</v>
      </c>
      <c r="AK737">
        <v>0</v>
      </c>
      <c r="AL737">
        <v>0</v>
      </c>
      <c r="AM737">
        <v>0</v>
      </c>
      <c r="AN737">
        <v>0</v>
      </c>
      <c r="AO737">
        <v>0</v>
      </c>
      <c r="AP737">
        <v>0</v>
      </c>
      <c r="AQ737">
        <v>105.28</v>
      </c>
      <c r="AR737">
        <v>0</v>
      </c>
      <c r="AS737">
        <v>0</v>
      </c>
      <c r="AT737">
        <v>0</v>
      </c>
      <c r="AU737">
        <v>0</v>
      </c>
      <c r="AV737">
        <v>0</v>
      </c>
      <c r="AW737">
        <v>0</v>
      </c>
      <c r="AX737">
        <v>0</v>
      </c>
      <c r="AY737">
        <v>0</v>
      </c>
      <c r="AZ737">
        <v>0</v>
      </c>
      <c r="BA737">
        <v>0</v>
      </c>
      <c r="BB737">
        <v>0</v>
      </c>
      <c r="BC737">
        <v>0</v>
      </c>
      <c r="BD737">
        <v>0</v>
      </c>
      <c r="BE737">
        <v>0</v>
      </c>
      <c r="BF737">
        <v>0</v>
      </c>
      <c r="BG737">
        <v>0</v>
      </c>
      <c r="BH737">
        <v>1</v>
      </c>
      <c r="BI737">
        <v>1</v>
      </c>
      <c r="BJ737">
        <v>4.0999999999999996</v>
      </c>
      <c r="BK737">
        <v>4.5</v>
      </c>
      <c r="BL737">
        <v>313.76</v>
      </c>
      <c r="BM737">
        <v>47.06</v>
      </c>
      <c r="BN737">
        <v>360.82</v>
      </c>
      <c r="BO737">
        <v>360.82</v>
      </c>
      <c r="BQ737" t="s">
        <v>1464</v>
      </c>
      <c r="BR737" t="s">
        <v>82</v>
      </c>
      <c r="BS737" t="s">
        <v>500</v>
      </c>
      <c r="BY737">
        <v>20358</v>
      </c>
      <c r="CC737" t="s">
        <v>1462</v>
      </c>
      <c r="CD737">
        <v>6742</v>
      </c>
      <c r="CE737" t="s">
        <v>86</v>
      </c>
      <c r="CI737">
        <v>2</v>
      </c>
      <c r="CJ737" t="s">
        <v>500</v>
      </c>
      <c r="CK737">
        <v>23</v>
      </c>
      <c r="CL737" t="s">
        <v>87</v>
      </c>
    </row>
    <row r="738" spans="1:90" x14ac:dyDescent="0.3">
      <c r="A738" t="s">
        <v>72</v>
      </c>
      <c r="B738" t="s">
        <v>73</v>
      </c>
      <c r="C738" t="s">
        <v>74</v>
      </c>
      <c r="E738" t="str">
        <f>"080069683546"</f>
        <v>080069683546</v>
      </c>
      <c r="F738" s="3">
        <v>45995</v>
      </c>
      <c r="G738">
        <v>202609</v>
      </c>
      <c r="H738" t="s">
        <v>75</v>
      </c>
      <c r="I738" t="s">
        <v>76</v>
      </c>
      <c r="J738" t="s">
        <v>77</v>
      </c>
      <c r="K738" t="s">
        <v>78</v>
      </c>
      <c r="L738" t="s">
        <v>120</v>
      </c>
      <c r="M738" t="s">
        <v>121</v>
      </c>
      <c r="N738" t="s">
        <v>1465</v>
      </c>
      <c r="O738" t="s">
        <v>89</v>
      </c>
      <c r="P738" t="str">
        <f>"4170072049                    "</f>
        <v xml:space="preserve">4170072049                    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  <c r="AG738">
        <v>0</v>
      </c>
      <c r="AH738">
        <v>0</v>
      </c>
      <c r="AI738">
        <v>0</v>
      </c>
      <c r="AJ738">
        <v>0</v>
      </c>
      <c r="AK738">
        <v>0</v>
      </c>
      <c r="AL738">
        <v>0</v>
      </c>
      <c r="AM738">
        <v>0</v>
      </c>
      <c r="AN738">
        <v>0</v>
      </c>
      <c r="AO738">
        <v>0</v>
      </c>
      <c r="AP738">
        <v>0</v>
      </c>
      <c r="AQ738">
        <v>25.52</v>
      </c>
      <c r="AR738">
        <v>0</v>
      </c>
      <c r="AS738">
        <v>0</v>
      </c>
      <c r="AT738">
        <v>0</v>
      </c>
      <c r="AU738">
        <v>0</v>
      </c>
      <c r="AV738">
        <v>0</v>
      </c>
      <c r="AW738">
        <v>0</v>
      </c>
      <c r="AX738">
        <v>0</v>
      </c>
      <c r="AY738">
        <v>0</v>
      </c>
      <c r="AZ738">
        <v>0</v>
      </c>
      <c r="BA738">
        <v>0</v>
      </c>
      <c r="BB738">
        <v>0</v>
      </c>
      <c r="BC738">
        <v>0</v>
      </c>
      <c r="BD738">
        <v>0</v>
      </c>
      <c r="BE738">
        <v>0</v>
      </c>
      <c r="BF738">
        <v>0</v>
      </c>
      <c r="BG738">
        <v>0</v>
      </c>
      <c r="BH738">
        <v>1</v>
      </c>
      <c r="BI738">
        <v>2</v>
      </c>
      <c r="BJ738">
        <v>1.8</v>
      </c>
      <c r="BK738">
        <v>2</v>
      </c>
      <c r="BL738">
        <v>76.06</v>
      </c>
      <c r="BM738">
        <v>11.41</v>
      </c>
      <c r="BN738">
        <v>87.47</v>
      </c>
      <c r="BO738">
        <v>87.47</v>
      </c>
      <c r="BQ738" t="s">
        <v>1466</v>
      </c>
      <c r="BR738" t="s">
        <v>82</v>
      </c>
      <c r="BS738" s="3">
        <v>45996</v>
      </c>
      <c r="BT738" s="4">
        <v>0.40416666666666667</v>
      </c>
      <c r="BU738" t="s">
        <v>1467</v>
      </c>
      <c r="BV738" t="s">
        <v>84</v>
      </c>
      <c r="BY738">
        <v>8816</v>
      </c>
      <c r="CA738" t="s">
        <v>126</v>
      </c>
      <c r="CC738" t="s">
        <v>121</v>
      </c>
      <c r="CD738">
        <v>6230</v>
      </c>
      <c r="CE738" t="s">
        <v>86</v>
      </c>
      <c r="CF738" s="3">
        <v>45996</v>
      </c>
      <c r="CI738">
        <v>1</v>
      </c>
      <c r="CJ738">
        <v>1</v>
      </c>
      <c r="CK738">
        <v>21</v>
      </c>
      <c r="CL738" t="s">
        <v>87</v>
      </c>
    </row>
    <row r="739" spans="1:90" x14ac:dyDescent="0.3">
      <c r="A739" t="s">
        <v>72</v>
      </c>
      <c r="B739" t="s">
        <v>73</v>
      </c>
      <c r="C739" t="s">
        <v>74</v>
      </c>
      <c r="E739" t="str">
        <f>"080069683585"</f>
        <v>080069683585</v>
      </c>
      <c r="F739" s="3">
        <v>45995</v>
      </c>
      <c r="G739">
        <v>202609</v>
      </c>
      <c r="H739" t="s">
        <v>75</v>
      </c>
      <c r="I739" t="s">
        <v>76</v>
      </c>
      <c r="J739" t="s">
        <v>77</v>
      </c>
      <c r="K739" t="s">
        <v>78</v>
      </c>
      <c r="L739" t="s">
        <v>366</v>
      </c>
      <c r="M739" t="s">
        <v>367</v>
      </c>
      <c r="N739" t="s">
        <v>519</v>
      </c>
      <c r="O739" t="s">
        <v>89</v>
      </c>
      <c r="P739" t="str">
        <f>"4170072008                    "</f>
        <v xml:space="preserve">4170072008                    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0</v>
      </c>
      <c r="AG739">
        <v>0</v>
      </c>
      <c r="AH739">
        <v>0</v>
      </c>
      <c r="AI739">
        <v>0</v>
      </c>
      <c r="AJ739">
        <v>0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105.28</v>
      </c>
      <c r="AR739">
        <v>0</v>
      </c>
      <c r="AS739">
        <v>0</v>
      </c>
      <c r="AT739">
        <v>0</v>
      </c>
      <c r="AU739">
        <v>0</v>
      </c>
      <c r="AV739">
        <v>0</v>
      </c>
      <c r="AW739">
        <v>0</v>
      </c>
      <c r="AX739">
        <v>0</v>
      </c>
      <c r="AY739">
        <v>0</v>
      </c>
      <c r="AZ739">
        <v>0</v>
      </c>
      <c r="BA739">
        <v>0</v>
      </c>
      <c r="BB739">
        <v>0</v>
      </c>
      <c r="BC739">
        <v>0</v>
      </c>
      <c r="BD739">
        <v>0</v>
      </c>
      <c r="BE739">
        <v>0</v>
      </c>
      <c r="BF739">
        <v>0</v>
      </c>
      <c r="BG739">
        <v>0</v>
      </c>
      <c r="BH739">
        <v>1</v>
      </c>
      <c r="BI739">
        <v>3</v>
      </c>
      <c r="BJ739">
        <v>4.0999999999999996</v>
      </c>
      <c r="BK739">
        <v>4.5</v>
      </c>
      <c r="BL739">
        <v>313.76</v>
      </c>
      <c r="BM739">
        <v>47.06</v>
      </c>
      <c r="BN739">
        <v>360.82</v>
      </c>
      <c r="BO739">
        <v>360.82</v>
      </c>
      <c r="BQ739" t="s">
        <v>520</v>
      </c>
      <c r="BR739" t="s">
        <v>82</v>
      </c>
      <c r="BS739" s="3">
        <v>45996</v>
      </c>
      <c r="BT739" s="4">
        <v>0.4375</v>
      </c>
      <c r="BU739" t="s">
        <v>521</v>
      </c>
      <c r="BV739" t="s">
        <v>84</v>
      </c>
      <c r="BY739">
        <v>20358</v>
      </c>
      <c r="CA739">
        <v>8510125994083</v>
      </c>
      <c r="CC739" t="s">
        <v>367</v>
      </c>
      <c r="CD739">
        <v>1900</v>
      </c>
      <c r="CE739" t="s">
        <v>86</v>
      </c>
      <c r="CI739">
        <v>1</v>
      </c>
      <c r="CJ739">
        <v>1</v>
      </c>
      <c r="CK739">
        <v>23</v>
      </c>
      <c r="CL739" t="s">
        <v>87</v>
      </c>
    </row>
    <row r="740" spans="1:90" x14ac:dyDescent="0.3">
      <c r="A740" t="s">
        <v>72</v>
      </c>
      <c r="B740" t="s">
        <v>73</v>
      </c>
      <c r="C740" t="s">
        <v>74</v>
      </c>
      <c r="E740" t="str">
        <f>"080069673404"</f>
        <v>080069673404</v>
      </c>
      <c r="F740" s="3">
        <v>45995</v>
      </c>
      <c r="G740">
        <v>202609</v>
      </c>
      <c r="H740" t="s">
        <v>75</v>
      </c>
      <c r="I740" t="s">
        <v>76</v>
      </c>
      <c r="J740" t="s">
        <v>77</v>
      </c>
      <c r="K740" t="s">
        <v>78</v>
      </c>
      <c r="L740" t="s">
        <v>265</v>
      </c>
      <c r="M740" t="s">
        <v>266</v>
      </c>
      <c r="N740" t="s">
        <v>414</v>
      </c>
      <c r="O740" t="s">
        <v>340</v>
      </c>
      <c r="P740" t="str">
        <f>"4170071815                    "</f>
        <v xml:space="preserve">4170071815                    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  <c r="AG740">
        <v>0</v>
      </c>
      <c r="AH740">
        <v>0</v>
      </c>
      <c r="AI740">
        <v>0</v>
      </c>
      <c r="AJ740">
        <v>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  <c r="AS740">
        <v>0</v>
      </c>
      <c r="AT740">
        <v>0</v>
      </c>
      <c r="AU740">
        <v>0</v>
      </c>
      <c r="AV740">
        <v>0</v>
      </c>
      <c r="AW740">
        <v>0</v>
      </c>
      <c r="AX740">
        <v>0</v>
      </c>
      <c r="AY740">
        <v>0</v>
      </c>
      <c r="AZ740">
        <v>0</v>
      </c>
      <c r="BA740">
        <v>0</v>
      </c>
      <c r="BB740">
        <v>0</v>
      </c>
      <c r="BC740">
        <v>0</v>
      </c>
      <c r="BD740">
        <v>0</v>
      </c>
      <c r="BE740">
        <v>0</v>
      </c>
      <c r="BF740">
        <v>0</v>
      </c>
      <c r="BG740">
        <v>0</v>
      </c>
      <c r="BH740">
        <v>1</v>
      </c>
      <c r="BI740">
        <v>6</v>
      </c>
      <c r="BJ740">
        <v>0</v>
      </c>
      <c r="BK740">
        <v>6</v>
      </c>
      <c r="BL740">
        <v>0</v>
      </c>
      <c r="BM740">
        <v>0</v>
      </c>
      <c r="BN740">
        <v>0</v>
      </c>
      <c r="BO740">
        <v>0</v>
      </c>
      <c r="BQ740" t="s">
        <v>415</v>
      </c>
      <c r="BR740" t="s">
        <v>82</v>
      </c>
      <c r="BS740" s="3">
        <v>45995</v>
      </c>
      <c r="BT740" s="4">
        <v>0.56805555555555554</v>
      </c>
      <c r="BU740" t="s">
        <v>725</v>
      </c>
      <c r="BV740" t="s">
        <v>84</v>
      </c>
      <c r="BY740">
        <v>19200</v>
      </c>
      <c r="BZ740" t="s">
        <v>1468</v>
      </c>
      <c r="CA740" t="s">
        <v>1469</v>
      </c>
      <c r="CC740" t="s">
        <v>266</v>
      </c>
      <c r="CD740">
        <v>1459</v>
      </c>
      <c r="CE740" t="s">
        <v>93</v>
      </c>
      <c r="CF740" s="3">
        <v>45996</v>
      </c>
      <c r="CI740">
        <v>1</v>
      </c>
      <c r="CJ740">
        <v>0</v>
      </c>
      <c r="CK740">
        <v>-1</v>
      </c>
      <c r="CL740" t="s">
        <v>87</v>
      </c>
    </row>
    <row r="741" spans="1:90" x14ac:dyDescent="0.3">
      <c r="A741" t="s">
        <v>72</v>
      </c>
      <c r="B741" t="s">
        <v>73</v>
      </c>
      <c r="C741" t="s">
        <v>74</v>
      </c>
      <c r="E741" t="str">
        <f>"080069678028"</f>
        <v>080069678028</v>
      </c>
      <c r="F741" s="3">
        <v>45995</v>
      </c>
      <c r="G741">
        <v>202609</v>
      </c>
      <c r="H741" t="s">
        <v>75</v>
      </c>
      <c r="I741" t="s">
        <v>76</v>
      </c>
      <c r="J741" t="s">
        <v>77</v>
      </c>
      <c r="K741" t="s">
        <v>78</v>
      </c>
      <c r="L741" t="s">
        <v>109</v>
      </c>
      <c r="M741" t="s">
        <v>110</v>
      </c>
      <c r="N741" t="s">
        <v>111</v>
      </c>
      <c r="O741" t="s">
        <v>89</v>
      </c>
      <c r="P741" t="str">
        <f>"4170071923                    "</f>
        <v xml:space="preserve">4170071923                    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0</v>
      </c>
      <c r="AG741">
        <v>0</v>
      </c>
      <c r="AH741">
        <v>0</v>
      </c>
      <c r="AI741">
        <v>0</v>
      </c>
      <c r="AJ741">
        <v>0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0</v>
      </c>
      <c r="AR741">
        <v>0</v>
      </c>
      <c r="AS741">
        <v>0</v>
      </c>
      <c r="AT741">
        <v>0</v>
      </c>
      <c r="AU741">
        <v>0</v>
      </c>
      <c r="AV741">
        <v>0</v>
      </c>
      <c r="AW741">
        <v>0</v>
      </c>
      <c r="AX741">
        <v>0</v>
      </c>
      <c r="AY741">
        <v>0</v>
      </c>
      <c r="AZ741">
        <v>0</v>
      </c>
      <c r="BA741">
        <v>0</v>
      </c>
      <c r="BB741">
        <v>0</v>
      </c>
      <c r="BC741">
        <v>0</v>
      </c>
      <c r="BD741">
        <v>0</v>
      </c>
      <c r="BE741">
        <v>0</v>
      </c>
      <c r="BF741">
        <v>0</v>
      </c>
      <c r="BG741">
        <v>0</v>
      </c>
      <c r="BH741">
        <v>1</v>
      </c>
      <c r="BI741">
        <v>19</v>
      </c>
      <c r="BJ741">
        <v>0</v>
      </c>
      <c r="BK741">
        <v>19</v>
      </c>
      <c r="BL741">
        <v>0</v>
      </c>
      <c r="BM741">
        <v>0</v>
      </c>
      <c r="BN741">
        <v>0</v>
      </c>
      <c r="BO741">
        <v>0</v>
      </c>
      <c r="BQ741" t="s">
        <v>112</v>
      </c>
      <c r="BR741" t="s">
        <v>82</v>
      </c>
      <c r="BS741" s="3">
        <v>45995</v>
      </c>
      <c r="BT741" s="4">
        <v>0.59305555555555556</v>
      </c>
      <c r="BU741" t="s">
        <v>725</v>
      </c>
      <c r="BV741" t="s">
        <v>84</v>
      </c>
      <c r="BY741">
        <v>2944</v>
      </c>
      <c r="BZ741" t="s">
        <v>730</v>
      </c>
      <c r="CA741" t="s">
        <v>1470</v>
      </c>
      <c r="CC741" t="s">
        <v>110</v>
      </c>
      <c r="CD741">
        <v>1748</v>
      </c>
      <c r="CE741" t="s">
        <v>147</v>
      </c>
      <c r="CF741" s="3">
        <v>45996</v>
      </c>
      <c r="CI741">
        <v>1</v>
      </c>
      <c r="CJ741">
        <v>0</v>
      </c>
      <c r="CK741">
        <v>-1</v>
      </c>
      <c r="CL741" t="s">
        <v>87</v>
      </c>
    </row>
    <row r="742" spans="1:90" x14ac:dyDescent="0.3">
      <c r="A742" t="s">
        <v>72</v>
      </c>
      <c r="B742" t="s">
        <v>73</v>
      </c>
      <c r="C742" t="s">
        <v>74</v>
      </c>
      <c r="E742" t="str">
        <f>"R080069683403"</f>
        <v>R080069683403</v>
      </c>
      <c r="F742" s="3">
        <v>45996</v>
      </c>
      <c r="G742">
        <v>202609</v>
      </c>
      <c r="H742" t="s">
        <v>272</v>
      </c>
      <c r="I742" t="s">
        <v>273</v>
      </c>
      <c r="J742" t="s">
        <v>274</v>
      </c>
      <c r="K742" t="s">
        <v>78</v>
      </c>
      <c r="L742" t="s">
        <v>75</v>
      </c>
      <c r="M742" t="s">
        <v>76</v>
      </c>
      <c r="N742" t="s">
        <v>77</v>
      </c>
      <c r="O742" t="s">
        <v>80</v>
      </c>
      <c r="P742" t="str">
        <f>"4170072042                    "</f>
        <v xml:space="preserve">4170072042                    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  <c r="AG742">
        <v>0</v>
      </c>
      <c r="AH742">
        <v>0</v>
      </c>
      <c r="AI742">
        <v>0</v>
      </c>
      <c r="AJ742">
        <v>0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67.72</v>
      </c>
      <c r="AR742">
        <v>0</v>
      </c>
      <c r="AS742">
        <v>0</v>
      </c>
      <c r="AT742">
        <v>0</v>
      </c>
      <c r="AU742">
        <v>0</v>
      </c>
      <c r="AV742">
        <v>0</v>
      </c>
      <c r="AW742">
        <v>0</v>
      </c>
      <c r="AX742">
        <v>0</v>
      </c>
      <c r="AY742">
        <v>0</v>
      </c>
      <c r="AZ742">
        <v>0</v>
      </c>
      <c r="BA742">
        <v>0</v>
      </c>
      <c r="BB742">
        <v>0</v>
      </c>
      <c r="BC742">
        <v>0</v>
      </c>
      <c r="BD742">
        <v>0</v>
      </c>
      <c r="BE742">
        <v>0</v>
      </c>
      <c r="BF742">
        <v>0</v>
      </c>
      <c r="BG742">
        <v>0</v>
      </c>
      <c r="BH742">
        <v>1</v>
      </c>
      <c r="BI742">
        <v>24</v>
      </c>
      <c r="BJ742">
        <v>9.6</v>
      </c>
      <c r="BK742">
        <v>24</v>
      </c>
      <c r="BL742">
        <v>207.92</v>
      </c>
      <c r="BM742">
        <v>31.19</v>
      </c>
      <c r="BN742">
        <v>239.11</v>
      </c>
      <c r="BO742">
        <v>239.11</v>
      </c>
      <c r="BQ742" t="s">
        <v>82</v>
      </c>
      <c r="BR742" t="s">
        <v>275</v>
      </c>
      <c r="BS742" s="3">
        <v>45996</v>
      </c>
      <c r="BT742" s="4">
        <v>0.37708333333333333</v>
      </c>
      <c r="BU742" t="s">
        <v>1452</v>
      </c>
      <c r="BV742" t="s">
        <v>84</v>
      </c>
      <c r="BY742">
        <v>48000</v>
      </c>
      <c r="BZ742" t="s">
        <v>724</v>
      </c>
      <c r="CA742" t="s">
        <v>1471</v>
      </c>
      <c r="CC742" t="s">
        <v>76</v>
      </c>
      <c r="CD742">
        <v>1601</v>
      </c>
      <c r="CE742" t="s">
        <v>147</v>
      </c>
      <c r="CI742">
        <v>3</v>
      </c>
      <c r="CJ742">
        <v>0</v>
      </c>
      <c r="CK742">
        <v>41</v>
      </c>
      <c r="CL742" t="s">
        <v>87</v>
      </c>
    </row>
    <row r="743" spans="1:90" x14ac:dyDescent="0.3">
      <c r="A743" t="s">
        <v>72</v>
      </c>
      <c r="B743" t="s">
        <v>73</v>
      </c>
      <c r="C743" t="s">
        <v>74</v>
      </c>
      <c r="E743" t="str">
        <f>"RR080069683403"</f>
        <v>RR080069683403</v>
      </c>
      <c r="F743" s="3">
        <v>45996</v>
      </c>
      <c r="G743">
        <v>202609</v>
      </c>
      <c r="H743" t="s">
        <v>75</v>
      </c>
      <c r="I743" t="s">
        <v>76</v>
      </c>
      <c r="J743" t="s">
        <v>77</v>
      </c>
      <c r="K743" t="s">
        <v>78</v>
      </c>
      <c r="L743" t="s">
        <v>272</v>
      </c>
      <c r="M743" t="s">
        <v>273</v>
      </c>
      <c r="N743" t="s">
        <v>274</v>
      </c>
      <c r="O743" t="s">
        <v>80</v>
      </c>
      <c r="P743" t="str">
        <f>"4170072042                    "</f>
        <v xml:space="preserve">4170072042                    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0</v>
      </c>
      <c r="AG743">
        <v>0</v>
      </c>
      <c r="AH743">
        <v>0</v>
      </c>
      <c r="AI743">
        <v>0</v>
      </c>
      <c r="AJ743">
        <v>0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67.72</v>
      </c>
      <c r="AR743">
        <v>0</v>
      </c>
      <c r="AS743">
        <v>0</v>
      </c>
      <c r="AT743">
        <v>0</v>
      </c>
      <c r="AU743">
        <v>0</v>
      </c>
      <c r="AV743">
        <v>0</v>
      </c>
      <c r="AW743">
        <v>0</v>
      </c>
      <c r="AX743">
        <v>0</v>
      </c>
      <c r="AY743">
        <v>0</v>
      </c>
      <c r="AZ743">
        <v>0</v>
      </c>
      <c r="BA743">
        <v>0</v>
      </c>
      <c r="BB743">
        <v>0</v>
      </c>
      <c r="BC743">
        <v>0</v>
      </c>
      <c r="BD743">
        <v>0</v>
      </c>
      <c r="BE743">
        <v>0</v>
      </c>
      <c r="BF743">
        <v>0</v>
      </c>
      <c r="BG743">
        <v>0</v>
      </c>
      <c r="BH743">
        <v>1</v>
      </c>
      <c r="BI743">
        <v>24</v>
      </c>
      <c r="BJ743">
        <v>9.6</v>
      </c>
      <c r="BK743">
        <v>24</v>
      </c>
      <c r="BL743">
        <v>207.92</v>
      </c>
      <c r="BM743">
        <v>31.19</v>
      </c>
      <c r="BN743">
        <v>239.11</v>
      </c>
      <c r="BO743">
        <v>239.11</v>
      </c>
      <c r="BQ743" t="s">
        <v>275</v>
      </c>
      <c r="BR743" t="s">
        <v>82</v>
      </c>
      <c r="BS743" s="3">
        <v>45996</v>
      </c>
      <c r="BT743" s="4">
        <v>0.3888888888888889</v>
      </c>
      <c r="BU743" t="s">
        <v>1472</v>
      </c>
      <c r="BV743" t="s">
        <v>84</v>
      </c>
      <c r="BY743">
        <v>48000</v>
      </c>
      <c r="BZ743" t="s">
        <v>724</v>
      </c>
      <c r="CC743" t="s">
        <v>273</v>
      </c>
      <c r="CD743">
        <v>6220</v>
      </c>
      <c r="CE743" t="s">
        <v>147</v>
      </c>
      <c r="CF743" s="3">
        <v>45996</v>
      </c>
      <c r="CI743">
        <v>3</v>
      </c>
      <c r="CJ743">
        <v>0</v>
      </c>
      <c r="CK743">
        <v>41</v>
      </c>
      <c r="CL743" t="s">
        <v>87</v>
      </c>
    </row>
    <row r="744" spans="1:90" x14ac:dyDescent="0.3">
      <c r="A744" t="s">
        <v>72</v>
      </c>
      <c r="B744" t="s">
        <v>73</v>
      </c>
      <c r="C744" t="s">
        <v>74</v>
      </c>
      <c r="E744" t="str">
        <f>"080069698187"</f>
        <v>080069698187</v>
      </c>
      <c r="F744" s="3">
        <v>45996</v>
      </c>
      <c r="G744">
        <v>202609</v>
      </c>
      <c r="H744" t="s">
        <v>75</v>
      </c>
      <c r="I744" t="s">
        <v>76</v>
      </c>
      <c r="J744" t="s">
        <v>77</v>
      </c>
      <c r="K744" t="s">
        <v>78</v>
      </c>
      <c r="L744" t="s">
        <v>295</v>
      </c>
      <c r="M744" t="s">
        <v>296</v>
      </c>
      <c r="N744" t="s">
        <v>1473</v>
      </c>
      <c r="O744" t="s">
        <v>80</v>
      </c>
      <c r="P744" t="str">
        <f>"4170070941                    "</f>
        <v xml:space="preserve">4170070941                    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0</v>
      </c>
      <c r="AG744">
        <v>0</v>
      </c>
      <c r="AH744">
        <v>0</v>
      </c>
      <c r="AI744">
        <v>0</v>
      </c>
      <c r="AJ744">
        <v>0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171.41</v>
      </c>
      <c r="AR744">
        <v>0</v>
      </c>
      <c r="AS744">
        <v>0</v>
      </c>
      <c r="AT744">
        <v>0</v>
      </c>
      <c r="AU744">
        <v>0</v>
      </c>
      <c r="AV744">
        <v>0</v>
      </c>
      <c r="AW744">
        <v>0</v>
      </c>
      <c r="AX744">
        <v>0</v>
      </c>
      <c r="AY744">
        <v>0</v>
      </c>
      <c r="AZ744">
        <v>0</v>
      </c>
      <c r="BA744">
        <v>0</v>
      </c>
      <c r="BB744">
        <v>0</v>
      </c>
      <c r="BC744">
        <v>0</v>
      </c>
      <c r="BD744">
        <v>0</v>
      </c>
      <c r="BE744">
        <v>0</v>
      </c>
      <c r="BF744">
        <v>0</v>
      </c>
      <c r="BG744">
        <v>0</v>
      </c>
      <c r="BH744">
        <v>2</v>
      </c>
      <c r="BI744">
        <v>135</v>
      </c>
      <c r="BJ744">
        <v>116.9</v>
      </c>
      <c r="BK744">
        <v>135</v>
      </c>
      <c r="BL744">
        <v>516.92999999999995</v>
      </c>
      <c r="BM744">
        <v>77.540000000000006</v>
      </c>
      <c r="BN744">
        <v>594.47</v>
      </c>
      <c r="BO744">
        <v>594.47</v>
      </c>
      <c r="BQ744" t="s">
        <v>1474</v>
      </c>
      <c r="BR744" t="s">
        <v>82</v>
      </c>
      <c r="BS744" t="s">
        <v>500</v>
      </c>
      <c r="BY744">
        <v>584500</v>
      </c>
      <c r="CC744" t="s">
        <v>296</v>
      </c>
      <c r="CD744">
        <v>1501</v>
      </c>
      <c r="CE744" t="s">
        <v>229</v>
      </c>
      <c r="CI744">
        <v>1</v>
      </c>
      <c r="CJ744" t="s">
        <v>500</v>
      </c>
      <c r="CK744">
        <v>42</v>
      </c>
      <c r="CL744" t="s">
        <v>87</v>
      </c>
    </row>
    <row r="745" spans="1:90" x14ac:dyDescent="0.3">
      <c r="A745" t="s">
        <v>72</v>
      </c>
      <c r="B745" t="s">
        <v>73</v>
      </c>
      <c r="C745" t="s">
        <v>74</v>
      </c>
      <c r="E745" t="str">
        <f>"080069699926"</f>
        <v>080069699926</v>
      </c>
      <c r="F745" s="3">
        <v>45996</v>
      </c>
      <c r="G745">
        <v>202609</v>
      </c>
      <c r="H745" t="s">
        <v>75</v>
      </c>
      <c r="I745" t="s">
        <v>76</v>
      </c>
      <c r="J745" t="s">
        <v>77</v>
      </c>
      <c r="K745" t="s">
        <v>78</v>
      </c>
      <c r="L745" t="s">
        <v>202</v>
      </c>
      <c r="M745" t="s">
        <v>203</v>
      </c>
      <c r="N745" t="s">
        <v>204</v>
      </c>
      <c r="O745" t="s">
        <v>89</v>
      </c>
      <c r="P745" t="str">
        <f>"4170071028                    "</f>
        <v xml:space="preserve">4170071028                    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  <c r="AF745">
        <v>0</v>
      </c>
      <c r="AG745">
        <v>0</v>
      </c>
      <c r="AH745">
        <v>0</v>
      </c>
      <c r="AI745">
        <v>0</v>
      </c>
      <c r="AJ745">
        <v>0</v>
      </c>
      <c r="AK745">
        <v>0</v>
      </c>
      <c r="AL745">
        <v>0</v>
      </c>
      <c r="AM745">
        <v>0</v>
      </c>
      <c r="AN745">
        <v>0</v>
      </c>
      <c r="AO745">
        <v>0</v>
      </c>
      <c r="AP745">
        <v>0</v>
      </c>
      <c r="AQ745">
        <v>49.45</v>
      </c>
      <c r="AR745">
        <v>0</v>
      </c>
      <c r="AS745">
        <v>0</v>
      </c>
      <c r="AT745">
        <v>0</v>
      </c>
      <c r="AU745">
        <v>0</v>
      </c>
      <c r="AV745">
        <v>0</v>
      </c>
      <c r="AW745">
        <v>0</v>
      </c>
      <c r="AX745">
        <v>0</v>
      </c>
      <c r="AY745">
        <v>0</v>
      </c>
      <c r="AZ745">
        <v>0</v>
      </c>
      <c r="BA745">
        <v>0</v>
      </c>
      <c r="BB745">
        <v>0</v>
      </c>
      <c r="BC745">
        <v>0</v>
      </c>
      <c r="BD745">
        <v>0</v>
      </c>
      <c r="BE745">
        <v>0</v>
      </c>
      <c r="BF745">
        <v>0</v>
      </c>
      <c r="BG745">
        <v>0</v>
      </c>
      <c r="BH745">
        <v>1</v>
      </c>
      <c r="BI745">
        <v>1</v>
      </c>
      <c r="BJ745">
        <v>0.2</v>
      </c>
      <c r="BK745">
        <v>1</v>
      </c>
      <c r="BL745">
        <v>147.38</v>
      </c>
      <c r="BM745">
        <v>22.11</v>
      </c>
      <c r="BN745">
        <v>169.49</v>
      </c>
      <c r="BO745">
        <v>169.49</v>
      </c>
      <c r="BQ745" t="s">
        <v>205</v>
      </c>
      <c r="BR745" t="s">
        <v>82</v>
      </c>
      <c r="BS745" t="s">
        <v>500</v>
      </c>
      <c r="BY745">
        <v>1200</v>
      </c>
      <c r="CC745" t="s">
        <v>203</v>
      </c>
      <c r="CD745">
        <v>2531</v>
      </c>
      <c r="CE745" t="s">
        <v>134</v>
      </c>
      <c r="CI745">
        <v>1</v>
      </c>
      <c r="CJ745" t="s">
        <v>500</v>
      </c>
      <c r="CK745">
        <v>23</v>
      </c>
      <c r="CL745" t="s">
        <v>87</v>
      </c>
    </row>
    <row r="746" spans="1:90" x14ac:dyDescent="0.3">
      <c r="A746" t="s">
        <v>72</v>
      </c>
      <c r="B746" t="s">
        <v>73</v>
      </c>
      <c r="C746" t="s">
        <v>74</v>
      </c>
      <c r="E746" t="str">
        <f>"080069700110"</f>
        <v>080069700110</v>
      </c>
      <c r="F746" s="3">
        <v>45996</v>
      </c>
      <c r="G746">
        <v>202609</v>
      </c>
      <c r="H746" t="s">
        <v>75</v>
      </c>
      <c r="I746" t="s">
        <v>76</v>
      </c>
      <c r="J746" t="s">
        <v>77</v>
      </c>
      <c r="K746" t="s">
        <v>78</v>
      </c>
      <c r="L746" t="s">
        <v>502</v>
      </c>
      <c r="M746" t="s">
        <v>503</v>
      </c>
      <c r="N746" t="s">
        <v>671</v>
      </c>
      <c r="O746" t="s">
        <v>80</v>
      </c>
      <c r="P746" t="str">
        <f>"4170072027                    "</f>
        <v xml:space="preserve">4170072027                    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  <c r="AG746">
        <v>0</v>
      </c>
      <c r="AH746">
        <v>0</v>
      </c>
      <c r="AI746">
        <v>0</v>
      </c>
      <c r="AJ746">
        <v>0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0</v>
      </c>
      <c r="AQ746">
        <v>50.31</v>
      </c>
      <c r="AR746">
        <v>0</v>
      </c>
      <c r="AS746">
        <v>0</v>
      </c>
      <c r="AT746">
        <v>0</v>
      </c>
      <c r="AU746">
        <v>0</v>
      </c>
      <c r="AV746">
        <v>0</v>
      </c>
      <c r="AW746">
        <v>0</v>
      </c>
      <c r="AX746">
        <v>0</v>
      </c>
      <c r="AY746">
        <v>0</v>
      </c>
      <c r="AZ746">
        <v>0</v>
      </c>
      <c r="BA746">
        <v>0</v>
      </c>
      <c r="BB746">
        <v>0</v>
      </c>
      <c r="BC746">
        <v>0</v>
      </c>
      <c r="BD746">
        <v>0</v>
      </c>
      <c r="BE746">
        <v>0</v>
      </c>
      <c r="BF746">
        <v>0</v>
      </c>
      <c r="BG746">
        <v>0</v>
      </c>
      <c r="BH746">
        <v>3</v>
      </c>
      <c r="BI746">
        <v>25</v>
      </c>
      <c r="BJ746">
        <v>25.8</v>
      </c>
      <c r="BK746">
        <v>26</v>
      </c>
      <c r="BL746">
        <v>156.03</v>
      </c>
      <c r="BM746">
        <v>23.4</v>
      </c>
      <c r="BN746">
        <v>179.43</v>
      </c>
      <c r="BO746">
        <v>179.43</v>
      </c>
      <c r="BQ746" t="s">
        <v>1197</v>
      </c>
      <c r="BR746" t="s">
        <v>82</v>
      </c>
      <c r="BS746" t="s">
        <v>500</v>
      </c>
      <c r="BY746">
        <v>129200</v>
      </c>
      <c r="CC746" t="s">
        <v>503</v>
      </c>
      <c r="CD746">
        <v>1559</v>
      </c>
      <c r="CE746" t="s">
        <v>134</v>
      </c>
      <c r="CI746">
        <v>1</v>
      </c>
      <c r="CJ746" t="s">
        <v>500</v>
      </c>
      <c r="CK746">
        <v>42</v>
      </c>
      <c r="CL746" t="s">
        <v>87</v>
      </c>
    </row>
    <row r="747" spans="1:90" x14ac:dyDescent="0.3">
      <c r="A747" t="s">
        <v>72</v>
      </c>
      <c r="B747" t="s">
        <v>73</v>
      </c>
      <c r="C747" t="s">
        <v>74</v>
      </c>
      <c r="E747" t="str">
        <f>"080069700173"</f>
        <v>080069700173</v>
      </c>
      <c r="F747" s="3">
        <v>45996</v>
      </c>
      <c r="G747">
        <v>202609</v>
      </c>
      <c r="H747" t="s">
        <v>75</v>
      </c>
      <c r="I747" t="s">
        <v>76</v>
      </c>
      <c r="J747" t="s">
        <v>77</v>
      </c>
      <c r="K747" t="s">
        <v>78</v>
      </c>
      <c r="L747" t="s">
        <v>156</v>
      </c>
      <c r="M747" t="s">
        <v>157</v>
      </c>
      <c r="N747" t="s">
        <v>446</v>
      </c>
      <c r="O747" t="s">
        <v>80</v>
      </c>
      <c r="P747" t="str">
        <f>"4170071757                    "</f>
        <v xml:space="preserve">4170071757                    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0</v>
      </c>
      <c r="AG747">
        <v>0</v>
      </c>
      <c r="AH747">
        <v>0</v>
      </c>
      <c r="AI747">
        <v>0</v>
      </c>
      <c r="AJ747">
        <v>0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0</v>
      </c>
      <c r="AQ747">
        <v>63.64</v>
      </c>
      <c r="AR747">
        <v>0</v>
      </c>
      <c r="AS747">
        <v>0</v>
      </c>
      <c r="AT747">
        <v>0</v>
      </c>
      <c r="AU747">
        <v>0</v>
      </c>
      <c r="AV747">
        <v>0</v>
      </c>
      <c r="AW747">
        <v>0</v>
      </c>
      <c r="AX747">
        <v>0</v>
      </c>
      <c r="AY747">
        <v>0</v>
      </c>
      <c r="AZ747">
        <v>0</v>
      </c>
      <c r="BA747">
        <v>0</v>
      </c>
      <c r="BB747">
        <v>0</v>
      </c>
      <c r="BC747">
        <v>0</v>
      </c>
      <c r="BD747">
        <v>0</v>
      </c>
      <c r="BE747">
        <v>0</v>
      </c>
      <c r="BF747">
        <v>0</v>
      </c>
      <c r="BG747">
        <v>0</v>
      </c>
      <c r="BH747">
        <v>2</v>
      </c>
      <c r="BI747">
        <v>13.2</v>
      </c>
      <c r="BJ747">
        <v>22</v>
      </c>
      <c r="BK747">
        <v>22</v>
      </c>
      <c r="BL747">
        <v>195.76</v>
      </c>
      <c r="BM747">
        <v>29.36</v>
      </c>
      <c r="BN747">
        <v>225.12</v>
      </c>
      <c r="BO747">
        <v>225.12</v>
      </c>
      <c r="BQ747" t="s">
        <v>447</v>
      </c>
      <c r="BR747" t="s">
        <v>82</v>
      </c>
      <c r="BS747" t="s">
        <v>500</v>
      </c>
      <c r="BY747">
        <v>110031.75</v>
      </c>
      <c r="CC747" t="s">
        <v>157</v>
      </c>
      <c r="CD747">
        <v>7530</v>
      </c>
      <c r="CE747" t="s">
        <v>86</v>
      </c>
      <c r="CI747">
        <v>3</v>
      </c>
      <c r="CJ747" t="s">
        <v>500</v>
      </c>
      <c r="CK747">
        <v>41</v>
      </c>
      <c r="CL747" t="s">
        <v>87</v>
      </c>
    </row>
    <row r="748" spans="1:90" x14ac:dyDescent="0.3">
      <c r="A748" t="s">
        <v>72</v>
      </c>
      <c r="B748" t="s">
        <v>73</v>
      </c>
      <c r="C748" t="s">
        <v>74</v>
      </c>
      <c r="E748" t="str">
        <f>"080069700637"</f>
        <v>080069700637</v>
      </c>
      <c r="F748" s="3">
        <v>45996</v>
      </c>
      <c r="G748">
        <v>202609</v>
      </c>
      <c r="H748" t="s">
        <v>75</v>
      </c>
      <c r="I748" t="s">
        <v>76</v>
      </c>
      <c r="J748" t="s">
        <v>77</v>
      </c>
      <c r="K748" t="s">
        <v>78</v>
      </c>
      <c r="L748" t="s">
        <v>302</v>
      </c>
      <c r="M748" t="s">
        <v>303</v>
      </c>
      <c r="N748" t="s">
        <v>786</v>
      </c>
      <c r="O748" t="s">
        <v>80</v>
      </c>
      <c r="P748" t="str">
        <f>"4170072006                    "</f>
        <v xml:space="preserve">4170072006                    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>
        <v>0</v>
      </c>
      <c r="AG748">
        <v>0</v>
      </c>
      <c r="AH748">
        <v>0</v>
      </c>
      <c r="AI748">
        <v>0</v>
      </c>
      <c r="AJ748">
        <v>0</v>
      </c>
      <c r="AK748">
        <v>0</v>
      </c>
      <c r="AL748">
        <v>0</v>
      </c>
      <c r="AM748">
        <v>0</v>
      </c>
      <c r="AN748">
        <v>0</v>
      </c>
      <c r="AO748">
        <v>0</v>
      </c>
      <c r="AP748">
        <v>0</v>
      </c>
      <c r="AQ748">
        <v>55.48</v>
      </c>
      <c r="AR748">
        <v>0</v>
      </c>
      <c r="AS748">
        <v>0</v>
      </c>
      <c r="AT748">
        <v>0</v>
      </c>
      <c r="AU748">
        <v>0</v>
      </c>
      <c r="AV748">
        <v>0</v>
      </c>
      <c r="AW748">
        <v>0</v>
      </c>
      <c r="AX748">
        <v>0</v>
      </c>
      <c r="AY748">
        <v>0</v>
      </c>
      <c r="AZ748">
        <v>0</v>
      </c>
      <c r="BA748">
        <v>0</v>
      </c>
      <c r="BB748">
        <v>0</v>
      </c>
      <c r="BC748">
        <v>0</v>
      </c>
      <c r="BD748">
        <v>0</v>
      </c>
      <c r="BE748">
        <v>0</v>
      </c>
      <c r="BF748">
        <v>0</v>
      </c>
      <c r="BG748">
        <v>0</v>
      </c>
      <c r="BH748">
        <v>2</v>
      </c>
      <c r="BI748">
        <v>18</v>
      </c>
      <c r="BJ748">
        <v>10.1</v>
      </c>
      <c r="BK748">
        <v>18</v>
      </c>
      <c r="BL748">
        <v>171.44</v>
      </c>
      <c r="BM748">
        <v>25.72</v>
      </c>
      <c r="BN748">
        <v>197.16</v>
      </c>
      <c r="BO748">
        <v>197.16</v>
      </c>
      <c r="BQ748" t="s">
        <v>787</v>
      </c>
      <c r="BR748" t="s">
        <v>82</v>
      </c>
      <c r="BS748" s="3">
        <v>45999</v>
      </c>
      <c r="BT748" s="4">
        <v>0.32777777777777778</v>
      </c>
      <c r="BU748" t="s">
        <v>1116</v>
      </c>
      <c r="BV748" t="s">
        <v>84</v>
      </c>
      <c r="BY748">
        <v>50328</v>
      </c>
      <c r="CA748">
        <v>9107126013089</v>
      </c>
      <c r="CC748" t="s">
        <v>303</v>
      </c>
      <c r="CD748" s="5" t="s">
        <v>657</v>
      </c>
      <c r="CE748" t="s">
        <v>134</v>
      </c>
      <c r="CI748">
        <v>1</v>
      </c>
      <c r="CJ748">
        <v>1</v>
      </c>
      <c r="CK748">
        <v>41</v>
      </c>
      <c r="CL748" t="s">
        <v>87</v>
      </c>
    </row>
    <row r="749" spans="1:90" x14ac:dyDescent="0.3">
      <c r="A749" t="s">
        <v>72</v>
      </c>
      <c r="B749" t="s">
        <v>73</v>
      </c>
      <c r="C749" t="s">
        <v>74</v>
      </c>
      <c r="E749" t="str">
        <f>"080069700734"</f>
        <v>080069700734</v>
      </c>
      <c r="F749" s="3">
        <v>45996</v>
      </c>
      <c r="G749">
        <v>202609</v>
      </c>
      <c r="H749" t="s">
        <v>75</v>
      </c>
      <c r="I749" t="s">
        <v>76</v>
      </c>
      <c r="J749" t="s">
        <v>77</v>
      </c>
      <c r="K749" t="s">
        <v>78</v>
      </c>
      <c r="L749" t="s">
        <v>141</v>
      </c>
      <c r="M749" t="s">
        <v>142</v>
      </c>
      <c r="N749" t="s">
        <v>844</v>
      </c>
      <c r="O749" t="s">
        <v>89</v>
      </c>
      <c r="P749" t="str">
        <f>"4170072038                    "</f>
        <v xml:space="preserve">4170072038                    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0</v>
      </c>
      <c r="AG749">
        <v>0</v>
      </c>
      <c r="AH749">
        <v>0</v>
      </c>
      <c r="AI749">
        <v>0</v>
      </c>
      <c r="AJ749">
        <v>0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25.52</v>
      </c>
      <c r="AR749">
        <v>0</v>
      </c>
      <c r="AS749">
        <v>0</v>
      </c>
      <c r="AT749">
        <v>0</v>
      </c>
      <c r="AU749">
        <v>0</v>
      </c>
      <c r="AV749">
        <v>0</v>
      </c>
      <c r="AW749">
        <v>0</v>
      </c>
      <c r="AX749">
        <v>0</v>
      </c>
      <c r="AY749">
        <v>0</v>
      </c>
      <c r="AZ749">
        <v>0</v>
      </c>
      <c r="BA749">
        <v>0</v>
      </c>
      <c r="BB749">
        <v>0</v>
      </c>
      <c r="BC749">
        <v>0</v>
      </c>
      <c r="BD749">
        <v>0</v>
      </c>
      <c r="BE749">
        <v>0</v>
      </c>
      <c r="BF749">
        <v>0</v>
      </c>
      <c r="BG749">
        <v>0</v>
      </c>
      <c r="BH749">
        <v>1</v>
      </c>
      <c r="BI749">
        <v>1.1000000000000001</v>
      </c>
      <c r="BJ749">
        <v>1.2</v>
      </c>
      <c r="BK749">
        <v>1.5</v>
      </c>
      <c r="BL749">
        <v>76.06</v>
      </c>
      <c r="BM749">
        <v>11.41</v>
      </c>
      <c r="BN749">
        <v>87.47</v>
      </c>
      <c r="BO749">
        <v>87.47</v>
      </c>
      <c r="BQ749" t="s">
        <v>845</v>
      </c>
      <c r="BR749" t="s">
        <v>82</v>
      </c>
      <c r="BS749" t="s">
        <v>500</v>
      </c>
      <c r="BY749">
        <v>5774.86</v>
      </c>
      <c r="CC749" t="s">
        <v>142</v>
      </c>
      <c r="CD749">
        <v>6000</v>
      </c>
      <c r="CE749" t="s">
        <v>86</v>
      </c>
      <c r="CI749">
        <v>1</v>
      </c>
      <c r="CJ749" t="s">
        <v>500</v>
      </c>
      <c r="CK749">
        <v>21</v>
      </c>
      <c r="CL749" t="s">
        <v>87</v>
      </c>
    </row>
    <row r="750" spans="1:90" x14ac:dyDescent="0.3">
      <c r="A750" t="s">
        <v>72</v>
      </c>
      <c r="B750" t="s">
        <v>73</v>
      </c>
      <c r="C750" t="s">
        <v>74</v>
      </c>
      <c r="E750" t="str">
        <f>"080069700818"</f>
        <v>080069700818</v>
      </c>
      <c r="F750" s="3">
        <v>45996</v>
      </c>
      <c r="G750">
        <v>202609</v>
      </c>
      <c r="H750" t="s">
        <v>75</v>
      </c>
      <c r="I750" t="s">
        <v>76</v>
      </c>
      <c r="J750" t="s">
        <v>77</v>
      </c>
      <c r="K750" t="s">
        <v>78</v>
      </c>
      <c r="L750" t="s">
        <v>366</v>
      </c>
      <c r="M750" t="s">
        <v>367</v>
      </c>
      <c r="N750" t="s">
        <v>519</v>
      </c>
      <c r="O750" t="s">
        <v>80</v>
      </c>
      <c r="P750" t="str">
        <f>"4170072026                    "</f>
        <v xml:space="preserve">4170072026                    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  <c r="AG750">
        <v>0</v>
      </c>
      <c r="AH750">
        <v>0</v>
      </c>
      <c r="AI750">
        <v>0</v>
      </c>
      <c r="AJ750">
        <v>0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90.95</v>
      </c>
      <c r="AR750">
        <v>0</v>
      </c>
      <c r="AS750">
        <v>0</v>
      </c>
      <c r="AT750">
        <v>0</v>
      </c>
      <c r="AU750">
        <v>0</v>
      </c>
      <c r="AV750">
        <v>0</v>
      </c>
      <c r="AW750">
        <v>0</v>
      </c>
      <c r="AX750">
        <v>0</v>
      </c>
      <c r="AY750">
        <v>0</v>
      </c>
      <c r="AZ750">
        <v>0</v>
      </c>
      <c r="BA750">
        <v>0</v>
      </c>
      <c r="BB750">
        <v>0</v>
      </c>
      <c r="BC750">
        <v>0</v>
      </c>
      <c r="BD750">
        <v>0</v>
      </c>
      <c r="BE750">
        <v>0</v>
      </c>
      <c r="BF750">
        <v>0</v>
      </c>
      <c r="BG750">
        <v>0</v>
      </c>
      <c r="BH750">
        <v>2</v>
      </c>
      <c r="BI750">
        <v>21</v>
      </c>
      <c r="BJ750">
        <v>19.7</v>
      </c>
      <c r="BK750">
        <v>21</v>
      </c>
      <c r="BL750">
        <v>277.14</v>
      </c>
      <c r="BM750">
        <v>41.57</v>
      </c>
      <c r="BN750">
        <v>318.70999999999998</v>
      </c>
      <c r="BO750">
        <v>318.70999999999998</v>
      </c>
      <c r="BQ750" t="s">
        <v>520</v>
      </c>
      <c r="BR750" t="s">
        <v>82</v>
      </c>
      <c r="BS750" t="s">
        <v>500</v>
      </c>
      <c r="BY750">
        <v>98686</v>
      </c>
      <c r="CC750" t="s">
        <v>367</v>
      </c>
      <c r="CD750">
        <v>1900</v>
      </c>
      <c r="CE750" t="s">
        <v>86</v>
      </c>
      <c r="CI750">
        <v>1</v>
      </c>
      <c r="CJ750" t="s">
        <v>500</v>
      </c>
      <c r="CK750">
        <v>43</v>
      </c>
      <c r="CL750" t="s">
        <v>87</v>
      </c>
    </row>
    <row r="751" spans="1:90" x14ac:dyDescent="0.3">
      <c r="A751" t="s">
        <v>72</v>
      </c>
      <c r="B751" t="s">
        <v>73</v>
      </c>
      <c r="C751" t="s">
        <v>74</v>
      </c>
      <c r="E751" t="str">
        <f>"080069701052"</f>
        <v>080069701052</v>
      </c>
      <c r="F751" s="3">
        <v>45996</v>
      </c>
      <c r="G751">
        <v>202609</v>
      </c>
      <c r="H751" t="s">
        <v>75</v>
      </c>
      <c r="I751" t="s">
        <v>76</v>
      </c>
      <c r="J751" t="s">
        <v>77</v>
      </c>
      <c r="K751" t="s">
        <v>78</v>
      </c>
      <c r="L751" t="s">
        <v>533</v>
      </c>
      <c r="M751" t="s">
        <v>533</v>
      </c>
      <c r="N751" t="s">
        <v>554</v>
      </c>
      <c r="O751" t="s">
        <v>89</v>
      </c>
      <c r="P751" t="str">
        <f>"4170072123                    "</f>
        <v xml:space="preserve">4170072123                    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0</v>
      </c>
      <c r="AG751">
        <v>0</v>
      </c>
      <c r="AH751">
        <v>0</v>
      </c>
      <c r="AI751">
        <v>0</v>
      </c>
      <c r="AJ751">
        <v>0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0</v>
      </c>
      <c r="AQ751">
        <v>49.45</v>
      </c>
      <c r="AR751">
        <v>0</v>
      </c>
      <c r="AS751">
        <v>0</v>
      </c>
      <c r="AT751">
        <v>0</v>
      </c>
      <c r="AU751">
        <v>0</v>
      </c>
      <c r="AV751">
        <v>0</v>
      </c>
      <c r="AW751">
        <v>0</v>
      </c>
      <c r="AX751">
        <v>0</v>
      </c>
      <c r="AY751">
        <v>0</v>
      </c>
      <c r="AZ751">
        <v>0</v>
      </c>
      <c r="BA751">
        <v>0</v>
      </c>
      <c r="BB751">
        <v>0</v>
      </c>
      <c r="BC751">
        <v>0</v>
      </c>
      <c r="BD751">
        <v>0</v>
      </c>
      <c r="BE751">
        <v>0</v>
      </c>
      <c r="BF751">
        <v>0</v>
      </c>
      <c r="BG751">
        <v>0</v>
      </c>
      <c r="BH751">
        <v>1</v>
      </c>
      <c r="BI751">
        <v>1</v>
      </c>
      <c r="BJ751">
        <v>0.2</v>
      </c>
      <c r="BK751">
        <v>1</v>
      </c>
      <c r="BL751">
        <v>147.38</v>
      </c>
      <c r="BM751">
        <v>22.11</v>
      </c>
      <c r="BN751">
        <v>169.49</v>
      </c>
      <c r="BO751">
        <v>169.49</v>
      </c>
      <c r="BQ751" t="s">
        <v>1213</v>
      </c>
      <c r="BR751" t="s">
        <v>82</v>
      </c>
      <c r="BS751" t="s">
        <v>500</v>
      </c>
      <c r="BY751">
        <v>1200</v>
      </c>
      <c r="CC751" t="s">
        <v>533</v>
      </c>
      <c r="CD751">
        <v>7646</v>
      </c>
      <c r="CE751" t="s">
        <v>134</v>
      </c>
      <c r="CI751">
        <v>1</v>
      </c>
      <c r="CJ751" t="s">
        <v>500</v>
      </c>
      <c r="CK751">
        <v>23</v>
      </c>
      <c r="CL751" t="s">
        <v>87</v>
      </c>
    </row>
    <row r="752" spans="1:90" x14ac:dyDescent="0.3">
      <c r="A752" t="s">
        <v>72</v>
      </c>
      <c r="B752" t="s">
        <v>73</v>
      </c>
      <c r="C752" t="s">
        <v>74</v>
      </c>
      <c r="E752" t="str">
        <f>"080069701083"</f>
        <v>080069701083</v>
      </c>
      <c r="F752" s="3">
        <v>45996</v>
      </c>
      <c r="G752">
        <v>202609</v>
      </c>
      <c r="H752" t="s">
        <v>75</v>
      </c>
      <c r="I752" t="s">
        <v>76</v>
      </c>
      <c r="J752" t="s">
        <v>77</v>
      </c>
      <c r="K752" t="s">
        <v>78</v>
      </c>
      <c r="L752" t="s">
        <v>169</v>
      </c>
      <c r="M752" t="s">
        <v>170</v>
      </c>
      <c r="N752" t="s">
        <v>171</v>
      </c>
      <c r="O752" t="s">
        <v>89</v>
      </c>
      <c r="P752" t="str">
        <f>"4170072066                    "</f>
        <v xml:space="preserve">4170072066                    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0</v>
      </c>
      <c r="AG752">
        <v>0</v>
      </c>
      <c r="AH752">
        <v>0</v>
      </c>
      <c r="AI752">
        <v>0</v>
      </c>
      <c r="AJ752">
        <v>0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49.45</v>
      </c>
      <c r="AR752">
        <v>0</v>
      </c>
      <c r="AS752">
        <v>0</v>
      </c>
      <c r="AT752">
        <v>0</v>
      </c>
      <c r="AU752">
        <v>0</v>
      </c>
      <c r="AV752">
        <v>0</v>
      </c>
      <c r="AW752">
        <v>0</v>
      </c>
      <c r="AX752">
        <v>0</v>
      </c>
      <c r="AY752">
        <v>0</v>
      </c>
      <c r="AZ752">
        <v>0</v>
      </c>
      <c r="BA752">
        <v>0</v>
      </c>
      <c r="BB752">
        <v>0</v>
      </c>
      <c r="BC752">
        <v>0</v>
      </c>
      <c r="BD752">
        <v>0</v>
      </c>
      <c r="BE752">
        <v>0</v>
      </c>
      <c r="BF752">
        <v>0</v>
      </c>
      <c r="BG752">
        <v>0</v>
      </c>
      <c r="BH752">
        <v>1</v>
      </c>
      <c r="BI752">
        <v>2</v>
      </c>
      <c r="BJ752">
        <v>1.1000000000000001</v>
      </c>
      <c r="BK752">
        <v>2</v>
      </c>
      <c r="BL752">
        <v>147.38</v>
      </c>
      <c r="BM752">
        <v>22.11</v>
      </c>
      <c r="BN752">
        <v>169.49</v>
      </c>
      <c r="BO752">
        <v>169.49</v>
      </c>
      <c r="BQ752" t="s">
        <v>172</v>
      </c>
      <c r="BR752" t="s">
        <v>82</v>
      </c>
      <c r="BS752" t="s">
        <v>500</v>
      </c>
      <c r="BY752">
        <v>5510</v>
      </c>
      <c r="CC752" t="s">
        <v>170</v>
      </c>
      <c r="CD752">
        <v>1028</v>
      </c>
      <c r="CE752" t="s">
        <v>86</v>
      </c>
      <c r="CI752">
        <v>1</v>
      </c>
      <c r="CJ752" t="s">
        <v>500</v>
      </c>
      <c r="CK752">
        <v>23</v>
      </c>
      <c r="CL752" t="s">
        <v>87</v>
      </c>
    </row>
    <row r="753" spans="1:90" x14ac:dyDescent="0.3">
      <c r="A753" t="s">
        <v>72</v>
      </c>
      <c r="B753" t="s">
        <v>73</v>
      </c>
      <c r="C753" t="s">
        <v>74</v>
      </c>
      <c r="E753" t="str">
        <f>"080069701119"</f>
        <v>080069701119</v>
      </c>
      <c r="F753" s="3">
        <v>45996</v>
      </c>
      <c r="G753">
        <v>202609</v>
      </c>
      <c r="H753" t="s">
        <v>75</v>
      </c>
      <c r="I753" t="s">
        <v>76</v>
      </c>
      <c r="J753" t="s">
        <v>77</v>
      </c>
      <c r="K753" t="s">
        <v>78</v>
      </c>
      <c r="L753" t="s">
        <v>533</v>
      </c>
      <c r="M753" t="s">
        <v>533</v>
      </c>
      <c r="N753" t="s">
        <v>554</v>
      </c>
      <c r="O753" t="s">
        <v>89</v>
      </c>
      <c r="P753" t="str">
        <f>"4170072116                    "</f>
        <v xml:space="preserve">4170072116                    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>
        <v>0</v>
      </c>
      <c r="AJ753">
        <v>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49.45</v>
      </c>
      <c r="AR753">
        <v>0</v>
      </c>
      <c r="AS753">
        <v>0</v>
      </c>
      <c r="AT753">
        <v>0</v>
      </c>
      <c r="AU753">
        <v>0</v>
      </c>
      <c r="AV753">
        <v>0</v>
      </c>
      <c r="AW753">
        <v>0</v>
      </c>
      <c r="AX753">
        <v>0</v>
      </c>
      <c r="AY753">
        <v>0</v>
      </c>
      <c r="AZ753">
        <v>0</v>
      </c>
      <c r="BA753">
        <v>0</v>
      </c>
      <c r="BB753">
        <v>0</v>
      </c>
      <c r="BC753">
        <v>0</v>
      </c>
      <c r="BD753">
        <v>0</v>
      </c>
      <c r="BE753">
        <v>0</v>
      </c>
      <c r="BF753">
        <v>0</v>
      </c>
      <c r="BG753">
        <v>0</v>
      </c>
      <c r="BH753">
        <v>1</v>
      </c>
      <c r="BI753">
        <v>1</v>
      </c>
      <c r="BJ753">
        <v>0.2</v>
      </c>
      <c r="BK753">
        <v>1</v>
      </c>
      <c r="BL753">
        <v>147.38</v>
      </c>
      <c r="BM753">
        <v>22.11</v>
      </c>
      <c r="BN753">
        <v>169.49</v>
      </c>
      <c r="BO753">
        <v>169.49</v>
      </c>
      <c r="BQ753" t="s">
        <v>1213</v>
      </c>
      <c r="BR753" t="s">
        <v>82</v>
      </c>
      <c r="BS753" t="s">
        <v>500</v>
      </c>
      <c r="BY753">
        <v>1200</v>
      </c>
      <c r="CC753" t="s">
        <v>533</v>
      </c>
      <c r="CD753">
        <v>7646</v>
      </c>
      <c r="CE753" t="s">
        <v>134</v>
      </c>
      <c r="CI753">
        <v>1</v>
      </c>
      <c r="CJ753" t="s">
        <v>500</v>
      </c>
      <c r="CK753">
        <v>23</v>
      </c>
      <c r="CL753" t="s">
        <v>87</v>
      </c>
    </row>
    <row r="754" spans="1:90" x14ac:dyDescent="0.3">
      <c r="A754" t="s">
        <v>72</v>
      </c>
      <c r="B754" t="s">
        <v>73</v>
      </c>
      <c r="C754" t="s">
        <v>74</v>
      </c>
      <c r="E754" t="str">
        <f>"080069701187"</f>
        <v>080069701187</v>
      </c>
      <c r="F754" s="3">
        <v>45996</v>
      </c>
      <c r="G754">
        <v>202609</v>
      </c>
      <c r="H754" t="s">
        <v>75</v>
      </c>
      <c r="I754" t="s">
        <v>76</v>
      </c>
      <c r="J754" t="s">
        <v>77</v>
      </c>
      <c r="K754" t="s">
        <v>78</v>
      </c>
      <c r="L754" t="s">
        <v>156</v>
      </c>
      <c r="M754" t="s">
        <v>157</v>
      </c>
      <c r="N754" t="s">
        <v>1181</v>
      </c>
      <c r="O754" t="s">
        <v>89</v>
      </c>
      <c r="P754" t="str">
        <f>"4170072101                    "</f>
        <v xml:space="preserve">4170072101                    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  <c r="AG754">
        <v>0</v>
      </c>
      <c r="AH754">
        <v>0</v>
      </c>
      <c r="AI754">
        <v>0</v>
      </c>
      <c r="AJ754">
        <v>0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25.52</v>
      </c>
      <c r="AR754">
        <v>0</v>
      </c>
      <c r="AS754">
        <v>0</v>
      </c>
      <c r="AT754">
        <v>0</v>
      </c>
      <c r="AU754">
        <v>0</v>
      </c>
      <c r="AV754">
        <v>0</v>
      </c>
      <c r="AW754">
        <v>0</v>
      </c>
      <c r="AX754">
        <v>0</v>
      </c>
      <c r="AY754">
        <v>0</v>
      </c>
      <c r="AZ754">
        <v>0</v>
      </c>
      <c r="BA754">
        <v>0</v>
      </c>
      <c r="BB754">
        <v>0</v>
      </c>
      <c r="BC754">
        <v>0</v>
      </c>
      <c r="BD754">
        <v>0</v>
      </c>
      <c r="BE754">
        <v>0</v>
      </c>
      <c r="BF754">
        <v>0</v>
      </c>
      <c r="BG754">
        <v>0</v>
      </c>
      <c r="BH754">
        <v>1</v>
      </c>
      <c r="BI754">
        <v>1</v>
      </c>
      <c r="BJ754">
        <v>0.2</v>
      </c>
      <c r="BK754">
        <v>1</v>
      </c>
      <c r="BL754">
        <v>76.06</v>
      </c>
      <c r="BM754">
        <v>11.41</v>
      </c>
      <c r="BN754">
        <v>87.47</v>
      </c>
      <c r="BO754">
        <v>87.47</v>
      </c>
      <c r="BQ754" t="s">
        <v>1182</v>
      </c>
      <c r="BR754" t="s">
        <v>82</v>
      </c>
      <c r="BS754" t="s">
        <v>500</v>
      </c>
      <c r="BY754">
        <v>1200</v>
      </c>
      <c r="CC754" t="s">
        <v>157</v>
      </c>
      <c r="CD754">
        <v>7945</v>
      </c>
      <c r="CE754" t="s">
        <v>134</v>
      </c>
      <c r="CI754">
        <v>1</v>
      </c>
      <c r="CJ754" t="s">
        <v>500</v>
      </c>
      <c r="CK754">
        <v>21</v>
      </c>
      <c r="CL754" t="s">
        <v>87</v>
      </c>
    </row>
    <row r="755" spans="1:90" x14ac:dyDescent="0.3">
      <c r="A755" t="s">
        <v>72</v>
      </c>
      <c r="B755" t="s">
        <v>73</v>
      </c>
      <c r="C755" t="s">
        <v>74</v>
      </c>
      <c r="E755" t="str">
        <f>"080069701166"</f>
        <v>080069701166</v>
      </c>
      <c r="F755" s="3">
        <v>45996</v>
      </c>
      <c r="G755">
        <v>202609</v>
      </c>
      <c r="H755" t="s">
        <v>75</v>
      </c>
      <c r="I755" t="s">
        <v>76</v>
      </c>
      <c r="J755" t="s">
        <v>77</v>
      </c>
      <c r="K755" t="s">
        <v>78</v>
      </c>
      <c r="L755" t="s">
        <v>128</v>
      </c>
      <c r="M755" t="s">
        <v>129</v>
      </c>
      <c r="N755" t="s">
        <v>383</v>
      </c>
      <c r="O755" t="s">
        <v>80</v>
      </c>
      <c r="P755" t="str">
        <f>"4170072095                    "</f>
        <v xml:space="preserve">4170072095                    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  <c r="AG755">
        <v>0</v>
      </c>
      <c r="AH755">
        <v>0</v>
      </c>
      <c r="AI755">
        <v>0</v>
      </c>
      <c r="AJ755">
        <v>0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</v>
      </c>
      <c r="AQ755">
        <v>110.56</v>
      </c>
      <c r="AR755">
        <v>0</v>
      </c>
      <c r="AS755">
        <v>0</v>
      </c>
      <c r="AT755">
        <v>0</v>
      </c>
      <c r="AU755">
        <v>0</v>
      </c>
      <c r="AV755">
        <v>0</v>
      </c>
      <c r="AW755">
        <v>0</v>
      </c>
      <c r="AX755">
        <v>0</v>
      </c>
      <c r="AY755">
        <v>0</v>
      </c>
      <c r="AZ755">
        <v>0</v>
      </c>
      <c r="BA755">
        <v>0</v>
      </c>
      <c r="BB755">
        <v>0</v>
      </c>
      <c r="BC755">
        <v>0</v>
      </c>
      <c r="BD755">
        <v>0</v>
      </c>
      <c r="BE755">
        <v>0</v>
      </c>
      <c r="BF755">
        <v>0</v>
      </c>
      <c r="BG755">
        <v>0</v>
      </c>
      <c r="BH755">
        <v>4</v>
      </c>
      <c r="BI755">
        <v>44.1</v>
      </c>
      <c r="BJ755">
        <v>17.100000000000001</v>
      </c>
      <c r="BK755">
        <v>45</v>
      </c>
      <c r="BL755">
        <v>335.6</v>
      </c>
      <c r="BM755">
        <v>50.34</v>
      </c>
      <c r="BN755">
        <v>385.94</v>
      </c>
      <c r="BO755">
        <v>385.94</v>
      </c>
      <c r="BQ755" t="s">
        <v>384</v>
      </c>
      <c r="BR755" t="s">
        <v>82</v>
      </c>
      <c r="BS755" t="s">
        <v>500</v>
      </c>
      <c r="BY755">
        <v>40321.65</v>
      </c>
      <c r="CC755" t="s">
        <v>129</v>
      </c>
      <c r="CD755">
        <v>5201</v>
      </c>
      <c r="CE755" t="s">
        <v>86</v>
      </c>
      <c r="CI755">
        <v>3</v>
      </c>
      <c r="CJ755" t="s">
        <v>500</v>
      </c>
      <c r="CK755">
        <v>41</v>
      </c>
      <c r="CL755" t="s">
        <v>87</v>
      </c>
    </row>
    <row r="756" spans="1:90" x14ac:dyDescent="0.3">
      <c r="A756" t="s">
        <v>72</v>
      </c>
      <c r="B756" t="s">
        <v>73</v>
      </c>
      <c r="C756" t="s">
        <v>74</v>
      </c>
      <c r="E756" t="str">
        <f>"080069701219"</f>
        <v>080069701219</v>
      </c>
      <c r="F756" s="3">
        <v>45996</v>
      </c>
      <c r="G756">
        <v>202609</v>
      </c>
      <c r="H756" t="s">
        <v>75</v>
      </c>
      <c r="I756" t="s">
        <v>76</v>
      </c>
      <c r="J756" t="s">
        <v>77</v>
      </c>
      <c r="K756" t="s">
        <v>78</v>
      </c>
      <c r="L756" t="s">
        <v>156</v>
      </c>
      <c r="M756" t="s">
        <v>157</v>
      </c>
      <c r="N756" t="s">
        <v>742</v>
      </c>
      <c r="O756" t="s">
        <v>89</v>
      </c>
      <c r="P756" t="str">
        <f>"4170072091                    "</f>
        <v xml:space="preserve">4170072091                    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  <c r="AG756">
        <v>0</v>
      </c>
      <c r="AH756">
        <v>0</v>
      </c>
      <c r="AI756">
        <v>0</v>
      </c>
      <c r="AJ756">
        <v>0</v>
      </c>
      <c r="AK756">
        <v>0</v>
      </c>
      <c r="AL756">
        <v>0</v>
      </c>
      <c r="AM756">
        <v>0</v>
      </c>
      <c r="AN756">
        <v>0</v>
      </c>
      <c r="AO756">
        <v>0</v>
      </c>
      <c r="AP756">
        <v>0</v>
      </c>
      <c r="AQ756">
        <v>25.52</v>
      </c>
      <c r="AR756">
        <v>0</v>
      </c>
      <c r="AS756">
        <v>0</v>
      </c>
      <c r="AT756">
        <v>0</v>
      </c>
      <c r="AU756">
        <v>0</v>
      </c>
      <c r="AV756">
        <v>0</v>
      </c>
      <c r="AW756">
        <v>0</v>
      </c>
      <c r="AX756">
        <v>0</v>
      </c>
      <c r="AY756">
        <v>0</v>
      </c>
      <c r="AZ756">
        <v>0</v>
      </c>
      <c r="BA756">
        <v>0</v>
      </c>
      <c r="BB756">
        <v>0</v>
      </c>
      <c r="BC756">
        <v>0</v>
      </c>
      <c r="BD756">
        <v>0</v>
      </c>
      <c r="BE756">
        <v>0</v>
      </c>
      <c r="BF756">
        <v>0</v>
      </c>
      <c r="BG756">
        <v>0</v>
      </c>
      <c r="BH756">
        <v>1</v>
      </c>
      <c r="BI756">
        <v>1</v>
      </c>
      <c r="BJ756">
        <v>0.2</v>
      </c>
      <c r="BK756">
        <v>1</v>
      </c>
      <c r="BL756">
        <v>76.06</v>
      </c>
      <c r="BM756">
        <v>11.41</v>
      </c>
      <c r="BN756">
        <v>87.47</v>
      </c>
      <c r="BO756">
        <v>87.47</v>
      </c>
      <c r="BQ756" t="s">
        <v>743</v>
      </c>
      <c r="BR756" t="s">
        <v>82</v>
      </c>
      <c r="BS756" t="s">
        <v>500</v>
      </c>
      <c r="BY756">
        <v>1200</v>
      </c>
      <c r="CC756" t="s">
        <v>157</v>
      </c>
      <c r="CD756">
        <v>8001</v>
      </c>
      <c r="CE756" t="s">
        <v>134</v>
      </c>
      <c r="CI756">
        <v>1</v>
      </c>
      <c r="CJ756" t="s">
        <v>500</v>
      </c>
      <c r="CK756">
        <v>21</v>
      </c>
      <c r="CL756" t="s">
        <v>87</v>
      </c>
    </row>
    <row r="757" spans="1:90" x14ac:dyDescent="0.3">
      <c r="A757" t="s">
        <v>72</v>
      </c>
      <c r="B757" t="s">
        <v>73</v>
      </c>
      <c r="C757" t="s">
        <v>74</v>
      </c>
      <c r="E757" t="str">
        <f>"080069701271"</f>
        <v>080069701271</v>
      </c>
      <c r="F757" s="3">
        <v>45996</v>
      </c>
      <c r="G757">
        <v>202609</v>
      </c>
      <c r="H757" t="s">
        <v>75</v>
      </c>
      <c r="I757" t="s">
        <v>76</v>
      </c>
      <c r="J757" t="s">
        <v>77</v>
      </c>
      <c r="K757" t="s">
        <v>78</v>
      </c>
      <c r="L757" t="s">
        <v>75</v>
      </c>
      <c r="M757" t="s">
        <v>76</v>
      </c>
      <c r="N757" t="s">
        <v>1142</v>
      </c>
      <c r="O757" t="s">
        <v>89</v>
      </c>
      <c r="P757" t="str">
        <f>"4170072058                    "</f>
        <v xml:space="preserve">4170072058                    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0</v>
      </c>
      <c r="AG757">
        <v>0</v>
      </c>
      <c r="AH757">
        <v>0</v>
      </c>
      <c r="AI757">
        <v>0</v>
      </c>
      <c r="AJ757">
        <v>0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</v>
      </c>
      <c r="AQ757">
        <v>19.940000000000001</v>
      </c>
      <c r="AR757">
        <v>0</v>
      </c>
      <c r="AS757">
        <v>0</v>
      </c>
      <c r="AT757">
        <v>0</v>
      </c>
      <c r="AU757">
        <v>0</v>
      </c>
      <c r="AV757">
        <v>0</v>
      </c>
      <c r="AW757">
        <v>0</v>
      </c>
      <c r="AX757">
        <v>0</v>
      </c>
      <c r="AY757">
        <v>0</v>
      </c>
      <c r="AZ757">
        <v>0</v>
      </c>
      <c r="BA757">
        <v>0</v>
      </c>
      <c r="BB757">
        <v>0</v>
      </c>
      <c r="BC757">
        <v>0</v>
      </c>
      <c r="BD757">
        <v>0</v>
      </c>
      <c r="BE757">
        <v>0</v>
      </c>
      <c r="BF757">
        <v>0</v>
      </c>
      <c r="BG757">
        <v>0</v>
      </c>
      <c r="BH757">
        <v>1</v>
      </c>
      <c r="BI757">
        <v>1</v>
      </c>
      <c r="BJ757">
        <v>0.2</v>
      </c>
      <c r="BK757">
        <v>1</v>
      </c>
      <c r="BL757">
        <v>59.42</v>
      </c>
      <c r="BM757">
        <v>8.91</v>
      </c>
      <c r="BN757">
        <v>68.33</v>
      </c>
      <c r="BO757">
        <v>68.33</v>
      </c>
      <c r="BQ757" t="s">
        <v>1143</v>
      </c>
      <c r="BR757" t="s">
        <v>82</v>
      </c>
      <c r="BS757" s="3">
        <v>45999</v>
      </c>
      <c r="BT757" s="4">
        <v>0.3</v>
      </c>
      <c r="BU757" t="s">
        <v>1262</v>
      </c>
      <c r="BV757" t="s">
        <v>84</v>
      </c>
      <c r="BY757">
        <v>1200</v>
      </c>
      <c r="CA757" t="s">
        <v>92</v>
      </c>
      <c r="CC757" t="s">
        <v>76</v>
      </c>
      <c r="CD757">
        <v>1600</v>
      </c>
      <c r="CE757" t="s">
        <v>134</v>
      </c>
      <c r="CI757">
        <v>1</v>
      </c>
      <c r="CJ757">
        <v>1</v>
      </c>
      <c r="CK757">
        <v>22</v>
      </c>
      <c r="CL757" t="s">
        <v>87</v>
      </c>
    </row>
    <row r="758" spans="1:90" x14ac:dyDescent="0.3">
      <c r="A758" t="s">
        <v>72</v>
      </c>
      <c r="B758" t="s">
        <v>73</v>
      </c>
      <c r="C758" t="s">
        <v>74</v>
      </c>
      <c r="E758" t="str">
        <f>"080069701328"</f>
        <v>080069701328</v>
      </c>
      <c r="F758" s="3">
        <v>45996</v>
      </c>
      <c r="G758">
        <v>202609</v>
      </c>
      <c r="H758" t="s">
        <v>75</v>
      </c>
      <c r="I758" t="s">
        <v>76</v>
      </c>
      <c r="J758" t="s">
        <v>77</v>
      </c>
      <c r="K758" t="s">
        <v>78</v>
      </c>
      <c r="L758" t="s">
        <v>1024</v>
      </c>
      <c r="M758" t="s">
        <v>1025</v>
      </c>
      <c r="N758" t="s">
        <v>1026</v>
      </c>
      <c r="O758" t="s">
        <v>89</v>
      </c>
      <c r="P758" t="str">
        <f>"4170072118                    "</f>
        <v xml:space="preserve">4170072118                    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0</v>
      </c>
      <c r="AG758">
        <v>0</v>
      </c>
      <c r="AH758">
        <v>0</v>
      </c>
      <c r="AI758">
        <v>0</v>
      </c>
      <c r="AJ758">
        <v>0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0</v>
      </c>
      <c r="AQ758">
        <v>49.45</v>
      </c>
      <c r="AR758">
        <v>0</v>
      </c>
      <c r="AS758">
        <v>0</v>
      </c>
      <c r="AT758">
        <v>0</v>
      </c>
      <c r="AU758">
        <v>0</v>
      </c>
      <c r="AV758">
        <v>0</v>
      </c>
      <c r="AW758">
        <v>0</v>
      </c>
      <c r="AX758">
        <v>0</v>
      </c>
      <c r="AY758">
        <v>0</v>
      </c>
      <c r="AZ758">
        <v>0</v>
      </c>
      <c r="BA758">
        <v>0</v>
      </c>
      <c r="BB758">
        <v>0</v>
      </c>
      <c r="BC758">
        <v>0</v>
      </c>
      <c r="BD758">
        <v>0</v>
      </c>
      <c r="BE758">
        <v>0</v>
      </c>
      <c r="BF758">
        <v>0</v>
      </c>
      <c r="BG758">
        <v>0</v>
      </c>
      <c r="BH758">
        <v>1</v>
      </c>
      <c r="BI758">
        <v>1</v>
      </c>
      <c r="BJ758">
        <v>0.2</v>
      </c>
      <c r="BK758">
        <v>1</v>
      </c>
      <c r="BL758">
        <v>147.38</v>
      </c>
      <c r="BM758">
        <v>22.11</v>
      </c>
      <c r="BN758">
        <v>169.49</v>
      </c>
      <c r="BO758">
        <v>169.49</v>
      </c>
      <c r="BQ758" t="s">
        <v>1027</v>
      </c>
      <c r="BR758" t="s">
        <v>82</v>
      </c>
      <c r="BS758" t="s">
        <v>500</v>
      </c>
      <c r="BY758">
        <v>1200</v>
      </c>
      <c r="CC758" t="s">
        <v>1025</v>
      </c>
      <c r="CD758">
        <v>5257</v>
      </c>
      <c r="CE758" t="s">
        <v>134</v>
      </c>
      <c r="CI758">
        <v>1</v>
      </c>
      <c r="CJ758" t="s">
        <v>500</v>
      </c>
      <c r="CK758">
        <v>23</v>
      </c>
      <c r="CL758" t="s">
        <v>87</v>
      </c>
    </row>
    <row r="759" spans="1:90" x14ac:dyDescent="0.3">
      <c r="A759" t="s">
        <v>72</v>
      </c>
      <c r="B759" t="s">
        <v>73</v>
      </c>
      <c r="C759" t="s">
        <v>74</v>
      </c>
      <c r="E759" t="str">
        <f>"080069701370"</f>
        <v>080069701370</v>
      </c>
      <c r="F759" s="3">
        <v>45996</v>
      </c>
      <c r="G759">
        <v>202609</v>
      </c>
      <c r="H759" t="s">
        <v>75</v>
      </c>
      <c r="I759" t="s">
        <v>76</v>
      </c>
      <c r="J759" t="s">
        <v>77</v>
      </c>
      <c r="K759" t="s">
        <v>78</v>
      </c>
      <c r="L759" t="s">
        <v>302</v>
      </c>
      <c r="M759" t="s">
        <v>303</v>
      </c>
      <c r="N759" t="s">
        <v>870</v>
      </c>
      <c r="O759" t="s">
        <v>89</v>
      </c>
      <c r="P759" t="str">
        <f>"4170072193                    "</f>
        <v xml:space="preserve">4170072193                    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0</v>
      </c>
      <c r="AG759">
        <v>0</v>
      </c>
      <c r="AH759">
        <v>0</v>
      </c>
      <c r="AI759">
        <v>0</v>
      </c>
      <c r="AJ759">
        <v>0</v>
      </c>
      <c r="AK759">
        <v>0</v>
      </c>
      <c r="AL759">
        <v>0</v>
      </c>
      <c r="AM759">
        <v>0</v>
      </c>
      <c r="AN759">
        <v>0</v>
      </c>
      <c r="AO759">
        <v>0</v>
      </c>
      <c r="AP759">
        <v>0</v>
      </c>
      <c r="AQ759">
        <v>25.52</v>
      </c>
      <c r="AR759">
        <v>0</v>
      </c>
      <c r="AS759">
        <v>0</v>
      </c>
      <c r="AT759">
        <v>0</v>
      </c>
      <c r="AU759">
        <v>0</v>
      </c>
      <c r="AV759">
        <v>0</v>
      </c>
      <c r="AW759">
        <v>0</v>
      </c>
      <c r="AX759">
        <v>0</v>
      </c>
      <c r="AY759">
        <v>0</v>
      </c>
      <c r="AZ759">
        <v>0</v>
      </c>
      <c r="BA759">
        <v>0</v>
      </c>
      <c r="BB759">
        <v>0</v>
      </c>
      <c r="BC759">
        <v>0</v>
      </c>
      <c r="BD759">
        <v>0</v>
      </c>
      <c r="BE759">
        <v>0</v>
      </c>
      <c r="BF759">
        <v>0</v>
      </c>
      <c r="BG759">
        <v>0</v>
      </c>
      <c r="BH759">
        <v>1</v>
      </c>
      <c r="BI759">
        <v>1</v>
      </c>
      <c r="BJ759">
        <v>0.2</v>
      </c>
      <c r="BK759">
        <v>1</v>
      </c>
      <c r="BL759">
        <v>76.06</v>
      </c>
      <c r="BM759">
        <v>11.41</v>
      </c>
      <c r="BN759">
        <v>87.47</v>
      </c>
      <c r="BO759">
        <v>87.47</v>
      </c>
      <c r="BQ759" t="s">
        <v>871</v>
      </c>
      <c r="BR759" t="s">
        <v>82</v>
      </c>
      <c r="BS759" t="s">
        <v>500</v>
      </c>
      <c r="BY759">
        <v>1200</v>
      </c>
      <c r="CC759" t="s">
        <v>303</v>
      </c>
      <c r="CD759" s="5" t="s">
        <v>307</v>
      </c>
      <c r="CE759" t="s">
        <v>134</v>
      </c>
      <c r="CI759">
        <v>1</v>
      </c>
      <c r="CJ759" t="s">
        <v>500</v>
      </c>
      <c r="CK759">
        <v>21</v>
      </c>
      <c r="CL759" t="s">
        <v>87</v>
      </c>
    </row>
    <row r="760" spans="1:90" x14ac:dyDescent="0.3">
      <c r="A760" t="s">
        <v>72</v>
      </c>
      <c r="B760" t="s">
        <v>73</v>
      </c>
      <c r="C760" t="s">
        <v>74</v>
      </c>
      <c r="E760" t="str">
        <f>"080069701665"</f>
        <v>080069701665</v>
      </c>
      <c r="F760" s="3">
        <v>45996</v>
      </c>
      <c r="G760">
        <v>202609</v>
      </c>
      <c r="H760" t="s">
        <v>75</v>
      </c>
      <c r="I760" t="s">
        <v>76</v>
      </c>
      <c r="J760" t="s">
        <v>77</v>
      </c>
      <c r="K760" t="s">
        <v>78</v>
      </c>
      <c r="L760" t="s">
        <v>272</v>
      </c>
      <c r="M760" t="s">
        <v>273</v>
      </c>
      <c r="N760" t="s">
        <v>1475</v>
      </c>
      <c r="O760" t="s">
        <v>80</v>
      </c>
      <c r="P760" t="str">
        <f>"4170072194                    "</f>
        <v xml:space="preserve">4170072194                    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  <c r="AG760">
        <v>0</v>
      </c>
      <c r="AH760">
        <v>0</v>
      </c>
      <c r="AI760">
        <v>0</v>
      </c>
      <c r="AJ760">
        <v>0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53.44</v>
      </c>
      <c r="AR760">
        <v>0</v>
      </c>
      <c r="AS760">
        <v>0</v>
      </c>
      <c r="AT760">
        <v>0</v>
      </c>
      <c r="AU760">
        <v>0</v>
      </c>
      <c r="AV760">
        <v>0</v>
      </c>
      <c r="AW760">
        <v>0</v>
      </c>
      <c r="AX760">
        <v>0</v>
      </c>
      <c r="AY760">
        <v>0</v>
      </c>
      <c r="AZ760">
        <v>0</v>
      </c>
      <c r="BA760">
        <v>0</v>
      </c>
      <c r="BB760">
        <v>0</v>
      </c>
      <c r="BC760">
        <v>0</v>
      </c>
      <c r="BD760">
        <v>0</v>
      </c>
      <c r="BE760">
        <v>0</v>
      </c>
      <c r="BF760">
        <v>0</v>
      </c>
      <c r="BG760">
        <v>0</v>
      </c>
      <c r="BH760">
        <v>1</v>
      </c>
      <c r="BI760">
        <v>7.4</v>
      </c>
      <c r="BJ760">
        <v>16.7</v>
      </c>
      <c r="BK760">
        <v>17</v>
      </c>
      <c r="BL760">
        <v>165.36</v>
      </c>
      <c r="BM760">
        <v>24.8</v>
      </c>
      <c r="BN760">
        <v>190.16</v>
      </c>
      <c r="BO760">
        <v>190.16</v>
      </c>
      <c r="BQ760" t="s">
        <v>1476</v>
      </c>
      <c r="BR760" t="s">
        <v>82</v>
      </c>
      <c r="BS760" t="s">
        <v>500</v>
      </c>
      <c r="BY760">
        <v>83430.75</v>
      </c>
      <c r="CC760" t="s">
        <v>273</v>
      </c>
      <c r="CD760">
        <v>6220</v>
      </c>
      <c r="CE760" t="s">
        <v>86</v>
      </c>
      <c r="CI760">
        <v>3</v>
      </c>
      <c r="CJ760" t="s">
        <v>500</v>
      </c>
      <c r="CK760">
        <v>41</v>
      </c>
      <c r="CL760" t="s">
        <v>87</v>
      </c>
    </row>
    <row r="761" spans="1:90" x14ac:dyDescent="0.3">
      <c r="A761" t="s">
        <v>72</v>
      </c>
      <c r="B761" t="s">
        <v>73</v>
      </c>
      <c r="C761" t="s">
        <v>74</v>
      </c>
      <c r="E761" t="str">
        <f>"080069701679"</f>
        <v>080069701679</v>
      </c>
      <c r="F761" s="3">
        <v>45996</v>
      </c>
      <c r="G761">
        <v>202609</v>
      </c>
      <c r="H761" t="s">
        <v>75</v>
      </c>
      <c r="I761" t="s">
        <v>76</v>
      </c>
      <c r="J761" t="s">
        <v>77</v>
      </c>
      <c r="K761" t="s">
        <v>78</v>
      </c>
      <c r="L761" t="s">
        <v>533</v>
      </c>
      <c r="M761" t="s">
        <v>533</v>
      </c>
      <c r="N761" t="s">
        <v>1013</v>
      </c>
      <c r="O761" t="s">
        <v>89</v>
      </c>
      <c r="P761" t="str">
        <f>"4170072137                    "</f>
        <v xml:space="preserve">4170072137                    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0</v>
      </c>
      <c r="AF761">
        <v>0</v>
      </c>
      <c r="AG761">
        <v>0</v>
      </c>
      <c r="AH761">
        <v>0</v>
      </c>
      <c r="AI761">
        <v>0</v>
      </c>
      <c r="AJ761">
        <v>0</v>
      </c>
      <c r="AK761">
        <v>0</v>
      </c>
      <c r="AL761">
        <v>0</v>
      </c>
      <c r="AM761">
        <v>0</v>
      </c>
      <c r="AN761">
        <v>0</v>
      </c>
      <c r="AO761">
        <v>0</v>
      </c>
      <c r="AP761">
        <v>0</v>
      </c>
      <c r="AQ761">
        <v>49.45</v>
      </c>
      <c r="AR761">
        <v>0</v>
      </c>
      <c r="AS761">
        <v>0</v>
      </c>
      <c r="AT761">
        <v>0</v>
      </c>
      <c r="AU761">
        <v>0</v>
      </c>
      <c r="AV761">
        <v>0</v>
      </c>
      <c r="AW761">
        <v>0</v>
      </c>
      <c r="AX761">
        <v>0</v>
      </c>
      <c r="AY761">
        <v>0</v>
      </c>
      <c r="AZ761">
        <v>0</v>
      </c>
      <c r="BA761">
        <v>0</v>
      </c>
      <c r="BB761">
        <v>0</v>
      </c>
      <c r="BC761">
        <v>0</v>
      </c>
      <c r="BD761">
        <v>0</v>
      </c>
      <c r="BE761">
        <v>0</v>
      </c>
      <c r="BF761">
        <v>0</v>
      </c>
      <c r="BG761">
        <v>0</v>
      </c>
      <c r="BH761">
        <v>1</v>
      </c>
      <c r="BI761">
        <v>1</v>
      </c>
      <c r="BJ761">
        <v>0.2</v>
      </c>
      <c r="BK761">
        <v>1</v>
      </c>
      <c r="BL761">
        <v>147.38</v>
      </c>
      <c r="BM761">
        <v>22.11</v>
      </c>
      <c r="BN761">
        <v>169.49</v>
      </c>
      <c r="BO761">
        <v>169.49</v>
      </c>
      <c r="BQ761" t="s">
        <v>1014</v>
      </c>
      <c r="BR761" t="s">
        <v>82</v>
      </c>
      <c r="BS761" t="s">
        <v>500</v>
      </c>
      <c r="BY761">
        <v>1200</v>
      </c>
      <c r="CC761" t="s">
        <v>533</v>
      </c>
      <c r="CD761">
        <v>7646</v>
      </c>
      <c r="CE761" t="s">
        <v>134</v>
      </c>
      <c r="CI761">
        <v>1</v>
      </c>
      <c r="CJ761" t="s">
        <v>500</v>
      </c>
      <c r="CK761">
        <v>23</v>
      </c>
      <c r="CL761" t="s">
        <v>87</v>
      </c>
    </row>
    <row r="762" spans="1:90" x14ac:dyDescent="0.3">
      <c r="A762" t="s">
        <v>72</v>
      </c>
      <c r="B762" t="s">
        <v>73</v>
      </c>
      <c r="C762" t="s">
        <v>74</v>
      </c>
      <c r="E762" t="str">
        <f>"080069701685"</f>
        <v>080069701685</v>
      </c>
      <c r="F762" s="3">
        <v>45996</v>
      </c>
      <c r="G762">
        <v>202609</v>
      </c>
      <c r="H762" t="s">
        <v>75</v>
      </c>
      <c r="I762" t="s">
        <v>76</v>
      </c>
      <c r="J762" t="s">
        <v>77</v>
      </c>
      <c r="K762" t="s">
        <v>78</v>
      </c>
      <c r="L762" t="s">
        <v>533</v>
      </c>
      <c r="M762" t="s">
        <v>533</v>
      </c>
      <c r="N762" t="s">
        <v>907</v>
      </c>
      <c r="O762" t="s">
        <v>89</v>
      </c>
      <c r="P762" t="str">
        <f>"4170072120                    "</f>
        <v xml:space="preserve">4170072120                    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0</v>
      </c>
      <c r="AG762">
        <v>0</v>
      </c>
      <c r="AH762">
        <v>0</v>
      </c>
      <c r="AI762">
        <v>0</v>
      </c>
      <c r="AJ762">
        <v>0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49.45</v>
      </c>
      <c r="AR762">
        <v>0</v>
      </c>
      <c r="AS762">
        <v>0</v>
      </c>
      <c r="AT762">
        <v>0</v>
      </c>
      <c r="AU762">
        <v>0</v>
      </c>
      <c r="AV762">
        <v>0</v>
      </c>
      <c r="AW762">
        <v>0</v>
      </c>
      <c r="AX762">
        <v>0</v>
      </c>
      <c r="AY762">
        <v>0</v>
      </c>
      <c r="AZ762">
        <v>0</v>
      </c>
      <c r="BA762">
        <v>0</v>
      </c>
      <c r="BB762">
        <v>0</v>
      </c>
      <c r="BC762">
        <v>0</v>
      </c>
      <c r="BD762">
        <v>0</v>
      </c>
      <c r="BE762">
        <v>0</v>
      </c>
      <c r="BF762">
        <v>0</v>
      </c>
      <c r="BG762">
        <v>0</v>
      </c>
      <c r="BH762">
        <v>1</v>
      </c>
      <c r="BI762">
        <v>2</v>
      </c>
      <c r="BJ762">
        <v>1.4</v>
      </c>
      <c r="BK762">
        <v>2</v>
      </c>
      <c r="BL762">
        <v>147.38</v>
      </c>
      <c r="BM762">
        <v>22.11</v>
      </c>
      <c r="BN762">
        <v>169.49</v>
      </c>
      <c r="BO762">
        <v>169.49</v>
      </c>
      <c r="BQ762" t="s">
        <v>908</v>
      </c>
      <c r="BR762" t="s">
        <v>82</v>
      </c>
      <c r="BS762" t="s">
        <v>500</v>
      </c>
      <c r="BY762">
        <v>7000</v>
      </c>
      <c r="CC762" t="s">
        <v>533</v>
      </c>
      <c r="CD762">
        <v>7654</v>
      </c>
      <c r="CE762" t="s">
        <v>86</v>
      </c>
      <c r="CI762">
        <v>1</v>
      </c>
      <c r="CJ762" t="s">
        <v>500</v>
      </c>
      <c r="CK762">
        <v>23</v>
      </c>
      <c r="CL762" t="s">
        <v>87</v>
      </c>
    </row>
    <row r="763" spans="1:90" x14ac:dyDescent="0.3">
      <c r="A763" t="s">
        <v>72</v>
      </c>
      <c r="B763" t="s">
        <v>73</v>
      </c>
      <c r="C763" t="s">
        <v>74</v>
      </c>
      <c r="E763" t="str">
        <f>"080069701720"</f>
        <v>080069701720</v>
      </c>
      <c r="F763" s="3">
        <v>45996</v>
      </c>
      <c r="G763">
        <v>202609</v>
      </c>
      <c r="H763" t="s">
        <v>75</v>
      </c>
      <c r="I763" t="s">
        <v>76</v>
      </c>
      <c r="J763" t="s">
        <v>77</v>
      </c>
      <c r="K763" t="s">
        <v>78</v>
      </c>
      <c r="L763" t="s">
        <v>156</v>
      </c>
      <c r="M763" t="s">
        <v>157</v>
      </c>
      <c r="N763" t="s">
        <v>1477</v>
      </c>
      <c r="O763" t="s">
        <v>89</v>
      </c>
      <c r="P763" t="str">
        <f>"4170072274                    "</f>
        <v xml:space="preserve">4170072274                    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0</v>
      </c>
      <c r="AF763">
        <v>0</v>
      </c>
      <c r="AG763">
        <v>0</v>
      </c>
      <c r="AH763">
        <v>0</v>
      </c>
      <c r="AI763">
        <v>0</v>
      </c>
      <c r="AJ763">
        <v>0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25.52</v>
      </c>
      <c r="AR763">
        <v>0</v>
      </c>
      <c r="AS763">
        <v>0</v>
      </c>
      <c r="AT763">
        <v>0</v>
      </c>
      <c r="AU763">
        <v>0</v>
      </c>
      <c r="AV763">
        <v>0</v>
      </c>
      <c r="AW763">
        <v>0</v>
      </c>
      <c r="AX763">
        <v>0</v>
      </c>
      <c r="AY763">
        <v>0</v>
      </c>
      <c r="AZ763">
        <v>0</v>
      </c>
      <c r="BA763">
        <v>0</v>
      </c>
      <c r="BB763">
        <v>0</v>
      </c>
      <c r="BC763">
        <v>0</v>
      </c>
      <c r="BD763">
        <v>0</v>
      </c>
      <c r="BE763">
        <v>0</v>
      </c>
      <c r="BF763">
        <v>0</v>
      </c>
      <c r="BG763">
        <v>0</v>
      </c>
      <c r="BH763">
        <v>1</v>
      </c>
      <c r="BI763">
        <v>1</v>
      </c>
      <c r="BJ763">
        <v>0.2</v>
      </c>
      <c r="BK763">
        <v>1</v>
      </c>
      <c r="BL763">
        <v>76.06</v>
      </c>
      <c r="BM763">
        <v>11.41</v>
      </c>
      <c r="BN763">
        <v>87.47</v>
      </c>
      <c r="BO763">
        <v>87.47</v>
      </c>
      <c r="BQ763" t="s">
        <v>1478</v>
      </c>
      <c r="BR763" t="s">
        <v>82</v>
      </c>
      <c r="BS763" t="s">
        <v>500</v>
      </c>
      <c r="BY763">
        <v>1200</v>
      </c>
      <c r="CC763" t="s">
        <v>157</v>
      </c>
      <c r="CD763">
        <v>7441</v>
      </c>
      <c r="CE763" t="s">
        <v>134</v>
      </c>
      <c r="CI763">
        <v>1</v>
      </c>
      <c r="CJ763" t="s">
        <v>500</v>
      </c>
      <c r="CK763">
        <v>21</v>
      </c>
      <c r="CL763" t="s">
        <v>87</v>
      </c>
    </row>
    <row r="764" spans="1:90" x14ac:dyDescent="0.3">
      <c r="A764" t="s">
        <v>72</v>
      </c>
      <c r="B764" t="s">
        <v>73</v>
      </c>
      <c r="C764" t="s">
        <v>74</v>
      </c>
      <c r="E764" t="str">
        <f>"080069701742"</f>
        <v>080069701742</v>
      </c>
      <c r="F764" s="3">
        <v>45996</v>
      </c>
      <c r="G764">
        <v>202609</v>
      </c>
      <c r="H764" t="s">
        <v>75</v>
      </c>
      <c r="I764" t="s">
        <v>76</v>
      </c>
      <c r="J764" t="s">
        <v>77</v>
      </c>
      <c r="K764" t="s">
        <v>78</v>
      </c>
      <c r="L764" t="s">
        <v>100</v>
      </c>
      <c r="M764" t="s">
        <v>101</v>
      </c>
      <c r="N764" t="s">
        <v>102</v>
      </c>
      <c r="O764" t="s">
        <v>89</v>
      </c>
      <c r="P764" t="str">
        <f>"4170072208                    "</f>
        <v xml:space="preserve">4170072208                    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  <c r="AG764">
        <v>0</v>
      </c>
      <c r="AH764">
        <v>0</v>
      </c>
      <c r="AI764">
        <v>0</v>
      </c>
      <c r="AJ764">
        <v>0</v>
      </c>
      <c r="AK764">
        <v>0</v>
      </c>
      <c r="AL764">
        <v>0</v>
      </c>
      <c r="AM764">
        <v>0</v>
      </c>
      <c r="AN764">
        <v>0</v>
      </c>
      <c r="AO764">
        <v>0</v>
      </c>
      <c r="AP764">
        <v>0</v>
      </c>
      <c r="AQ764">
        <v>25.52</v>
      </c>
      <c r="AR764">
        <v>0</v>
      </c>
      <c r="AS764">
        <v>0</v>
      </c>
      <c r="AT764">
        <v>0</v>
      </c>
      <c r="AU764">
        <v>0</v>
      </c>
      <c r="AV764">
        <v>0</v>
      </c>
      <c r="AW764">
        <v>0</v>
      </c>
      <c r="AX764">
        <v>0</v>
      </c>
      <c r="AY764">
        <v>0</v>
      </c>
      <c r="AZ764">
        <v>0</v>
      </c>
      <c r="BA764">
        <v>0</v>
      </c>
      <c r="BB764">
        <v>0</v>
      </c>
      <c r="BC764">
        <v>0</v>
      </c>
      <c r="BD764">
        <v>0</v>
      </c>
      <c r="BE764">
        <v>0</v>
      </c>
      <c r="BF764">
        <v>0</v>
      </c>
      <c r="BG764">
        <v>0</v>
      </c>
      <c r="BH764">
        <v>1</v>
      </c>
      <c r="BI764">
        <v>1</v>
      </c>
      <c r="BJ764">
        <v>0.2</v>
      </c>
      <c r="BK764">
        <v>1</v>
      </c>
      <c r="BL764">
        <v>76.06</v>
      </c>
      <c r="BM764">
        <v>11.41</v>
      </c>
      <c r="BN764">
        <v>87.47</v>
      </c>
      <c r="BO764">
        <v>87.47</v>
      </c>
      <c r="BQ764" t="s">
        <v>103</v>
      </c>
      <c r="BR764" t="s">
        <v>82</v>
      </c>
      <c r="BS764" s="3">
        <v>45999</v>
      </c>
      <c r="BT764" s="4">
        <v>0.33541666666666664</v>
      </c>
      <c r="BU764" t="s">
        <v>1479</v>
      </c>
      <c r="BV764" t="s">
        <v>84</v>
      </c>
      <c r="BY764">
        <v>1200</v>
      </c>
      <c r="CA764" t="s">
        <v>107</v>
      </c>
      <c r="CC764" t="s">
        <v>101</v>
      </c>
      <c r="CD764">
        <v>4000</v>
      </c>
      <c r="CE764" t="s">
        <v>134</v>
      </c>
      <c r="CI764">
        <v>1</v>
      </c>
      <c r="CJ764">
        <v>1</v>
      </c>
      <c r="CK764">
        <v>21</v>
      </c>
      <c r="CL764" t="s">
        <v>87</v>
      </c>
    </row>
    <row r="765" spans="1:90" x14ac:dyDescent="0.3">
      <c r="A765" t="s">
        <v>72</v>
      </c>
      <c r="B765" t="s">
        <v>73</v>
      </c>
      <c r="C765" t="s">
        <v>74</v>
      </c>
      <c r="E765" t="str">
        <f>"080069701790"</f>
        <v>080069701790</v>
      </c>
      <c r="F765" s="3">
        <v>45996</v>
      </c>
      <c r="G765">
        <v>202609</v>
      </c>
      <c r="H765" t="s">
        <v>75</v>
      </c>
      <c r="I765" t="s">
        <v>76</v>
      </c>
      <c r="J765" t="s">
        <v>77</v>
      </c>
      <c r="K765" t="s">
        <v>78</v>
      </c>
      <c r="L765" t="s">
        <v>685</v>
      </c>
      <c r="M765" t="s">
        <v>686</v>
      </c>
      <c r="N765" t="s">
        <v>687</v>
      </c>
      <c r="O765" t="s">
        <v>89</v>
      </c>
      <c r="P765" t="str">
        <f>"4170072235                    "</f>
        <v xml:space="preserve">4170072235                    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0</v>
      </c>
      <c r="AG765">
        <v>0</v>
      </c>
      <c r="AH765">
        <v>0</v>
      </c>
      <c r="AI765">
        <v>0</v>
      </c>
      <c r="AJ765">
        <v>0</v>
      </c>
      <c r="AK765">
        <v>0</v>
      </c>
      <c r="AL765">
        <v>0</v>
      </c>
      <c r="AM765">
        <v>0</v>
      </c>
      <c r="AN765">
        <v>0</v>
      </c>
      <c r="AO765">
        <v>0</v>
      </c>
      <c r="AP765">
        <v>0</v>
      </c>
      <c r="AQ765">
        <v>35.9</v>
      </c>
      <c r="AR765">
        <v>0</v>
      </c>
      <c r="AS765">
        <v>0</v>
      </c>
      <c r="AT765">
        <v>0</v>
      </c>
      <c r="AU765">
        <v>0</v>
      </c>
      <c r="AV765">
        <v>0</v>
      </c>
      <c r="AW765">
        <v>0</v>
      </c>
      <c r="AX765">
        <v>0</v>
      </c>
      <c r="AY765">
        <v>0</v>
      </c>
      <c r="AZ765">
        <v>0</v>
      </c>
      <c r="BA765">
        <v>0</v>
      </c>
      <c r="BB765">
        <v>0</v>
      </c>
      <c r="BC765">
        <v>0</v>
      </c>
      <c r="BD765">
        <v>0</v>
      </c>
      <c r="BE765">
        <v>0</v>
      </c>
      <c r="BF765">
        <v>0</v>
      </c>
      <c r="BG765">
        <v>0</v>
      </c>
      <c r="BH765">
        <v>1</v>
      </c>
      <c r="BI765">
        <v>2</v>
      </c>
      <c r="BJ765">
        <v>1.1000000000000001</v>
      </c>
      <c r="BK765">
        <v>2</v>
      </c>
      <c r="BL765">
        <v>106.98</v>
      </c>
      <c r="BM765">
        <v>16.05</v>
      </c>
      <c r="BN765">
        <v>123.03</v>
      </c>
      <c r="BO765">
        <v>123.03</v>
      </c>
      <c r="BQ765" t="s">
        <v>688</v>
      </c>
      <c r="BR765" t="s">
        <v>82</v>
      </c>
      <c r="BS765" t="s">
        <v>500</v>
      </c>
      <c r="BY765">
        <v>5510</v>
      </c>
      <c r="CC765" t="s">
        <v>686</v>
      </c>
      <c r="CD765">
        <v>1759</v>
      </c>
      <c r="CE765" t="s">
        <v>86</v>
      </c>
      <c r="CI765">
        <v>1</v>
      </c>
      <c r="CJ765" t="s">
        <v>500</v>
      </c>
      <c r="CK765">
        <v>24</v>
      </c>
      <c r="CL765" t="s">
        <v>87</v>
      </c>
    </row>
    <row r="766" spans="1:90" x14ac:dyDescent="0.3">
      <c r="A766" t="s">
        <v>72</v>
      </c>
      <c r="B766" t="s">
        <v>73</v>
      </c>
      <c r="C766" t="s">
        <v>74</v>
      </c>
      <c r="E766" t="str">
        <f>"080069701793"</f>
        <v>080069701793</v>
      </c>
      <c r="F766" s="3">
        <v>45996</v>
      </c>
      <c r="G766">
        <v>202609</v>
      </c>
      <c r="H766" t="s">
        <v>75</v>
      </c>
      <c r="I766" t="s">
        <v>76</v>
      </c>
      <c r="J766" t="s">
        <v>77</v>
      </c>
      <c r="K766" t="s">
        <v>78</v>
      </c>
      <c r="L766" t="s">
        <v>302</v>
      </c>
      <c r="M766" t="s">
        <v>303</v>
      </c>
      <c r="N766" t="s">
        <v>870</v>
      </c>
      <c r="O766" t="s">
        <v>89</v>
      </c>
      <c r="P766" t="str">
        <f>"4170072191                    "</f>
        <v xml:space="preserve">4170072191                    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0</v>
      </c>
      <c r="AG766">
        <v>0</v>
      </c>
      <c r="AH766">
        <v>0</v>
      </c>
      <c r="AI766">
        <v>0</v>
      </c>
      <c r="AJ766">
        <v>0</v>
      </c>
      <c r="AK766">
        <v>0</v>
      </c>
      <c r="AL766">
        <v>0</v>
      </c>
      <c r="AM766">
        <v>0</v>
      </c>
      <c r="AN766">
        <v>0</v>
      </c>
      <c r="AO766">
        <v>0</v>
      </c>
      <c r="AP766">
        <v>0</v>
      </c>
      <c r="AQ766">
        <v>25.52</v>
      </c>
      <c r="AR766">
        <v>0</v>
      </c>
      <c r="AS766">
        <v>0</v>
      </c>
      <c r="AT766">
        <v>0</v>
      </c>
      <c r="AU766">
        <v>0</v>
      </c>
      <c r="AV766">
        <v>0</v>
      </c>
      <c r="AW766">
        <v>0</v>
      </c>
      <c r="AX766">
        <v>0</v>
      </c>
      <c r="AY766">
        <v>0</v>
      </c>
      <c r="AZ766">
        <v>0</v>
      </c>
      <c r="BA766">
        <v>0</v>
      </c>
      <c r="BB766">
        <v>0</v>
      </c>
      <c r="BC766">
        <v>0</v>
      </c>
      <c r="BD766">
        <v>0</v>
      </c>
      <c r="BE766">
        <v>0</v>
      </c>
      <c r="BF766">
        <v>0</v>
      </c>
      <c r="BG766">
        <v>0</v>
      </c>
      <c r="BH766">
        <v>1</v>
      </c>
      <c r="BI766">
        <v>1</v>
      </c>
      <c r="BJ766">
        <v>0.2</v>
      </c>
      <c r="BK766">
        <v>1</v>
      </c>
      <c r="BL766">
        <v>76.06</v>
      </c>
      <c r="BM766">
        <v>11.41</v>
      </c>
      <c r="BN766">
        <v>87.47</v>
      </c>
      <c r="BO766">
        <v>87.47</v>
      </c>
      <c r="BQ766" t="s">
        <v>871</v>
      </c>
      <c r="BR766" t="s">
        <v>82</v>
      </c>
      <c r="BS766" t="s">
        <v>500</v>
      </c>
      <c r="BY766">
        <v>1200</v>
      </c>
      <c r="CC766" t="s">
        <v>303</v>
      </c>
      <c r="CD766" s="5" t="s">
        <v>307</v>
      </c>
      <c r="CE766" t="s">
        <v>134</v>
      </c>
      <c r="CI766">
        <v>1</v>
      </c>
      <c r="CJ766" t="s">
        <v>500</v>
      </c>
      <c r="CK766">
        <v>21</v>
      </c>
      <c r="CL766" t="s">
        <v>87</v>
      </c>
    </row>
    <row r="767" spans="1:90" x14ac:dyDescent="0.3">
      <c r="A767" t="s">
        <v>72</v>
      </c>
      <c r="B767" t="s">
        <v>73</v>
      </c>
      <c r="C767" t="s">
        <v>74</v>
      </c>
      <c r="E767" t="str">
        <f>"080069701856"</f>
        <v>080069701856</v>
      </c>
      <c r="F767" s="3">
        <v>45996</v>
      </c>
      <c r="G767">
        <v>202609</v>
      </c>
      <c r="H767" t="s">
        <v>75</v>
      </c>
      <c r="I767" t="s">
        <v>76</v>
      </c>
      <c r="J767" t="s">
        <v>77</v>
      </c>
      <c r="K767" t="s">
        <v>78</v>
      </c>
      <c r="L767" t="s">
        <v>208</v>
      </c>
      <c r="M767" t="s">
        <v>209</v>
      </c>
      <c r="N767" t="s">
        <v>1480</v>
      </c>
      <c r="O767" t="s">
        <v>89</v>
      </c>
      <c r="P767" t="str">
        <f>"4170072099                    "</f>
        <v xml:space="preserve">4170072099                    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  <c r="AG767">
        <v>0</v>
      </c>
      <c r="AH767">
        <v>0</v>
      </c>
      <c r="AI767">
        <v>0</v>
      </c>
      <c r="AJ767">
        <v>0</v>
      </c>
      <c r="AK767">
        <v>0</v>
      </c>
      <c r="AL767">
        <v>0</v>
      </c>
      <c r="AM767">
        <v>0</v>
      </c>
      <c r="AN767">
        <v>0</v>
      </c>
      <c r="AO767">
        <v>0</v>
      </c>
      <c r="AP767">
        <v>0</v>
      </c>
      <c r="AQ767">
        <v>25.52</v>
      </c>
      <c r="AR767">
        <v>0</v>
      </c>
      <c r="AS767">
        <v>0</v>
      </c>
      <c r="AT767">
        <v>0</v>
      </c>
      <c r="AU767">
        <v>0</v>
      </c>
      <c r="AV767">
        <v>0</v>
      </c>
      <c r="AW767">
        <v>0</v>
      </c>
      <c r="AX767">
        <v>0</v>
      </c>
      <c r="AY767">
        <v>0</v>
      </c>
      <c r="AZ767">
        <v>0</v>
      </c>
      <c r="BA767">
        <v>0</v>
      </c>
      <c r="BB767">
        <v>0</v>
      </c>
      <c r="BC767">
        <v>0</v>
      </c>
      <c r="BD767">
        <v>0</v>
      </c>
      <c r="BE767">
        <v>0</v>
      </c>
      <c r="BF767">
        <v>0</v>
      </c>
      <c r="BG767">
        <v>0</v>
      </c>
      <c r="BH767">
        <v>1</v>
      </c>
      <c r="BI767">
        <v>1</v>
      </c>
      <c r="BJ767">
        <v>0.2</v>
      </c>
      <c r="BK767">
        <v>1</v>
      </c>
      <c r="BL767">
        <v>76.06</v>
      </c>
      <c r="BM767">
        <v>11.41</v>
      </c>
      <c r="BN767">
        <v>87.47</v>
      </c>
      <c r="BO767">
        <v>87.47</v>
      </c>
      <c r="BQ767" t="s">
        <v>1481</v>
      </c>
      <c r="BR767" t="s">
        <v>82</v>
      </c>
      <c r="BS767" t="s">
        <v>500</v>
      </c>
      <c r="BY767">
        <v>1200</v>
      </c>
      <c r="CC767" t="s">
        <v>209</v>
      </c>
      <c r="CD767" s="5" t="s">
        <v>213</v>
      </c>
      <c r="CE767" t="s">
        <v>134</v>
      </c>
      <c r="CI767">
        <v>1</v>
      </c>
      <c r="CJ767" t="s">
        <v>500</v>
      </c>
      <c r="CK767">
        <v>21</v>
      </c>
      <c r="CL767" t="s">
        <v>87</v>
      </c>
    </row>
    <row r="768" spans="1:90" x14ac:dyDescent="0.3">
      <c r="A768" t="s">
        <v>72</v>
      </c>
      <c r="B768" t="s">
        <v>73</v>
      </c>
      <c r="C768" t="s">
        <v>74</v>
      </c>
      <c r="E768" t="str">
        <f>"080069701876"</f>
        <v>080069701876</v>
      </c>
      <c r="F768" s="3">
        <v>45996</v>
      </c>
      <c r="G768">
        <v>202609</v>
      </c>
      <c r="H768" t="s">
        <v>75</v>
      </c>
      <c r="I768" t="s">
        <v>76</v>
      </c>
      <c r="J768" t="s">
        <v>77</v>
      </c>
      <c r="K768" t="s">
        <v>78</v>
      </c>
      <c r="L768" t="s">
        <v>141</v>
      </c>
      <c r="M768" t="s">
        <v>142</v>
      </c>
      <c r="N768" t="s">
        <v>731</v>
      </c>
      <c r="O768" t="s">
        <v>89</v>
      </c>
      <c r="P768" t="str">
        <f>"4170072119                    "</f>
        <v xml:space="preserve">4170072119                    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0</v>
      </c>
      <c r="AG768">
        <v>0</v>
      </c>
      <c r="AH768">
        <v>0</v>
      </c>
      <c r="AI768">
        <v>0</v>
      </c>
      <c r="AJ768">
        <v>0</v>
      </c>
      <c r="AK768">
        <v>0</v>
      </c>
      <c r="AL768">
        <v>0</v>
      </c>
      <c r="AM768">
        <v>0</v>
      </c>
      <c r="AN768">
        <v>0</v>
      </c>
      <c r="AO768">
        <v>0</v>
      </c>
      <c r="AP768">
        <v>0</v>
      </c>
      <c r="AQ768">
        <v>25.52</v>
      </c>
      <c r="AR768">
        <v>0</v>
      </c>
      <c r="AS768">
        <v>0</v>
      </c>
      <c r="AT768">
        <v>0</v>
      </c>
      <c r="AU768">
        <v>0</v>
      </c>
      <c r="AV768">
        <v>0</v>
      </c>
      <c r="AW768">
        <v>0</v>
      </c>
      <c r="AX768">
        <v>0</v>
      </c>
      <c r="AY768">
        <v>0</v>
      </c>
      <c r="AZ768">
        <v>0</v>
      </c>
      <c r="BA768">
        <v>0</v>
      </c>
      <c r="BB768">
        <v>0</v>
      </c>
      <c r="BC768">
        <v>0</v>
      </c>
      <c r="BD768">
        <v>0</v>
      </c>
      <c r="BE768">
        <v>0</v>
      </c>
      <c r="BF768">
        <v>0</v>
      </c>
      <c r="BG768">
        <v>0</v>
      </c>
      <c r="BH768">
        <v>1</v>
      </c>
      <c r="BI768">
        <v>1</v>
      </c>
      <c r="BJ768">
        <v>0.2</v>
      </c>
      <c r="BK768">
        <v>1</v>
      </c>
      <c r="BL768">
        <v>76.06</v>
      </c>
      <c r="BM768">
        <v>11.41</v>
      </c>
      <c r="BN768">
        <v>87.47</v>
      </c>
      <c r="BO768">
        <v>87.47</v>
      </c>
      <c r="BQ768" t="s">
        <v>732</v>
      </c>
      <c r="BR768" t="s">
        <v>82</v>
      </c>
      <c r="BS768" t="s">
        <v>500</v>
      </c>
      <c r="BY768">
        <v>1200</v>
      </c>
      <c r="CC768" t="s">
        <v>142</v>
      </c>
      <c r="CD768">
        <v>6001</v>
      </c>
      <c r="CE768" t="s">
        <v>134</v>
      </c>
      <c r="CI768">
        <v>1</v>
      </c>
      <c r="CJ768" t="s">
        <v>500</v>
      </c>
      <c r="CK768">
        <v>21</v>
      </c>
      <c r="CL768" t="s">
        <v>87</v>
      </c>
    </row>
    <row r="769" spans="1:90" x14ac:dyDescent="0.3">
      <c r="A769" t="s">
        <v>72</v>
      </c>
      <c r="B769" t="s">
        <v>73</v>
      </c>
      <c r="C769" t="s">
        <v>74</v>
      </c>
      <c r="E769" t="str">
        <f>"080069701905"</f>
        <v>080069701905</v>
      </c>
      <c r="F769" s="3">
        <v>45996</v>
      </c>
      <c r="G769">
        <v>202609</v>
      </c>
      <c r="H769" t="s">
        <v>75</v>
      </c>
      <c r="I769" t="s">
        <v>76</v>
      </c>
      <c r="J769" t="s">
        <v>77</v>
      </c>
      <c r="K769" t="s">
        <v>78</v>
      </c>
      <c r="L769" t="s">
        <v>128</v>
      </c>
      <c r="M769" t="s">
        <v>129</v>
      </c>
      <c r="N769" t="s">
        <v>383</v>
      </c>
      <c r="O769" t="s">
        <v>89</v>
      </c>
      <c r="P769" t="str">
        <f>"4170072113                    "</f>
        <v xml:space="preserve">4170072113                    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  <c r="AF769">
        <v>0</v>
      </c>
      <c r="AG769">
        <v>0</v>
      </c>
      <c r="AH769">
        <v>0</v>
      </c>
      <c r="AI769">
        <v>0</v>
      </c>
      <c r="AJ769">
        <v>0</v>
      </c>
      <c r="AK769">
        <v>0</v>
      </c>
      <c r="AL769">
        <v>0</v>
      </c>
      <c r="AM769">
        <v>0</v>
      </c>
      <c r="AN769">
        <v>0</v>
      </c>
      <c r="AO769">
        <v>0</v>
      </c>
      <c r="AP769">
        <v>0</v>
      </c>
      <c r="AQ769">
        <v>25.52</v>
      </c>
      <c r="AR769">
        <v>0</v>
      </c>
      <c r="AS769">
        <v>0</v>
      </c>
      <c r="AT769">
        <v>0</v>
      </c>
      <c r="AU769">
        <v>0</v>
      </c>
      <c r="AV769">
        <v>0</v>
      </c>
      <c r="AW769">
        <v>0</v>
      </c>
      <c r="AX769">
        <v>0</v>
      </c>
      <c r="AY769">
        <v>0</v>
      </c>
      <c r="AZ769">
        <v>0</v>
      </c>
      <c r="BA769">
        <v>0</v>
      </c>
      <c r="BB769">
        <v>0</v>
      </c>
      <c r="BC769">
        <v>0</v>
      </c>
      <c r="BD769">
        <v>0</v>
      </c>
      <c r="BE769">
        <v>0</v>
      </c>
      <c r="BF769">
        <v>0</v>
      </c>
      <c r="BG769">
        <v>0</v>
      </c>
      <c r="BH769">
        <v>1</v>
      </c>
      <c r="BI769">
        <v>1</v>
      </c>
      <c r="BJ769">
        <v>0.2</v>
      </c>
      <c r="BK769">
        <v>1</v>
      </c>
      <c r="BL769">
        <v>76.06</v>
      </c>
      <c r="BM769">
        <v>11.41</v>
      </c>
      <c r="BN769">
        <v>87.47</v>
      </c>
      <c r="BO769">
        <v>87.47</v>
      </c>
      <c r="BQ769" t="s">
        <v>384</v>
      </c>
      <c r="BR769" t="s">
        <v>82</v>
      </c>
      <c r="BS769" t="s">
        <v>500</v>
      </c>
      <c r="BY769">
        <v>1200</v>
      </c>
      <c r="CC769" t="s">
        <v>129</v>
      </c>
      <c r="CD769">
        <v>5201</v>
      </c>
      <c r="CE769" t="s">
        <v>134</v>
      </c>
      <c r="CI769">
        <v>1</v>
      </c>
      <c r="CJ769" t="s">
        <v>500</v>
      </c>
      <c r="CK769">
        <v>21</v>
      </c>
      <c r="CL769" t="s">
        <v>87</v>
      </c>
    </row>
    <row r="770" spans="1:90" x14ac:dyDescent="0.3">
      <c r="A770" t="s">
        <v>72</v>
      </c>
      <c r="B770" t="s">
        <v>73</v>
      </c>
      <c r="C770" t="s">
        <v>74</v>
      </c>
      <c r="E770" t="str">
        <f>"080069702010"</f>
        <v>080069702010</v>
      </c>
      <c r="F770" s="3">
        <v>45996</v>
      </c>
      <c r="G770">
        <v>202609</v>
      </c>
      <c r="H770" t="s">
        <v>75</v>
      </c>
      <c r="I770" t="s">
        <v>76</v>
      </c>
      <c r="J770" t="s">
        <v>77</v>
      </c>
      <c r="K770" t="s">
        <v>78</v>
      </c>
      <c r="L770" t="s">
        <v>100</v>
      </c>
      <c r="M770" t="s">
        <v>101</v>
      </c>
      <c r="N770" t="s">
        <v>1482</v>
      </c>
      <c r="O770" t="s">
        <v>89</v>
      </c>
      <c r="P770" t="str">
        <f>"4170072221                    "</f>
        <v xml:space="preserve">4170072221                    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  <c r="AF770">
        <v>0</v>
      </c>
      <c r="AG770">
        <v>0</v>
      </c>
      <c r="AH770">
        <v>0</v>
      </c>
      <c r="AI770">
        <v>0</v>
      </c>
      <c r="AJ770">
        <v>0</v>
      </c>
      <c r="AK770">
        <v>0</v>
      </c>
      <c r="AL770">
        <v>0</v>
      </c>
      <c r="AM770">
        <v>0</v>
      </c>
      <c r="AN770">
        <v>0</v>
      </c>
      <c r="AO770">
        <v>0</v>
      </c>
      <c r="AP770">
        <v>0</v>
      </c>
      <c r="AQ770">
        <v>25.52</v>
      </c>
      <c r="AR770">
        <v>0</v>
      </c>
      <c r="AS770">
        <v>0</v>
      </c>
      <c r="AT770">
        <v>0</v>
      </c>
      <c r="AU770">
        <v>0</v>
      </c>
      <c r="AV770">
        <v>0</v>
      </c>
      <c r="AW770">
        <v>0</v>
      </c>
      <c r="AX770">
        <v>0</v>
      </c>
      <c r="AY770">
        <v>0</v>
      </c>
      <c r="AZ770">
        <v>0</v>
      </c>
      <c r="BA770">
        <v>0</v>
      </c>
      <c r="BB770">
        <v>0</v>
      </c>
      <c r="BC770">
        <v>0</v>
      </c>
      <c r="BD770">
        <v>0</v>
      </c>
      <c r="BE770">
        <v>0</v>
      </c>
      <c r="BF770">
        <v>0</v>
      </c>
      <c r="BG770">
        <v>0</v>
      </c>
      <c r="BH770">
        <v>1</v>
      </c>
      <c r="BI770">
        <v>1</v>
      </c>
      <c r="BJ770">
        <v>0.2</v>
      </c>
      <c r="BK770">
        <v>1</v>
      </c>
      <c r="BL770">
        <v>76.06</v>
      </c>
      <c r="BM770">
        <v>11.41</v>
      </c>
      <c r="BN770">
        <v>87.47</v>
      </c>
      <c r="BO770">
        <v>87.47</v>
      </c>
      <c r="BQ770" t="s">
        <v>1483</v>
      </c>
      <c r="BR770" t="s">
        <v>82</v>
      </c>
      <c r="BS770" t="s">
        <v>500</v>
      </c>
      <c r="BY770">
        <v>1200</v>
      </c>
      <c r="CC770" t="s">
        <v>101</v>
      </c>
      <c r="CD770">
        <v>4052</v>
      </c>
      <c r="CE770" t="s">
        <v>134</v>
      </c>
      <c r="CI770">
        <v>1</v>
      </c>
      <c r="CJ770" t="s">
        <v>500</v>
      </c>
      <c r="CK770">
        <v>21</v>
      </c>
      <c r="CL770" t="s">
        <v>87</v>
      </c>
    </row>
    <row r="771" spans="1:90" x14ac:dyDescent="0.3">
      <c r="A771" t="s">
        <v>72</v>
      </c>
      <c r="B771" t="s">
        <v>73</v>
      </c>
      <c r="C771" t="s">
        <v>74</v>
      </c>
      <c r="E771" t="str">
        <f>"080069702055"</f>
        <v>080069702055</v>
      </c>
      <c r="F771" s="3">
        <v>45996</v>
      </c>
      <c r="G771">
        <v>202609</v>
      </c>
      <c r="H771" t="s">
        <v>75</v>
      </c>
      <c r="I771" t="s">
        <v>76</v>
      </c>
      <c r="J771" t="s">
        <v>77</v>
      </c>
      <c r="K771" t="s">
        <v>78</v>
      </c>
      <c r="L771" t="s">
        <v>533</v>
      </c>
      <c r="M771" t="s">
        <v>533</v>
      </c>
      <c r="N771" t="s">
        <v>695</v>
      </c>
      <c r="O771" t="s">
        <v>89</v>
      </c>
      <c r="P771" t="str">
        <f>"4170072052                    "</f>
        <v xml:space="preserve">4170072052                    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0</v>
      </c>
      <c r="AG771">
        <v>0</v>
      </c>
      <c r="AH771">
        <v>0</v>
      </c>
      <c r="AI771">
        <v>0</v>
      </c>
      <c r="AJ771">
        <v>0</v>
      </c>
      <c r="AK771">
        <v>0</v>
      </c>
      <c r="AL771">
        <v>0</v>
      </c>
      <c r="AM771">
        <v>0</v>
      </c>
      <c r="AN771">
        <v>0</v>
      </c>
      <c r="AO771">
        <v>0</v>
      </c>
      <c r="AP771">
        <v>0</v>
      </c>
      <c r="AQ771">
        <v>49.45</v>
      </c>
      <c r="AR771">
        <v>0</v>
      </c>
      <c r="AS771">
        <v>0</v>
      </c>
      <c r="AT771">
        <v>0</v>
      </c>
      <c r="AU771">
        <v>0</v>
      </c>
      <c r="AV771">
        <v>0</v>
      </c>
      <c r="AW771">
        <v>0</v>
      </c>
      <c r="AX771">
        <v>0</v>
      </c>
      <c r="AY771">
        <v>0</v>
      </c>
      <c r="AZ771">
        <v>0</v>
      </c>
      <c r="BA771">
        <v>0</v>
      </c>
      <c r="BB771">
        <v>0</v>
      </c>
      <c r="BC771">
        <v>0</v>
      </c>
      <c r="BD771">
        <v>0</v>
      </c>
      <c r="BE771">
        <v>0</v>
      </c>
      <c r="BF771">
        <v>0</v>
      </c>
      <c r="BG771">
        <v>0</v>
      </c>
      <c r="BH771">
        <v>1</v>
      </c>
      <c r="BI771">
        <v>1</v>
      </c>
      <c r="BJ771">
        <v>0.2</v>
      </c>
      <c r="BK771">
        <v>1</v>
      </c>
      <c r="BL771">
        <v>147.38</v>
      </c>
      <c r="BM771">
        <v>22.11</v>
      </c>
      <c r="BN771">
        <v>169.49</v>
      </c>
      <c r="BO771">
        <v>169.49</v>
      </c>
      <c r="BQ771" t="s">
        <v>696</v>
      </c>
      <c r="BR771" t="s">
        <v>82</v>
      </c>
      <c r="BS771" t="s">
        <v>500</v>
      </c>
      <c r="BY771">
        <v>1200</v>
      </c>
      <c r="CC771" t="s">
        <v>533</v>
      </c>
      <c r="CD771">
        <v>7645</v>
      </c>
      <c r="CE771" t="s">
        <v>134</v>
      </c>
      <c r="CI771">
        <v>1</v>
      </c>
      <c r="CJ771" t="s">
        <v>500</v>
      </c>
      <c r="CK771">
        <v>23</v>
      </c>
      <c r="CL771" t="s">
        <v>87</v>
      </c>
    </row>
    <row r="772" spans="1:90" x14ac:dyDescent="0.3">
      <c r="A772" t="s">
        <v>72</v>
      </c>
      <c r="B772" t="s">
        <v>73</v>
      </c>
      <c r="C772" t="s">
        <v>74</v>
      </c>
      <c r="E772" t="str">
        <f>"080069702090"</f>
        <v>080069702090</v>
      </c>
      <c r="F772" s="3">
        <v>45996</v>
      </c>
      <c r="G772">
        <v>202609</v>
      </c>
      <c r="H772" t="s">
        <v>75</v>
      </c>
      <c r="I772" t="s">
        <v>76</v>
      </c>
      <c r="J772" t="s">
        <v>77</v>
      </c>
      <c r="K772" t="s">
        <v>78</v>
      </c>
      <c r="L772" t="s">
        <v>128</v>
      </c>
      <c r="M772" t="s">
        <v>129</v>
      </c>
      <c r="N772" t="s">
        <v>383</v>
      </c>
      <c r="O772" t="s">
        <v>89</v>
      </c>
      <c r="P772" t="str">
        <f>"4170072065                    "</f>
        <v xml:space="preserve">4170072065                    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0</v>
      </c>
      <c r="AG772">
        <v>0</v>
      </c>
      <c r="AH772">
        <v>0</v>
      </c>
      <c r="AI772">
        <v>0</v>
      </c>
      <c r="AJ772">
        <v>0</v>
      </c>
      <c r="AK772">
        <v>0</v>
      </c>
      <c r="AL772">
        <v>0</v>
      </c>
      <c r="AM772">
        <v>0</v>
      </c>
      <c r="AN772">
        <v>0</v>
      </c>
      <c r="AO772">
        <v>0</v>
      </c>
      <c r="AP772">
        <v>0</v>
      </c>
      <c r="AQ772">
        <v>25.52</v>
      </c>
      <c r="AR772">
        <v>0</v>
      </c>
      <c r="AS772">
        <v>0</v>
      </c>
      <c r="AT772">
        <v>0</v>
      </c>
      <c r="AU772">
        <v>0</v>
      </c>
      <c r="AV772">
        <v>0</v>
      </c>
      <c r="AW772">
        <v>0</v>
      </c>
      <c r="AX772">
        <v>0</v>
      </c>
      <c r="AY772">
        <v>0</v>
      </c>
      <c r="AZ772">
        <v>0</v>
      </c>
      <c r="BA772">
        <v>0</v>
      </c>
      <c r="BB772">
        <v>0</v>
      </c>
      <c r="BC772">
        <v>0</v>
      </c>
      <c r="BD772">
        <v>0</v>
      </c>
      <c r="BE772">
        <v>0</v>
      </c>
      <c r="BF772">
        <v>0</v>
      </c>
      <c r="BG772">
        <v>0</v>
      </c>
      <c r="BH772">
        <v>1</v>
      </c>
      <c r="BI772">
        <v>1</v>
      </c>
      <c r="BJ772">
        <v>0.2</v>
      </c>
      <c r="BK772">
        <v>1</v>
      </c>
      <c r="BL772">
        <v>76.06</v>
      </c>
      <c r="BM772">
        <v>11.41</v>
      </c>
      <c r="BN772">
        <v>87.47</v>
      </c>
      <c r="BO772">
        <v>87.47</v>
      </c>
      <c r="BQ772" t="s">
        <v>384</v>
      </c>
      <c r="BR772" t="s">
        <v>82</v>
      </c>
      <c r="BS772" t="s">
        <v>500</v>
      </c>
      <c r="BY772">
        <v>1200</v>
      </c>
      <c r="CC772" t="s">
        <v>129</v>
      </c>
      <c r="CD772">
        <v>5201</v>
      </c>
      <c r="CE772" t="s">
        <v>134</v>
      </c>
      <c r="CI772">
        <v>1</v>
      </c>
      <c r="CJ772" t="s">
        <v>500</v>
      </c>
      <c r="CK772">
        <v>21</v>
      </c>
      <c r="CL772" t="s">
        <v>87</v>
      </c>
    </row>
    <row r="773" spans="1:90" x14ac:dyDescent="0.3">
      <c r="A773" t="s">
        <v>72</v>
      </c>
      <c r="B773" t="s">
        <v>73</v>
      </c>
      <c r="C773" t="s">
        <v>74</v>
      </c>
      <c r="E773" t="str">
        <f>"080069702139"</f>
        <v>080069702139</v>
      </c>
      <c r="F773" s="3">
        <v>45996</v>
      </c>
      <c r="G773">
        <v>202609</v>
      </c>
      <c r="H773" t="s">
        <v>75</v>
      </c>
      <c r="I773" t="s">
        <v>76</v>
      </c>
      <c r="J773" t="s">
        <v>77</v>
      </c>
      <c r="K773" t="s">
        <v>78</v>
      </c>
      <c r="L773" t="s">
        <v>208</v>
      </c>
      <c r="M773" t="s">
        <v>209</v>
      </c>
      <c r="N773" t="s">
        <v>1480</v>
      </c>
      <c r="O773" t="s">
        <v>89</v>
      </c>
      <c r="P773" t="str">
        <f>"4170072182                    "</f>
        <v xml:space="preserve">4170072182                    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  <c r="AG773">
        <v>0</v>
      </c>
      <c r="AH773">
        <v>0</v>
      </c>
      <c r="AI773">
        <v>0</v>
      </c>
      <c r="AJ773">
        <v>0</v>
      </c>
      <c r="AK773">
        <v>0</v>
      </c>
      <c r="AL773">
        <v>0</v>
      </c>
      <c r="AM773">
        <v>0</v>
      </c>
      <c r="AN773">
        <v>0</v>
      </c>
      <c r="AO773">
        <v>0</v>
      </c>
      <c r="AP773">
        <v>0</v>
      </c>
      <c r="AQ773">
        <v>25.52</v>
      </c>
      <c r="AR773">
        <v>0</v>
      </c>
      <c r="AS773">
        <v>0</v>
      </c>
      <c r="AT773">
        <v>0</v>
      </c>
      <c r="AU773">
        <v>0</v>
      </c>
      <c r="AV773">
        <v>0</v>
      </c>
      <c r="AW773">
        <v>0</v>
      </c>
      <c r="AX773">
        <v>0</v>
      </c>
      <c r="AY773">
        <v>0</v>
      </c>
      <c r="AZ773">
        <v>0</v>
      </c>
      <c r="BA773">
        <v>0</v>
      </c>
      <c r="BB773">
        <v>0</v>
      </c>
      <c r="BC773">
        <v>0</v>
      </c>
      <c r="BD773">
        <v>0</v>
      </c>
      <c r="BE773">
        <v>0</v>
      </c>
      <c r="BF773">
        <v>0</v>
      </c>
      <c r="BG773">
        <v>0</v>
      </c>
      <c r="BH773">
        <v>1</v>
      </c>
      <c r="BI773">
        <v>1</v>
      </c>
      <c r="BJ773">
        <v>0.2</v>
      </c>
      <c r="BK773">
        <v>1</v>
      </c>
      <c r="BL773">
        <v>76.06</v>
      </c>
      <c r="BM773">
        <v>11.41</v>
      </c>
      <c r="BN773">
        <v>87.47</v>
      </c>
      <c r="BO773">
        <v>87.47</v>
      </c>
      <c r="BQ773" t="s">
        <v>1481</v>
      </c>
      <c r="BR773" t="s">
        <v>82</v>
      </c>
      <c r="BS773" t="s">
        <v>500</v>
      </c>
      <c r="BY773">
        <v>1200</v>
      </c>
      <c r="CC773" t="s">
        <v>209</v>
      </c>
      <c r="CD773" s="5" t="s">
        <v>213</v>
      </c>
      <c r="CE773" t="s">
        <v>134</v>
      </c>
      <c r="CI773">
        <v>1</v>
      </c>
      <c r="CJ773" t="s">
        <v>500</v>
      </c>
      <c r="CK773">
        <v>21</v>
      </c>
      <c r="CL773" t="s">
        <v>87</v>
      </c>
    </row>
    <row r="774" spans="1:90" x14ac:dyDescent="0.3">
      <c r="A774" t="s">
        <v>72</v>
      </c>
      <c r="B774" t="s">
        <v>73</v>
      </c>
      <c r="C774" t="s">
        <v>74</v>
      </c>
      <c r="E774" t="str">
        <f>"080069702187"</f>
        <v>080069702187</v>
      </c>
      <c r="F774" s="3">
        <v>45996</v>
      </c>
      <c r="G774">
        <v>202609</v>
      </c>
      <c r="H774" t="s">
        <v>75</v>
      </c>
      <c r="I774" t="s">
        <v>76</v>
      </c>
      <c r="J774" t="s">
        <v>77</v>
      </c>
      <c r="K774" t="s">
        <v>78</v>
      </c>
      <c r="L774" t="s">
        <v>94</v>
      </c>
      <c r="M774" t="s">
        <v>95</v>
      </c>
      <c r="N774" t="s">
        <v>1484</v>
      </c>
      <c r="O774" t="s">
        <v>89</v>
      </c>
      <c r="P774" t="str">
        <f>"4170072128                    "</f>
        <v xml:space="preserve">4170072128                    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  <c r="AI774">
        <v>0</v>
      </c>
      <c r="AJ774">
        <v>0</v>
      </c>
      <c r="AK774">
        <v>0</v>
      </c>
      <c r="AL774">
        <v>0</v>
      </c>
      <c r="AM774">
        <v>0</v>
      </c>
      <c r="AN774">
        <v>0</v>
      </c>
      <c r="AO774">
        <v>0</v>
      </c>
      <c r="AP774">
        <v>0</v>
      </c>
      <c r="AQ774">
        <v>25.52</v>
      </c>
      <c r="AR774">
        <v>0</v>
      </c>
      <c r="AS774">
        <v>0</v>
      </c>
      <c r="AT774">
        <v>0</v>
      </c>
      <c r="AU774">
        <v>0</v>
      </c>
      <c r="AV774">
        <v>0</v>
      </c>
      <c r="AW774">
        <v>0</v>
      </c>
      <c r="AX774">
        <v>0</v>
      </c>
      <c r="AY774">
        <v>0</v>
      </c>
      <c r="AZ774">
        <v>0</v>
      </c>
      <c r="BA774">
        <v>0</v>
      </c>
      <c r="BB774">
        <v>0</v>
      </c>
      <c r="BC774">
        <v>0</v>
      </c>
      <c r="BD774">
        <v>0</v>
      </c>
      <c r="BE774">
        <v>0</v>
      </c>
      <c r="BF774">
        <v>0</v>
      </c>
      <c r="BG774">
        <v>0</v>
      </c>
      <c r="BH774">
        <v>1</v>
      </c>
      <c r="BI774">
        <v>1</v>
      </c>
      <c r="BJ774">
        <v>0.2</v>
      </c>
      <c r="BK774">
        <v>1</v>
      </c>
      <c r="BL774">
        <v>76.06</v>
      </c>
      <c r="BM774">
        <v>11.41</v>
      </c>
      <c r="BN774">
        <v>87.47</v>
      </c>
      <c r="BO774">
        <v>87.47</v>
      </c>
      <c r="BQ774" t="s">
        <v>1485</v>
      </c>
      <c r="BR774" t="s">
        <v>82</v>
      </c>
      <c r="BS774" s="3">
        <v>45999</v>
      </c>
      <c r="BT774" s="4">
        <v>0.34305555555555556</v>
      </c>
      <c r="BU774" t="s">
        <v>1486</v>
      </c>
      <c r="BV774" t="s">
        <v>84</v>
      </c>
      <c r="BY774">
        <v>1200</v>
      </c>
      <c r="CA774" t="s">
        <v>912</v>
      </c>
      <c r="CC774" t="s">
        <v>95</v>
      </c>
      <c r="CD774">
        <v>3610</v>
      </c>
      <c r="CE774" t="s">
        <v>134</v>
      </c>
      <c r="CI774">
        <v>1</v>
      </c>
      <c r="CJ774">
        <v>1</v>
      </c>
      <c r="CK774">
        <v>21</v>
      </c>
      <c r="CL774" t="s">
        <v>87</v>
      </c>
    </row>
    <row r="775" spans="1:90" x14ac:dyDescent="0.3">
      <c r="A775" t="s">
        <v>72</v>
      </c>
      <c r="B775" t="s">
        <v>73</v>
      </c>
      <c r="C775" t="s">
        <v>74</v>
      </c>
      <c r="E775" t="str">
        <f>"080069702195"</f>
        <v>080069702195</v>
      </c>
      <c r="F775" s="3">
        <v>45996</v>
      </c>
      <c r="G775">
        <v>202609</v>
      </c>
      <c r="H775" t="s">
        <v>75</v>
      </c>
      <c r="I775" t="s">
        <v>76</v>
      </c>
      <c r="J775" t="s">
        <v>77</v>
      </c>
      <c r="K775" t="s">
        <v>78</v>
      </c>
      <c r="L775" t="s">
        <v>156</v>
      </c>
      <c r="M775" t="s">
        <v>157</v>
      </c>
      <c r="N775" t="s">
        <v>443</v>
      </c>
      <c r="O775" t="s">
        <v>89</v>
      </c>
      <c r="P775" t="str">
        <f>"4170072226                    "</f>
        <v xml:space="preserve">4170072226                    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0</v>
      </c>
      <c r="AG775">
        <v>0</v>
      </c>
      <c r="AH775">
        <v>0</v>
      </c>
      <c r="AI775">
        <v>0</v>
      </c>
      <c r="AJ775">
        <v>0</v>
      </c>
      <c r="AK775">
        <v>0</v>
      </c>
      <c r="AL775">
        <v>0</v>
      </c>
      <c r="AM775">
        <v>0</v>
      </c>
      <c r="AN775">
        <v>0</v>
      </c>
      <c r="AO775">
        <v>0</v>
      </c>
      <c r="AP775">
        <v>0</v>
      </c>
      <c r="AQ775">
        <v>25.52</v>
      </c>
      <c r="AR775">
        <v>0</v>
      </c>
      <c r="AS775">
        <v>0</v>
      </c>
      <c r="AT775">
        <v>0</v>
      </c>
      <c r="AU775">
        <v>0</v>
      </c>
      <c r="AV775">
        <v>0</v>
      </c>
      <c r="AW775">
        <v>0</v>
      </c>
      <c r="AX775">
        <v>0</v>
      </c>
      <c r="AY775">
        <v>0</v>
      </c>
      <c r="AZ775">
        <v>0</v>
      </c>
      <c r="BA775">
        <v>0</v>
      </c>
      <c r="BB775">
        <v>0</v>
      </c>
      <c r="BC775">
        <v>0</v>
      </c>
      <c r="BD775">
        <v>0</v>
      </c>
      <c r="BE775">
        <v>0</v>
      </c>
      <c r="BF775">
        <v>0</v>
      </c>
      <c r="BG775">
        <v>0</v>
      </c>
      <c r="BH775">
        <v>1</v>
      </c>
      <c r="BI775">
        <v>1</v>
      </c>
      <c r="BJ775">
        <v>0.2</v>
      </c>
      <c r="BK775">
        <v>1</v>
      </c>
      <c r="BL775">
        <v>76.06</v>
      </c>
      <c r="BM775">
        <v>11.41</v>
      </c>
      <c r="BN775">
        <v>87.47</v>
      </c>
      <c r="BO775">
        <v>87.47</v>
      </c>
      <c r="BQ775" t="s">
        <v>444</v>
      </c>
      <c r="BR775" t="s">
        <v>82</v>
      </c>
      <c r="BS775" t="s">
        <v>500</v>
      </c>
      <c r="BY775">
        <v>1200</v>
      </c>
      <c r="CC775" t="s">
        <v>157</v>
      </c>
      <c r="CD775">
        <v>7530</v>
      </c>
      <c r="CE775" t="s">
        <v>134</v>
      </c>
      <c r="CI775">
        <v>1</v>
      </c>
      <c r="CJ775" t="s">
        <v>500</v>
      </c>
      <c r="CK775">
        <v>21</v>
      </c>
      <c r="CL775" t="s">
        <v>87</v>
      </c>
    </row>
    <row r="776" spans="1:90" x14ac:dyDescent="0.3">
      <c r="A776" t="s">
        <v>72</v>
      </c>
      <c r="B776" t="s">
        <v>73</v>
      </c>
      <c r="C776" t="s">
        <v>74</v>
      </c>
      <c r="E776" t="str">
        <f>"080069702233"</f>
        <v>080069702233</v>
      </c>
      <c r="F776" s="3">
        <v>45996</v>
      </c>
      <c r="G776">
        <v>202609</v>
      </c>
      <c r="H776" t="s">
        <v>75</v>
      </c>
      <c r="I776" t="s">
        <v>76</v>
      </c>
      <c r="J776" t="s">
        <v>77</v>
      </c>
      <c r="K776" t="s">
        <v>78</v>
      </c>
      <c r="L776" t="s">
        <v>176</v>
      </c>
      <c r="M776" t="s">
        <v>177</v>
      </c>
      <c r="N776" t="s">
        <v>1487</v>
      </c>
      <c r="O776" t="s">
        <v>80</v>
      </c>
      <c r="P776" t="str">
        <f>"4170072003                    "</f>
        <v xml:space="preserve">4170072003                    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0</v>
      </c>
      <c r="AG776">
        <v>0</v>
      </c>
      <c r="AH776">
        <v>0</v>
      </c>
      <c r="AI776">
        <v>0</v>
      </c>
      <c r="AJ776">
        <v>0</v>
      </c>
      <c r="AK776">
        <v>0</v>
      </c>
      <c r="AL776">
        <v>0</v>
      </c>
      <c r="AM776">
        <v>0</v>
      </c>
      <c r="AN776">
        <v>0</v>
      </c>
      <c r="AO776">
        <v>0</v>
      </c>
      <c r="AP776">
        <v>0</v>
      </c>
      <c r="AQ776">
        <v>60.31</v>
      </c>
      <c r="AR776">
        <v>0</v>
      </c>
      <c r="AS776">
        <v>0</v>
      </c>
      <c r="AT776">
        <v>0</v>
      </c>
      <c r="AU776">
        <v>0</v>
      </c>
      <c r="AV776">
        <v>0</v>
      </c>
      <c r="AW776">
        <v>0</v>
      </c>
      <c r="AX776">
        <v>0</v>
      </c>
      <c r="AY776">
        <v>0</v>
      </c>
      <c r="AZ776">
        <v>0</v>
      </c>
      <c r="BA776">
        <v>0</v>
      </c>
      <c r="BB776">
        <v>0</v>
      </c>
      <c r="BC776">
        <v>0</v>
      </c>
      <c r="BD776">
        <v>0</v>
      </c>
      <c r="BE776">
        <v>0</v>
      </c>
      <c r="BF776">
        <v>0</v>
      </c>
      <c r="BG776">
        <v>0</v>
      </c>
      <c r="BH776">
        <v>1</v>
      </c>
      <c r="BI776">
        <v>17.3</v>
      </c>
      <c r="BJ776">
        <v>34.1</v>
      </c>
      <c r="BK776">
        <v>35</v>
      </c>
      <c r="BL776">
        <v>185.83</v>
      </c>
      <c r="BM776">
        <v>27.87</v>
      </c>
      <c r="BN776">
        <v>213.7</v>
      </c>
      <c r="BO776">
        <v>213.7</v>
      </c>
      <c r="BQ776" t="s">
        <v>1488</v>
      </c>
      <c r="BR776" t="s">
        <v>82</v>
      </c>
      <c r="BS776" t="s">
        <v>500</v>
      </c>
      <c r="BY776">
        <v>170520</v>
      </c>
      <c r="CC776" t="s">
        <v>177</v>
      </c>
      <c r="CD776">
        <v>2197</v>
      </c>
      <c r="CE776" t="s">
        <v>86</v>
      </c>
      <c r="CI776">
        <v>1</v>
      </c>
      <c r="CJ776" t="s">
        <v>500</v>
      </c>
      <c r="CK776">
        <v>42</v>
      </c>
      <c r="CL776" t="s">
        <v>87</v>
      </c>
    </row>
    <row r="777" spans="1:90" x14ac:dyDescent="0.3">
      <c r="A777" t="s">
        <v>72</v>
      </c>
      <c r="B777" t="s">
        <v>73</v>
      </c>
      <c r="C777" t="s">
        <v>74</v>
      </c>
      <c r="E777" t="str">
        <f>"080069702367"</f>
        <v>080069702367</v>
      </c>
      <c r="F777" s="3">
        <v>45996</v>
      </c>
      <c r="G777">
        <v>202609</v>
      </c>
      <c r="H777" t="s">
        <v>75</v>
      </c>
      <c r="I777" t="s">
        <v>76</v>
      </c>
      <c r="J777" t="s">
        <v>77</v>
      </c>
      <c r="K777" t="s">
        <v>78</v>
      </c>
      <c r="L777" t="s">
        <v>141</v>
      </c>
      <c r="M777" t="s">
        <v>142</v>
      </c>
      <c r="N777" t="s">
        <v>585</v>
      </c>
      <c r="O777" t="s">
        <v>89</v>
      </c>
      <c r="P777" t="str">
        <f>"4170072041                    "</f>
        <v xml:space="preserve">4170072041                    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0</v>
      </c>
      <c r="AG777">
        <v>0</v>
      </c>
      <c r="AH777">
        <v>0</v>
      </c>
      <c r="AI777">
        <v>0</v>
      </c>
      <c r="AJ777">
        <v>0</v>
      </c>
      <c r="AK777">
        <v>0</v>
      </c>
      <c r="AL777">
        <v>0</v>
      </c>
      <c r="AM777">
        <v>0</v>
      </c>
      <c r="AN777">
        <v>0</v>
      </c>
      <c r="AO777">
        <v>0</v>
      </c>
      <c r="AP777">
        <v>0</v>
      </c>
      <c r="AQ777">
        <v>44.66</v>
      </c>
      <c r="AR777">
        <v>0</v>
      </c>
      <c r="AS777">
        <v>0</v>
      </c>
      <c r="AT777">
        <v>0</v>
      </c>
      <c r="AU777">
        <v>0</v>
      </c>
      <c r="AV777">
        <v>0</v>
      </c>
      <c r="AW777">
        <v>0</v>
      </c>
      <c r="AX777">
        <v>0</v>
      </c>
      <c r="AY777">
        <v>0</v>
      </c>
      <c r="AZ777">
        <v>0</v>
      </c>
      <c r="BA777">
        <v>0</v>
      </c>
      <c r="BB777">
        <v>0</v>
      </c>
      <c r="BC777">
        <v>0</v>
      </c>
      <c r="BD777">
        <v>0</v>
      </c>
      <c r="BE777">
        <v>0</v>
      </c>
      <c r="BF777">
        <v>0</v>
      </c>
      <c r="BG777">
        <v>0</v>
      </c>
      <c r="BH777">
        <v>2</v>
      </c>
      <c r="BI777">
        <v>1.9</v>
      </c>
      <c r="BJ777">
        <v>3.1</v>
      </c>
      <c r="BK777">
        <v>3.5</v>
      </c>
      <c r="BL777">
        <v>133.09</v>
      </c>
      <c r="BM777">
        <v>19.96</v>
      </c>
      <c r="BN777">
        <v>153.05000000000001</v>
      </c>
      <c r="BO777">
        <v>153.05000000000001</v>
      </c>
      <c r="BQ777" t="s">
        <v>586</v>
      </c>
      <c r="BR777" t="s">
        <v>82</v>
      </c>
      <c r="BS777" t="s">
        <v>500</v>
      </c>
      <c r="BY777">
        <v>15303.43</v>
      </c>
      <c r="CC777" t="s">
        <v>142</v>
      </c>
      <c r="CD777">
        <v>6001</v>
      </c>
      <c r="CE777" t="s">
        <v>134</v>
      </c>
      <c r="CI777">
        <v>1</v>
      </c>
      <c r="CJ777" t="s">
        <v>500</v>
      </c>
      <c r="CK777">
        <v>21</v>
      </c>
      <c r="CL777" t="s">
        <v>87</v>
      </c>
    </row>
    <row r="778" spans="1:90" x14ac:dyDescent="0.3">
      <c r="A778" t="s">
        <v>72</v>
      </c>
      <c r="B778" t="s">
        <v>73</v>
      </c>
      <c r="C778" t="s">
        <v>74</v>
      </c>
      <c r="E778" t="str">
        <f>"080069702760"</f>
        <v>080069702760</v>
      </c>
      <c r="F778" s="3">
        <v>45996</v>
      </c>
      <c r="G778">
        <v>202609</v>
      </c>
      <c r="H778" t="s">
        <v>75</v>
      </c>
      <c r="I778" t="s">
        <v>76</v>
      </c>
      <c r="J778" t="s">
        <v>77</v>
      </c>
      <c r="K778" t="s">
        <v>78</v>
      </c>
      <c r="L778" t="s">
        <v>302</v>
      </c>
      <c r="M778" t="s">
        <v>303</v>
      </c>
      <c r="N778" t="s">
        <v>304</v>
      </c>
      <c r="O778" t="s">
        <v>80</v>
      </c>
      <c r="P778" t="str">
        <f>"4170072161                    "</f>
        <v xml:space="preserve">4170072161                    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0</v>
      </c>
      <c r="AG778">
        <v>0</v>
      </c>
      <c r="AH778">
        <v>0</v>
      </c>
      <c r="AI778">
        <v>0</v>
      </c>
      <c r="AJ778">
        <v>0</v>
      </c>
      <c r="AK778">
        <v>0</v>
      </c>
      <c r="AL778">
        <v>0</v>
      </c>
      <c r="AM778">
        <v>0</v>
      </c>
      <c r="AN778">
        <v>0</v>
      </c>
      <c r="AO778">
        <v>0</v>
      </c>
      <c r="AP778">
        <v>0</v>
      </c>
      <c r="AQ778">
        <v>104.44</v>
      </c>
      <c r="AR778">
        <v>0</v>
      </c>
      <c r="AS778">
        <v>0</v>
      </c>
      <c r="AT778">
        <v>0</v>
      </c>
      <c r="AU778">
        <v>0</v>
      </c>
      <c r="AV778">
        <v>0</v>
      </c>
      <c r="AW778">
        <v>0</v>
      </c>
      <c r="AX778">
        <v>0</v>
      </c>
      <c r="AY778">
        <v>0</v>
      </c>
      <c r="AZ778">
        <v>0</v>
      </c>
      <c r="BA778">
        <v>0</v>
      </c>
      <c r="BB778">
        <v>0</v>
      </c>
      <c r="BC778">
        <v>0</v>
      </c>
      <c r="BD778">
        <v>0</v>
      </c>
      <c r="BE778">
        <v>0</v>
      </c>
      <c r="BF778">
        <v>0</v>
      </c>
      <c r="BG778">
        <v>0</v>
      </c>
      <c r="BH778">
        <v>1</v>
      </c>
      <c r="BI778">
        <v>42</v>
      </c>
      <c r="BJ778">
        <v>31.2</v>
      </c>
      <c r="BK778">
        <v>42</v>
      </c>
      <c r="BL778">
        <v>317.36</v>
      </c>
      <c r="BM778">
        <v>47.6</v>
      </c>
      <c r="BN778">
        <v>364.96</v>
      </c>
      <c r="BO778">
        <v>364.96</v>
      </c>
      <c r="BQ778" t="s">
        <v>305</v>
      </c>
      <c r="BR778" t="s">
        <v>82</v>
      </c>
      <c r="BS778" t="s">
        <v>500</v>
      </c>
      <c r="BY778">
        <v>156000</v>
      </c>
      <c r="CC778" t="s">
        <v>303</v>
      </c>
      <c r="CD778" s="5" t="s">
        <v>307</v>
      </c>
      <c r="CE778" t="s">
        <v>781</v>
      </c>
      <c r="CI778">
        <v>1</v>
      </c>
      <c r="CJ778" t="s">
        <v>500</v>
      </c>
      <c r="CK778">
        <v>41</v>
      </c>
      <c r="CL778" t="s">
        <v>87</v>
      </c>
    </row>
    <row r="779" spans="1:90" x14ac:dyDescent="0.3">
      <c r="A779" t="s">
        <v>72</v>
      </c>
      <c r="B779" t="s">
        <v>73</v>
      </c>
      <c r="C779" t="s">
        <v>74</v>
      </c>
      <c r="E779" t="str">
        <f>"080069702864"</f>
        <v>080069702864</v>
      </c>
      <c r="F779" s="3">
        <v>45996</v>
      </c>
      <c r="G779">
        <v>202609</v>
      </c>
      <c r="H779" t="s">
        <v>75</v>
      </c>
      <c r="I779" t="s">
        <v>76</v>
      </c>
      <c r="J779" t="s">
        <v>77</v>
      </c>
      <c r="K779" t="s">
        <v>78</v>
      </c>
      <c r="L779" t="s">
        <v>148</v>
      </c>
      <c r="M779" t="s">
        <v>149</v>
      </c>
      <c r="N779" t="s">
        <v>150</v>
      </c>
      <c r="O779" t="s">
        <v>89</v>
      </c>
      <c r="P779" t="str">
        <f>"4170072110                    "</f>
        <v xml:space="preserve">4170072110                    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0</v>
      </c>
      <c r="AG779">
        <v>0</v>
      </c>
      <c r="AH779">
        <v>0</v>
      </c>
      <c r="AI779">
        <v>0</v>
      </c>
      <c r="AJ779">
        <v>0</v>
      </c>
      <c r="AK779">
        <v>0</v>
      </c>
      <c r="AL779">
        <v>0</v>
      </c>
      <c r="AM779">
        <v>0</v>
      </c>
      <c r="AN779">
        <v>0</v>
      </c>
      <c r="AO779">
        <v>0</v>
      </c>
      <c r="AP779">
        <v>0</v>
      </c>
      <c r="AQ779">
        <v>49.45</v>
      </c>
      <c r="AR779">
        <v>0</v>
      </c>
      <c r="AS779">
        <v>0</v>
      </c>
      <c r="AT779">
        <v>0</v>
      </c>
      <c r="AU779">
        <v>0</v>
      </c>
      <c r="AV779">
        <v>0</v>
      </c>
      <c r="AW779">
        <v>0</v>
      </c>
      <c r="AX779">
        <v>0</v>
      </c>
      <c r="AY779">
        <v>0</v>
      </c>
      <c r="AZ779">
        <v>0</v>
      </c>
      <c r="BA779">
        <v>0</v>
      </c>
      <c r="BB779">
        <v>0</v>
      </c>
      <c r="BC779">
        <v>0</v>
      </c>
      <c r="BD779">
        <v>0</v>
      </c>
      <c r="BE779">
        <v>0</v>
      </c>
      <c r="BF779">
        <v>0</v>
      </c>
      <c r="BG779">
        <v>0</v>
      </c>
      <c r="BH779">
        <v>1</v>
      </c>
      <c r="BI779">
        <v>1</v>
      </c>
      <c r="BJ779">
        <v>0.2</v>
      </c>
      <c r="BK779">
        <v>1</v>
      </c>
      <c r="BL779">
        <v>147.38</v>
      </c>
      <c r="BM779">
        <v>22.11</v>
      </c>
      <c r="BN779">
        <v>169.49</v>
      </c>
      <c r="BO779">
        <v>169.49</v>
      </c>
      <c r="BQ779" t="s">
        <v>1489</v>
      </c>
      <c r="BR779" t="s">
        <v>82</v>
      </c>
      <c r="BS779" t="s">
        <v>500</v>
      </c>
      <c r="BY779">
        <v>1200</v>
      </c>
      <c r="CC779" t="s">
        <v>149</v>
      </c>
      <c r="CD779">
        <v>7299</v>
      </c>
      <c r="CE779" t="s">
        <v>134</v>
      </c>
      <c r="CI779">
        <v>1</v>
      </c>
      <c r="CJ779" t="s">
        <v>500</v>
      </c>
      <c r="CK779">
        <v>23</v>
      </c>
      <c r="CL779" t="s">
        <v>87</v>
      </c>
    </row>
    <row r="780" spans="1:90" x14ac:dyDescent="0.3">
      <c r="A780" t="s">
        <v>72</v>
      </c>
      <c r="B780" t="s">
        <v>73</v>
      </c>
      <c r="C780" t="s">
        <v>74</v>
      </c>
      <c r="E780" t="str">
        <f>"080069702883"</f>
        <v>080069702883</v>
      </c>
      <c r="F780" s="3">
        <v>45996</v>
      </c>
      <c r="G780">
        <v>202609</v>
      </c>
      <c r="H780" t="s">
        <v>75</v>
      </c>
      <c r="I780" t="s">
        <v>76</v>
      </c>
      <c r="J780" t="s">
        <v>77</v>
      </c>
      <c r="K780" t="s">
        <v>78</v>
      </c>
      <c r="L780" t="s">
        <v>208</v>
      </c>
      <c r="M780" t="s">
        <v>209</v>
      </c>
      <c r="N780" t="s">
        <v>1152</v>
      </c>
      <c r="O780" t="s">
        <v>89</v>
      </c>
      <c r="P780" t="str">
        <f>"4170072097                    "</f>
        <v xml:space="preserve">4170072097                    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0</v>
      </c>
      <c r="AG780">
        <v>0</v>
      </c>
      <c r="AH780">
        <v>0</v>
      </c>
      <c r="AI780">
        <v>0</v>
      </c>
      <c r="AJ780">
        <v>0</v>
      </c>
      <c r="AK780">
        <v>0</v>
      </c>
      <c r="AL780">
        <v>0</v>
      </c>
      <c r="AM780">
        <v>0</v>
      </c>
      <c r="AN780">
        <v>0</v>
      </c>
      <c r="AO780">
        <v>0</v>
      </c>
      <c r="AP780">
        <v>0</v>
      </c>
      <c r="AQ780">
        <v>25.52</v>
      </c>
      <c r="AR780">
        <v>0</v>
      </c>
      <c r="AS780">
        <v>0</v>
      </c>
      <c r="AT780">
        <v>0</v>
      </c>
      <c r="AU780">
        <v>0</v>
      </c>
      <c r="AV780">
        <v>0</v>
      </c>
      <c r="AW780">
        <v>0</v>
      </c>
      <c r="AX780">
        <v>0</v>
      </c>
      <c r="AY780">
        <v>0</v>
      </c>
      <c r="AZ780">
        <v>0</v>
      </c>
      <c r="BA780">
        <v>0</v>
      </c>
      <c r="BB780">
        <v>0</v>
      </c>
      <c r="BC780">
        <v>0</v>
      </c>
      <c r="BD780">
        <v>0</v>
      </c>
      <c r="BE780">
        <v>0</v>
      </c>
      <c r="BF780">
        <v>0</v>
      </c>
      <c r="BG780">
        <v>0</v>
      </c>
      <c r="BH780">
        <v>1</v>
      </c>
      <c r="BI780">
        <v>1</v>
      </c>
      <c r="BJ780">
        <v>0.2</v>
      </c>
      <c r="BK780">
        <v>1</v>
      </c>
      <c r="BL780">
        <v>76.06</v>
      </c>
      <c r="BM780">
        <v>11.41</v>
      </c>
      <c r="BN780">
        <v>87.47</v>
      </c>
      <c r="BO780">
        <v>87.47</v>
      </c>
      <c r="BQ780" t="s">
        <v>1153</v>
      </c>
      <c r="BR780" t="s">
        <v>82</v>
      </c>
      <c r="BS780" t="s">
        <v>500</v>
      </c>
      <c r="BY780">
        <v>1200</v>
      </c>
      <c r="CC780" t="s">
        <v>209</v>
      </c>
      <c r="CD780" s="5" t="s">
        <v>213</v>
      </c>
      <c r="CE780" t="s">
        <v>134</v>
      </c>
      <c r="CI780">
        <v>1</v>
      </c>
      <c r="CJ780" t="s">
        <v>500</v>
      </c>
      <c r="CK780">
        <v>21</v>
      </c>
      <c r="CL780" t="s">
        <v>87</v>
      </c>
    </row>
    <row r="781" spans="1:90" x14ac:dyDescent="0.3">
      <c r="A781" t="s">
        <v>72</v>
      </c>
      <c r="B781" t="s">
        <v>73</v>
      </c>
      <c r="C781" t="s">
        <v>74</v>
      </c>
      <c r="E781" t="str">
        <f>"080069702882"</f>
        <v>080069702882</v>
      </c>
      <c r="F781" s="3">
        <v>45996</v>
      </c>
      <c r="G781">
        <v>202609</v>
      </c>
      <c r="H781" t="s">
        <v>75</v>
      </c>
      <c r="I781" t="s">
        <v>76</v>
      </c>
      <c r="J781" t="s">
        <v>77</v>
      </c>
      <c r="K781" t="s">
        <v>78</v>
      </c>
      <c r="L781" t="s">
        <v>533</v>
      </c>
      <c r="M781" t="s">
        <v>533</v>
      </c>
      <c r="N781" t="s">
        <v>763</v>
      </c>
      <c r="O781" t="s">
        <v>89</v>
      </c>
      <c r="P781" t="str">
        <f>"4170072139                    "</f>
        <v xml:space="preserve">4170072139                    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  <c r="AG781">
        <v>0</v>
      </c>
      <c r="AH781">
        <v>0</v>
      </c>
      <c r="AI781">
        <v>0</v>
      </c>
      <c r="AJ781">
        <v>0</v>
      </c>
      <c r="AK781">
        <v>0</v>
      </c>
      <c r="AL781">
        <v>0</v>
      </c>
      <c r="AM781">
        <v>0</v>
      </c>
      <c r="AN781">
        <v>0</v>
      </c>
      <c r="AO781">
        <v>0</v>
      </c>
      <c r="AP781">
        <v>0</v>
      </c>
      <c r="AQ781">
        <v>306.26</v>
      </c>
      <c r="AR781">
        <v>0</v>
      </c>
      <c r="AS781">
        <v>0</v>
      </c>
      <c r="AT781">
        <v>0</v>
      </c>
      <c r="AU781">
        <v>0</v>
      </c>
      <c r="AV781">
        <v>0</v>
      </c>
      <c r="AW781">
        <v>0</v>
      </c>
      <c r="AX781">
        <v>0</v>
      </c>
      <c r="AY781">
        <v>0</v>
      </c>
      <c r="AZ781">
        <v>0</v>
      </c>
      <c r="BA781">
        <v>0</v>
      </c>
      <c r="BB781">
        <v>0</v>
      </c>
      <c r="BC781">
        <v>0</v>
      </c>
      <c r="BD781">
        <v>0</v>
      </c>
      <c r="BE781">
        <v>0</v>
      </c>
      <c r="BF781">
        <v>0</v>
      </c>
      <c r="BG781">
        <v>0</v>
      </c>
      <c r="BH781">
        <v>2</v>
      </c>
      <c r="BI781">
        <v>5.6</v>
      </c>
      <c r="BJ781">
        <v>13.4</v>
      </c>
      <c r="BK781">
        <v>13.5</v>
      </c>
      <c r="BL781">
        <v>912.72</v>
      </c>
      <c r="BM781">
        <v>136.91</v>
      </c>
      <c r="BN781">
        <v>1049.6300000000001</v>
      </c>
      <c r="BO781">
        <v>1049.6300000000001</v>
      </c>
      <c r="BQ781" t="s">
        <v>764</v>
      </c>
      <c r="BR781" t="s">
        <v>82</v>
      </c>
      <c r="BS781" t="s">
        <v>500</v>
      </c>
      <c r="BY781">
        <v>66760</v>
      </c>
      <c r="CC781" t="s">
        <v>533</v>
      </c>
      <c r="CD781">
        <v>7646</v>
      </c>
      <c r="CE781" t="s">
        <v>86</v>
      </c>
      <c r="CI781">
        <v>1</v>
      </c>
      <c r="CJ781" t="s">
        <v>500</v>
      </c>
      <c r="CK781">
        <v>23</v>
      </c>
      <c r="CL781" t="s">
        <v>87</v>
      </c>
    </row>
    <row r="782" spans="1:90" x14ac:dyDescent="0.3">
      <c r="A782" t="s">
        <v>72</v>
      </c>
      <c r="B782" t="s">
        <v>73</v>
      </c>
      <c r="C782" t="s">
        <v>74</v>
      </c>
      <c r="E782" t="str">
        <f>"080069702917"</f>
        <v>080069702917</v>
      </c>
      <c r="F782" s="3">
        <v>45996</v>
      </c>
      <c r="G782">
        <v>202609</v>
      </c>
      <c r="H782" t="s">
        <v>75</v>
      </c>
      <c r="I782" t="s">
        <v>76</v>
      </c>
      <c r="J782" t="s">
        <v>77</v>
      </c>
      <c r="K782" t="s">
        <v>78</v>
      </c>
      <c r="L782" t="s">
        <v>141</v>
      </c>
      <c r="M782" t="s">
        <v>142</v>
      </c>
      <c r="N782" t="s">
        <v>851</v>
      </c>
      <c r="O782" t="s">
        <v>89</v>
      </c>
      <c r="P782" t="str">
        <f>"4170072092                    "</f>
        <v xml:space="preserve">4170072092                    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  <c r="AG782">
        <v>0</v>
      </c>
      <c r="AH782">
        <v>0</v>
      </c>
      <c r="AI782">
        <v>0</v>
      </c>
      <c r="AJ782">
        <v>0</v>
      </c>
      <c r="AK782">
        <v>0</v>
      </c>
      <c r="AL782">
        <v>0</v>
      </c>
      <c r="AM782">
        <v>0</v>
      </c>
      <c r="AN782">
        <v>0</v>
      </c>
      <c r="AO782">
        <v>0</v>
      </c>
      <c r="AP782">
        <v>0</v>
      </c>
      <c r="AQ782">
        <v>25.52</v>
      </c>
      <c r="AR782">
        <v>0</v>
      </c>
      <c r="AS782">
        <v>0</v>
      </c>
      <c r="AT782">
        <v>0</v>
      </c>
      <c r="AU782">
        <v>0</v>
      </c>
      <c r="AV782">
        <v>0</v>
      </c>
      <c r="AW782">
        <v>0</v>
      </c>
      <c r="AX782">
        <v>0</v>
      </c>
      <c r="AY782">
        <v>0</v>
      </c>
      <c r="AZ782">
        <v>0</v>
      </c>
      <c r="BA782">
        <v>0</v>
      </c>
      <c r="BB782">
        <v>0</v>
      </c>
      <c r="BC782">
        <v>0</v>
      </c>
      <c r="BD782">
        <v>0</v>
      </c>
      <c r="BE782">
        <v>0</v>
      </c>
      <c r="BF782">
        <v>0</v>
      </c>
      <c r="BG782">
        <v>0</v>
      </c>
      <c r="BH782">
        <v>1</v>
      </c>
      <c r="BI782">
        <v>1</v>
      </c>
      <c r="BJ782">
        <v>0.2</v>
      </c>
      <c r="BK782">
        <v>1</v>
      </c>
      <c r="BL782">
        <v>76.06</v>
      </c>
      <c r="BM782">
        <v>11.41</v>
      </c>
      <c r="BN782">
        <v>87.47</v>
      </c>
      <c r="BO782">
        <v>87.47</v>
      </c>
      <c r="BQ782" t="s">
        <v>852</v>
      </c>
      <c r="BR782" t="s">
        <v>82</v>
      </c>
      <c r="BS782" t="s">
        <v>500</v>
      </c>
      <c r="BY782">
        <v>1200</v>
      </c>
      <c r="CC782" t="s">
        <v>142</v>
      </c>
      <c r="CD782">
        <v>6001</v>
      </c>
      <c r="CE782" t="s">
        <v>134</v>
      </c>
      <c r="CI782">
        <v>1</v>
      </c>
      <c r="CJ782" t="s">
        <v>500</v>
      </c>
      <c r="CK782">
        <v>21</v>
      </c>
      <c r="CL782" t="s">
        <v>87</v>
      </c>
    </row>
    <row r="783" spans="1:90" x14ac:dyDescent="0.3">
      <c r="A783" t="s">
        <v>72</v>
      </c>
      <c r="B783" t="s">
        <v>73</v>
      </c>
      <c r="C783" t="s">
        <v>74</v>
      </c>
      <c r="E783" t="str">
        <f>"080069702924"</f>
        <v>080069702924</v>
      </c>
      <c r="F783" s="3">
        <v>45996</v>
      </c>
      <c r="G783">
        <v>202609</v>
      </c>
      <c r="H783" t="s">
        <v>75</v>
      </c>
      <c r="I783" t="s">
        <v>76</v>
      </c>
      <c r="J783" t="s">
        <v>77</v>
      </c>
      <c r="K783" t="s">
        <v>78</v>
      </c>
      <c r="L783" t="s">
        <v>100</v>
      </c>
      <c r="M783" t="s">
        <v>101</v>
      </c>
      <c r="N783" t="s">
        <v>1490</v>
      </c>
      <c r="O783" t="s">
        <v>89</v>
      </c>
      <c r="P783" t="str">
        <f>"4170072078                    "</f>
        <v xml:space="preserve">4170072078                    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  <c r="AG783">
        <v>0</v>
      </c>
      <c r="AH783">
        <v>0</v>
      </c>
      <c r="AI783">
        <v>0</v>
      </c>
      <c r="AJ783">
        <v>0</v>
      </c>
      <c r="AK783">
        <v>0</v>
      </c>
      <c r="AL783">
        <v>0</v>
      </c>
      <c r="AM783">
        <v>0</v>
      </c>
      <c r="AN783">
        <v>0</v>
      </c>
      <c r="AO783">
        <v>0</v>
      </c>
      <c r="AP783">
        <v>0</v>
      </c>
      <c r="AQ783">
        <v>89.3</v>
      </c>
      <c r="AR783">
        <v>0</v>
      </c>
      <c r="AS783">
        <v>0</v>
      </c>
      <c r="AT783">
        <v>0</v>
      </c>
      <c r="AU783">
        <v>0</v>
      </c>
      <c r="AV783">
        <v>0</v>
      </c>
      <c r="AW783">
        <v>0</v>
      </c>
      <c r="AX783">
        <v>0</v>
      </c>
      <c r="AY783">
        <v>0</v>
      </c>
      <c r="AZ783">
        <v>0</v>
      </c>
      <c r="BA783">
        <v>0</v>
      </c>
      <c r="BB783">
        <v>0</v>
      </c>
      <c r="BC783">
        <v>0</v>
      </c>
      <c r="BD783">
        <v>0</v>
      </c>
      <c r="BE783">
        <v>0</v>
      </c>
      <c r="BF783">
        <v>0</v>
      </c>
      <c r="BG783">
        <v>0</v>
      </c>
      <c r="BH783">
        <v>1</v>
      </c>
      <c r="BI783">
        <v>7</v>
      </c>
      <c r="BJ783">
        <v>5</v>
      </c>
      <c r="BK783">
        <v>7</v>
      </c>
      <c r="BL783">
        <v>266.14</v>
      </c>
      <c r="BM783">
        <v>39.92</v>
      </c>
      <c r="BN783">
        <v>306.06</v>
      </c>
      <c r="BO783">
        <v>306.06</v>
      </c>
      <c r="BQ783" t="s">
        <v>1491</v>
      </c>
      <c r="BR783" t="s">
        <v>82</v>
      </c>
      <c r="BS783" t="s">
        <v>500</v>
      </c>
      <c r="BY783">
        <v>24882</v>
      </c>
      <c r="CC783" t="s">
        <v>101</v>
      </c>
      <c r="CD783">
        <v>4001</v>
      </c>
      <c r="CE783" t="s">
        <v>86</v>
      </c>
      <c r="CI783">
        <v>1</v>
      </c>
      <c r="CJ783" t="s">
        <v>500</v>
      </c>
      <c r="CK783">
        <v>21</v>
      </c>
      <c r="CL783" t="s">
        <v>87</v>
      </c>
    </row>
    <row r="784" spans="1:90" x14ac:dyDescent="0.3">
      <c r="A784" t="s">
        <v>72</v>
      </c>
      <c r="B784" t="s">
        <v>73</v>
      </c>
      <c r="C784" t="s">
        <v>74</v>
      </c>
      <c r="E784" t="str">
        <f>"080069702958"</f>
        <v>080069702958</v>
      </c>
      <c r="F784" s="3">
        <v>45996</v>
      </c>
      <c r="G784">
        <v>202609</v>
      </c>
      <c r="H784" t="s">
        <v>75</v>
      </c>
      <c r="I784" t="s">
        <v>76</v>
      </c>
      <c r="J784" t="s">
        <v>77</v>
      </c>
      <c r="K784" t="s">
        <v>78</v>
      </c>
      <c r="L784" t="s">
        <v>302</v>
      </c>
      <c r="M784" t="s">
        <v>303</v>
      </c>
      <c r="N784" t="s">
        <v>644</v>
      </c>
      <c r="O784" t="s">
        <v>89</v>
      </c>
      <c r="P784" t="str">
        <f>"4170072104                    "</f>
        <v xml:space="preserve">4170072104                    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  <c r="AG784">
        <v>0</v>
      </c>
      <c r="AH784">
        <v>0</v>
      </c>
      <c r="AI784">
        <v>0</v>
      </c>
      <c r="AJ784">
        <v>0</v>
      </c>
      <c r="AK784">
        <v>0</v>
      </c>
      <c r="AL784">
        <v>0</v>
      </c>
      <c r="AM784">
        <v>0</v>
      </c>
      <c r="AN784">
        <v>0</v>
      </c>
      <c r="AO784">
        <v>0</v>
      </c>
      <c r="AP784">
        <v>0</v>
      </c>
      <c r="AQ784">
        <v>25.52</v>
      </c>
      <c r="AR784">
        <v>0</v>
      </c>
      <c r="AS784">
        <v>0</v>
      </c>
      <c r="AT784">
        <v>0</v>
      </c>
      <c r="AU784">
        <v>0</v>
      </c>
      <c r="AV784">
        <v>0</v>
      </c>
      <c r="AW784">
        <v>0</v>
      </c>
      <c r="AX784">
        <v>0</v>
      </c>
      <c r="AY784">
        <v>0</v>
      </c>
      <c r="AZ784">
        <v>0</v>
      </c>
      <c r="BA784">
        <v>0</v>
      </c>
      <c r="BB784">
        <v>0</v>
      </c>
      <c r="BC784">
        <v>0</v>
      </c>
      <c r="BD784">
        <v>0</v>
      </c>
      <c r="BE784">
        <v>0</v>
      </c>
      <c r="BF784">
        <v>0</v>
      </c>
      <c r="BG784">
        <v>0</v>
      </c>
      <c r="BH784">
        <v>1</v>
      </c>
      <c r="BI784">
        <v>1</v>
      </c>
      <c r="BJ784">
        <v>0.2</v>
      </c>
      <c r="BK784">
        <v>1</v>
      </c>
      <c r="BL784">
        <v>76.06</v>
      </c>
      <c r="BM784">
        <v>11.41</v>
      </c>
      <c r="BN784">
        <v>87.47</v>
      </c>
      <c r="BO784">
        <v>87.47</v>
      </c>
      <c r="BQ784" t="s">
        <v>645</v>
      </c>
      <c r="BR784" t="s">
        <v>82</v>
      </c>
      <c r="BS784" t="s">
        <v>500</v>
      </c>
      <c r="BY784">
        <v>1200</v>
      </c>
      <c r="CC784" t="s">
        <v>303</v>
      </c>
      <c r="CD784" s="5" t="s">
        <v>307</v>
      </c>
      <c r="CE784" t="s">
        <v>134</v>
      </c>
      <c r="CI784">
        <v>1</v>
      </c>
      <c r="CJ784" t="s">
        <v>500</v>
      </c>
      <c r="CK784">
        <v>21</v>
      </c>
      <c r="CL784" t="s">
        <v>87</v>
      </c>
    </row>
    <row r="785" spans="1:90" x14ac:dyDescent="0.3">
      <c r="A785" t="s">
        <v>72</v>
      </c>
      <c r="B785" t="s">
        <v>73</v>
      </c>
      <c r="C785" t="s">
        <v>74</v>
      </c>
      <c r="E785" t="str">
        <f>"080069703046"</f>
        <v>080069703046</v>
      </c>
      <c r="F785" s="3">
        <v>45996</v>
      </c>
      <c r="G785">
        <v>202609</v>
      </c>
      <c r="H785" t="s">
        <v>75</v>
      </c>
      <c r="I785" t="s">
        <v>76</v>
      </c>
      <c r="J785" t="s">
        <v>77</v>
      </c>
      <c r="K785" t="s">
        <v>78</v>
      </c>
      <c r="L785" t="s">
        <v>141</v>
      </c>
      <c r="M785" t="s">
        <v>142</v>
      </c>
      <c r="N785" t="s">
        <v>585</v>
      </c>
      <c r="O785" t="s">
        <v>89</v>
      </c>
      <c r="P785" t="str">
        <f>"4170072073                    "</f>
        <v xml:space="preserve">4170072073                    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  <c r="AG785">
        <v>0</v>
      </c>
      <c r="AH785">
        <v>0</v>
      </c>
      <c r="AI785">
        <v>0</v>
      </c>
      <c r="AJ785">
        <v>0</v>
      </c>
      <c r="AK785">
        <v>0</v>
      </c>
      <c r="AL785">
        <v>0</v>
      </c>
      <c r="AM785">
        <v>0</v>
      </c>
      <c r="AN785">
        <v>0</v>
      </c>
      <c r="AO785">
        <v>0</v>
      </c>
      <c r="AP785">
        <v>0</v>
      </c>
      <c r="AQ785">
        <v>57.41</v>
      </c>
      <c r="AR785">
        <v>0</v>
      </c>
      <c r="AS785">
        <v>0</v>
      </c>
      <c r="AT785">
        <v>0</v>
      </c>
      <c r="AU785">
        <v>0</v>
      </c>
      <c r="AV785">
        <v>0</v>
      </c>
      <c r="AW785">
        <v>0</v>
      </c>
      <c r="AX785">
        <v>0</v>
      </c>
      <c r="AY785">
        <v>0</v>
      </c>
      <c r="AZ785">
        <v>0</v>
      </c>
      <c r="BA785">
        <v>0</v>
      </c>
      <c r="BB785">
        <v>0</v>
      </c>
      <c r="BC785">
        <v>0</v>
      </c>
      <c r="BD785">
        <v>0</v>
      </c>
      <c r="BE785">
        <v>0</v>
      </c>
      <c r="BF785">
        <v>0</v>
      </c>
      <c r="BG785">
        <v>0</v>
      </c>
      <c r="BH785">
        <v>1</v>
      </c>
      <c r="BI785">
        <v>2</v>
      </c>
      <c r="BJ785">
        <v>4.5</v>
      </c>
      <c r="BK785">
        <v>4.5</v>
      </c>
      <c r="BL785">
        <v>171.1</v>
      </c>
      <c r="BM785">
        <v>25.67</v>
      </c>
      <c r="BN785">
        <v>196.77</v>
      </c>
      <c r="BO785">
        <v>196.77</v>
      </c>
      <c r="BQ785" t="s">
        <v>586</v>
      </c>
      <c r="BR785" t="s">
        <v>82</v>
      </c>
      <c r="BS785" t="s">
        <v>500</v>
      </c>
      <c r="BY785">
        <v>22620</v>
      </c>
      <c r="CC785" t="s">
        <v>142</v>
      </c>
      <c r="CD785">
        <v>6001</v>
      </c>
      <c r="CE785" t="s">
        <v>86</v>
      </c>
      <c r="CI785">
        <v>1</v>
      </c>
      <c r="CJ785" t="s">
        <v>500</v>
      </c>
      <c r="CK785">
        <v>21</v>
      </c>
      <c r="CL785" t="s">
        <v>87</v>
      </c>
    </row>
    <row r="786" spans="1:90" x14ac:dyDescent="0.3">
      <c r="A786" t="s">
        <v>72</v>
      </c>
      <c r="B786" t="s">
        <v>73</v>
      </c>
      <c r="C786" t="s">
        <v>74</v>
      </c>
      <c r="E786" t="str">
        <f>"080069703049"</f>
        <v>080069703049</v>
      </c>
      <c r="F786" s="3">
        <v>45996</v>
      </c>
      <c r="G786">
        <v>202609</v>
      </c>
      <c r="H786" t="s">
        <v>75</v>
      </c>
      <c r="I786" t="s">
        <v>76</v>
      </c>
      <c r="J786" t="s">
        <v>77</v>
      </c>
      <c r="K786" t="s">
        <v>78</v>
      </c>
      <c r="L786" t="s">
        <v>1492</v>
      </c>
      <c r="M786" t="s">
        <v>1493</v>
      </c>
      <c r="N786" t="s">
        <v>1494</v>
      </c>
      <c r="O786" t="s">
        <v>89</v>
      </c>
      <c r="P786" t="str">
        <f>"4170072145                    "</f>
        <v xml:space="preserve">4170072145                    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  <c r="AD786">
        <v>0</v>
      </c>
      <c r="AE786">
        <v>0</v>
      </c>
      <c r="AF786">
        <v>0</v>
      </c>
      <c r="AG786">
        <v>0</v>
      </c>
      <c r="AH786">
        <v>0</v>
      </c>
      <c r="AI786">
        <v>0</v>
      </c>
      <c r="AJ786">
        <v>0</v>
      </c>
      <c r="AK786">
        <v>0</v>
      </c>
      <c r="AL786">
        <v>0</v>
      </c>
      <c r="AM786">
        <v>0</v>
      </c>
      <c r="AN786">
        <v>0</v>
      </c>
      <c r="AO786">
        <v>0</v>
      </c>
      <c r="AP786">
        <v>0</v>
      </c>
      <c r="AQ786">
        <v>49.45</v>
      </c>
      <c r="AR786">
        <v>0</v>
      </c>
      <c r="AS786">
        <v>0</v>
      </c>
      <c r="AT786">
        <v>0</v>
      </c>
      <c r="AU786">
        <v>0</v>
      </c>
      <c r="AV786">
        <v>0</v>
      </c>
      <c r="AW786">
        <v>0</v>
      </c>
      <c r="AX786">
        <v>0</v>
      </c>
      <c r="AY786">
        <v>0</v>
      </c>
      <c r="AZ786">
        <v>0</v>
      </c>
      <c r="BA786">
        <v>0</v>
      </c>
      <c r="BB786">
        <v>0</v>
      </c>
      <c r="BC786">
        <v>0</v>
      </c>
      <c r="BD786">
        <v>0</v>
      </c>
      <c r="BE786">
        <v>0</v>
      </c>
      <c r="BF786">
        <v>0</v>
      </c>
      <c r="BG786">
        <v>0</v>
      </c>
      <c r="BH786">
        <v>1</v>
      </c>
      <c r="BI786">
        <v>1</v>
      </c>
      <c r="BJ786">
        <v>0.2</v>
      </c>
      <c r="BK786">
        <v>1</v>
      </c>
      <c r="BL786">
        <v>147.38</v>
      </c>
      <c r="BM786">
        <v>22.11</v>
      </c>
      <c r="BN786">
        <v>169.49</v>
      </c>
      <c r="BO786">
        <v>169.49</v>
      </c>
      <c r="BQ786" t="s">
        <v>1495</v>
      </c>
      <c r="BR786" t="s">
        <v>82</v>
      </c>
      <c r="BS786" t="s">
        <v>500</v>
      </c>
      <c r="BY786">
        <v>1200</v>
      </c>
      <c r="CC786" t="s">
        <v>1493</v>
      </c>
      <c r="CD786">
        <v>7380</v>
      </c>
      <c r="CE786" t="s">
        <v>134</v>
      </c>
      <c r="CI786">
        <v>5</v>
      </c>
      <c r="CJ786" t="s">
        <v>500</v>
      </c>
      <c r="CK786">
        <v>23</v>
      </c>
      <c r="CL786" t="s">
        <v>87</v>
      </c>
    </row>
    <row r="787" spans="1:90" x14ac:dyDescent="0.3">
      <c r="A787" t="s">
        <v>72</v>
      </c>
      <c r="B787" t="s">
        <v>73</v>
      </c>
      <c r="C787" t="s">
        <v>74</v>
      </c>
      <c r="E787" t="str">
        <f>"080069703070"</f>
        <v>080069703070</v>
      </c>
      <c r="F787" s="3">
        <v>45996</v>
      </c>
      <c r="G787">
        <v>202609</v>
      </c>
      <c r="H787" t="s">
        <v>75</v>
      </c>
      <c r="I787" t="s">
        <v>76</v>
      </c>
      <c r="J787" t="s">
        <v>77</v>
      </c>
      <c r="K787" t="s">
        <v>78</v>
      </c>
      <c r="L787" t="s">
        <v>100</v>
      </c>
      <c r="M787" t="s">
        <v>101</v>
      </c>
      <c r="N787" t="s">
        <v>166</v>
      </c>
      <c r="O787" t="s">
        <v>89</v>
      </c>
      <c r="P787" t="str">
        <f>"4170072216                    "</f>
        <v xml:space="preserve">4170072216                    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  <c r="AF787">
        <v>0</v>
      </c>
      <c r="AG787">
        <v>0</v>
      </c>
      <c r="AH787">
        <v>0</v>
      </c>
      <c r="AI787">
        <v>0</v>
      </c>
      <c r="AJ787">
        <v>0</v>
      </c>
      <c r="AK787">
        <v>0</v>
      </c>
      <c r="AL787">
        <v>0</v>
      </c>
      <c r="AM787">
        <v>0</v>
      </c>
      <c r="AN787">
        <v>0</v>
      </c>
      <c r="AO787">
        <v>0</v>
      </c>
      <c r="AP787">
        <v>0</v>
      </c>
      <c r="AQ787">
        <v>25.52</v>
      </c>
      <c r="AR787">
        <v>0</v>
      </c>
      <c r="AS787">
        <v>0</v>
      </c>
      <c r="AT787">
        <v>0</v>
      </c>
      <c r="AU787">
        <v>0</v>
      </c>
      <c r="AV787">
        <v>0</v>
      </c>
      <c r="AW787">
        <v>0</v>
      </c>
      <c r="AX787">
        <v>0</v>
      </c>
      <c r="AY787">
        <v>0</v>
      </c>
      <c r="AZ787">
        <v>0</v>
      </c>
      <c r="BA787">
        <v>0</v>
      </c>
      <c r="BB787">
        <v>0</v>
      </c>
      <c r="BC787">
        <v>0</v>
      </c>
      <c r="BD787">
        <v>0</v>
      </c>
      <c r="BE787">
        <v>0</v>
      </c>
      <c r="BF787">
        <v>0</v>
      </c>
      <c r="BG787">
        <v>0</v>
      </c>
      <c r="BH787">
        <v>1</v>
      </c>
      <c r="BI787">
        <v>1</v>
      </c>
      <c r="BJ787">
        <v>0.2</v>
      </c>
      <c r="BK787">
        <v>1</v>
      </c>
      <c r="BL787">
        <v>76.06</v>
      </c>
      <c r="BM787">
        <v>11.41</v>
      </c>
      <c r="BN787">
        <v>87.47</v>
      </c>
      <c r="BO787">
        <v>87.47</v>
      </c>
      <c r="BQ787" t="s">
        <v>167</v>
      </c>
      <c r="BR787" t="s">
        <v>82</v>
      </c>
      <c r="BS787" t="s">
        <v>500</v>
      </c>
      <c r="BY787">
        <v>1200</v>
      </c>
      <c r="CC787" t="s">
        <v>101</v>
      </c>
      <c r="CD787">
        <v>4000</v>
      </c>
      <c r="CE787" t="s">
        <v>134</v>
      </c>
      <c r="CI787">
        <v>1</v>
      </c>
      <c r="CJ787" t="s">
        <v>500</v>
      </c>
      <c r="CK787">
        <v>21</v>
      </c>
      <c r="CL787" t="s">
        <v>87</v>
      </c>
    </row>
    <row r="788" spans="1:90" x14ac:dyDescent="0.3">
      <c r="A788" t="s">
        <v>72</v>
      </c>
      <c r="B788" t="s">
        <v>73</v>
      </c>
      <c r="C788" t="s">
        <v>74</v>
      </c>
      <c r="E788" t="str">
        <f>"080069703073"</f>
        <v>080069703073</v>
      </c>
      <c r="F788" s="3">
        <v>45996</v>
      </c>
      <c r="G788">
        <v>202609</v>
      </c>
      <c r="H788" t="s">
        <v>75</v>
      </c>
      <c r="I788" t="s">
        <v>76</v>
      </c>
      <c r="J788" t="s">
        <v>77</v>
      </c>
      <c r="K788" t="s">
        <v>78</v>
      </c>
      <c r="L788" t="s">
        <v>208</v>
      </c>
      <c r="M788" t="s">
        <v>209</v>
      </c>
      <c r="N788" t="s">
        <v>210</v>
      </c>
      <c r="O788" t="s">
        <v>80</v>
      </c>
      <c r="P788" t="str">
        <f>"4170072083                    "</f>
        <v xml:space="preserve">4170072083                    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0</v>
      </c>
      <c r="AD788">
        <v>0</v>
      </c>
      <c r="AE788">
        <v>0</v>
      </c>
      <c r="AF788">
        <v>0</v>
      </c>
      <c r="AG788">
        <v>0</v>
      </c>
      <c r="AH788">
        <v>0</v>
      </c>
      <c r="AI788">
        <v>0</v>
      </c>
      <c r="AJ788">
        <v>0</v>
      </c>
      <c r="AK788">
        <v>0</v>
      </c>
      <c r="AL788">
        <v>0</v>
      </c>
      <c r="AM788">
        <v>0</v>
      </c>
      <c r="AN788">
        <v>0</v>
      </c>
      <c r="AO788">
        <v>0</v>
      </c>
      <c r="AP788">
        <v>0</v>
      </c>
      <c r="AQ788">
        <v>49.36</v>
      </c>
      <c r="AR788">
        <v>0</v>
      </c>
      <c r="AS788">
        <v>0</v>
      </c>
      <c r="AT788">
        <v>0</v>
      </c>
      <c r="AU788">
        <v>0</v>
      </c>
      <c r="AV788">
        <v>0</v>
      </c>
      <c r="AW788">
        <v>0</v>
      </c>
      <c r="AX788">
        <v>0</v>
      </c>
      <c r="AY788">
        <v>0</v>
      </c>
      <c r="AZ788">
        <v>0</v>
      </c>
      <c r="BA788">
        <v>0</v>
      </c>
      <c r="BB788">
        <v>0</v>
      </c>
      <c r="BC788">
        <v>0</v>
      </c>
      <c r="BD788">
        <v>0</v>
      </c>
      <c r="BE788">
        <v>0</v>
      </c>
      <c r="BF788">
        <v>0</v>
      </c>
      <c r="BG788">
        <v>0</v>
      </c>
      <c r="BH788">
        <v>1</v>
      </c>
      <c r="BI788">
        <v>5.9</v>
      </c>
      <c r="BJ788">
        <v>3.2</v>
      </c>
      <c r="BK788">
        <v>6</v>
      </c>
      <c r="BL788">
        <v>153.19999999999999</v>
      </c>
      <c r="BM788">
        <v>22.98</v>
      </c>
      <c r="BN788">
        <v>176.18</v>
      </c>
      <c r="BO788">
        <v>176.18</v>
      </c>
      <c r="BQ788" t="s">
        <v>211</v>
      </c>
      <c r="BR788" t="s">
        <v>82</v>
      </c>
      <c r="BS788" t="s">
        <v>500</v>
      </c>
      <c r="BY788">
        <v>16163.68</v>
      </c>
      <c r="CC788" t="s">
        <v>209</v>
      </c>
      <c r="CD788" s="5" t="s">
        <v>213</v>
      </c>
      <c r="CE788" t="s">
        <v>86</v>
      </c>
      <c r="CI788">
        <v>1</v>
      </c>
      <c r="CJ788" t="s">
        <v>500</v>
      </c>
      <c r="CK788">
        <v>41</v>
      </c>
      <c r="CL788" t="s">
        <v>87</v>
      </c>
    </row>
    <row r="789" spans="1:90" x14ac:dyDescent="0.3">
      <c r="A789" t="s">
        <v>72</v>
      </c>
      <c r="B789" t="s">
        <v>73</v>
      </c>
      <c r="C789" t="s">
        <v>74</v>
      </c>
      <c r="E789" t="str">
        <f>"080069703105"</f>
        <v>080069703105</v>
      </c>
      <c r="F789" s="3">
        <v>45996</v>
      </c>
      <c r="G789">
        <v>202609</v>
      </c>
      <c r="H789" t="s">
        <v>75</v>
      </c>
      <c r="I789" t="s">
        <v>76</v>
      </c>
      <c r="J789" t="s">
        <v>77</v>
      </c>
      <c r="K789" t="s">
        <v>78</v>
      </c>
      <c r="L789" t="s">
        <v>1496</v>
      </c>
      <c r="M789" t="s">
        <v>1497</v>
      </c>
      <c r="N789" t="s">
        <v>1498</v>
      </c>
      <c r="O789" t="s">
        <v>89</v>
      </c>
      <c r="P789" t="str">
        <f>"4170072132                    "</f>
        <v xml:space="preserve">4170072132                    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>
        <v>0</v>
      </c>
      <c r="AG789">
        <v>0</v>
      </c>
      <c r="AH789">
        <v>0</v>
      </c>
      <c r="AI789">
        <v>0</v>
      </c>
      <c r="AJ789">
        <v>0</v>
      </c>
      <c r="AK789">
        <v>0</v>
      </c>
      <c r="AL789">
        <v>0</v>
      </c>
      <c r="AM789">
        <v>0</v>
      </c>
      <c r="AN789">
        <v>0</v>
      </c>
      <c r="AO789">
        <v>0</v>
      </c>
      <c r="AP789">
        <v>0</v>
      </c>
      <c r="AQ789">
        <v>60.62</v>
      </c>
      <c r="AR789">
        <v>0</v>
      </c>
      <c r="AS789">
        <v>0</v>
      </c>
      <c r="AT789">
        <v>0</v>
      </c>
      <c r="AU789">
        <v>0</v>
      </c>
      <c r="AV789">
        <v>0</v>
      </c>
      <c r="AW789">
        <v>0</v>
      </c>
      <c r="AX789">
        <v>0</v>
      </c>
      <c r="AY789">
        <v>0</v>
      </c>
      <c r="AZ789">
        <v>0</v>
      </c>
      <c r="BA789">
        <v>0</v>
      </c>
      <c r="BB789">
        <v>0</v>
      </c>
      <c r="BC789">
        <v>0</v>
      </c>
      <c r="BD789">
        <v>0</v>
      </c>
      <c r="BE789">
        <v>0</v>
      </c>
      <c r="BF789">
        <v>0</v>
      </c>
      <c r="BG789">
        <v>0</v>
      </c>
      <c r="BH789">
        <v>1</v>
      </c>
      <c r="BI789">
        <v>1</v>
      </c>
      <c r="BJ789">
        <v>2.5</v>
      </c>
      <c r="BK789">
        <v>2.5</v>
      </c>
      <c r="BL789">
        <v>180.66</v>
      </c>
      <c r="BM789">
        <v>27.1</v>
      </c>
      <c r="BN789">
        <v>207.76</v>
      </c>
      <c r="BO789">
        <v>207.76</v>
      </c>
      <c r="BQ789" t="s">
        <v>1499</v>
      </c>
      <c r="BR789" t="s">
        <v>82</v>
      </c>
      <c r="BS789" t="s">
        <v>500</v>
      </c>
      <c r="BY789">
        <v>12654</v>
      </c>
      <c r="BZ789" t="s">
        <v>35</v>
      </c>
      <c r="CC789" t="s">
        <v>1497</v>
      </c>
      <c r="CD789">
        <v>3236</v>
      </c>
      <c r="CE789" t="s">
        <v>93</v>
      </c>
      <c r="CI789">
        <v>5</v>
      </c>
      <c r="CJ789" t="s">
        <v>500</v>
      </c>
      <c r="CK789">
        <v>23</v>
      </c>
      <c r="CL789" t="s">
        <v>87</v>
      </c>
    </row>
    <row r="790" spans="1:90" x14ac:dyDescent="0.3">
      <c r="A790" t="s">
        <v>72</v>
      </c>
      <c r="B790" t="s">
        <v>73</v>
      </c>
      <c r="C790" t="s">
        <v>74</v>
      </c>
      <c r="E790" t="str">
        <f>"080069703152"</f>
        <v>080069703152</v>
      </c>
      <c r="F790" s="3">
        <v>45996</v>
      </c>
      <c r="G790">
        <v>202609</v>
      </c>
      <c r="H790" t="s">
        <v>75</v>
      </c>
      <c r="I790" t="s">
        <v>76</v>
      </c>
      <c r="J790" t="s">
        <v>77</v>
      </c>
      <c r="K790" t="s">
        <v>78</v>
      </c>
      <c r="L790" t="s">
        <v>156</v>
      </c>
      <c r="M790" t="s">
        <v>157</v>
      </c>
      <c r="N790" t="s">
        <v>261</v>
      </c>
      <c r="O790" t="s">
        <v>89</v>
      </c>
      <c r="P790" t="str">
        <f>"4170072248                    "</f>
        <v xml:space="preserve">4170072248                    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0</v>
      </c>
      <c r="AG790">
        <v>0</v>
      </c>
      <c r="AH790">
        <v>0</v>
      </c>
      <c r="AI790">
        <v>0</v>
      </c>
      <c r="AJ790">
        <v>0</v>
      </c>
      <c r="AK790">
        <v>0</v>
      </c>
      <c r="AL790">
        <v>0</v>
      </c>
      <c r="AM790">
        <v>0</v>
      </c>
      <c r="AN790">
        <v>0</v>
      </c>
      <c r="AO790">
        <v>0</v>
      </c>
      <c r="AP790">
        <v>0</v>
      </c>
      <c r="AQ790">
        <v>140.33000000000001</v>
      </c>
      <c r="AR790">
        <v>0</v>
      </c>
      <c r="AS790">
        <v>0</v>
      </c>
      <c r="AT790">
        <v>0</v>
      </c>
      <c r="AU790">
        <v>0</v>
      </c>
      <c r="AV790">
        <v>0</v>
      </c>
      <c r="AW790">
        <v>0</v>
      </c>
      <c r="AX790">
        <v>0</v>
      </c>
      <c r="AY790">
        <v>0</v>
      </c>
      <c r="AZ790">
        <v>0</v>
      </c>
      <c r="BA790">
        <v>0</v>
      </c>
      <c r="BB790">
        <v>0</v>
      </c>
      <c r="BC790">
        <v>0</v>
      </c>
      <c r="BD790">
        <v>0</v>
      </c>
      <c r="BE790">
        <v>0</v>
      </c>
      <c r="BF790">
        <v>0</v>
      </c>
      <c r="BG790">
        <v>0</v>
      </c>
      <c r="BH790">
        <v>1</v>
      </c>
      <c r="BI790">
        <v>11</v>
      </c>
      <c r="BJ790">
        <v>6.8</v>
      </c>
      <c r="BK790">
        <v>11</v>
      </c>
      <c r="BL790">
        <v>418.21</v>
      </c>
      <c r="BM790">
        <v>62.73</v>
      </c>
      <c r="BN790">
        <v>480.94</v>
      </c>
      <c r="BO790">
        <v>480.94</v>
      </c>
      <c r="BQ790" t="s">
        <v>262</v>
      </c>
      <c r="BR790" t="s">
        <v>82</v>
      </c>
      <c r="BS790" t="s">
        <v>500</v>
      </c>
      <c r="BY790">
        <v>33880</v>
      </c>
      <c r="CC790" t="s">
        <v>157</v>
      </c>
      <c r="CD790">
        <v>7441</v>
      </c>
      <c r="CE790" t="s">
        <v>93</v>
      </c>
      <c r="CI790">
        <v>1</v>
      </c>
      <c r="CJ790" t="s">
        <v>500</v>
      </c>
      <c r="CK790">
        <v>21</v>
      </c>
      <c r="CL790" t="s">
        <v>87</v>
      </c>
    </row>
    <row r="791" spans="1:90" x14ac:dyDescent="0.3">
      <c r="A791" t="s">
        <v>72</v>
      </c>
      <c r="B791" t="s">
        <v>73</v>
      </c>
      <c r="C791" t="s">
        <v>74</v>
      </c>
      <c r="E791" t="str">
        <f>"080069703310"</f>
        <v>080069703310</v>
      </c>
      <c r="F791" s="3">
        <v>45996</v>
      </c>
      <c r="G791">
        <v>202609</v>
      </c>
      <c r="H791" t="s">
        <v>75</v>
      </c>
      <c r="I791" t="s">
        <v>76</v>
      </c>
      <c r="J791" t="s">
        <v>77</v>
      </c>
      <c r="K791" t="s">
        <v>78</v>
      </c>
      <c r="L791" t="s">
        <v>156</v>
      </c>
      <c r="M791" t="s">
        <v>157</v>
      </c>
      <c r="N791" t="s">
        <v>1347</v>
      </c>
      <c r="O791" t="s">
        <v>89</v>
      </c>
      <c r="P791" t="str">
        <f>"4170072061                    "</f>
        <v xml:space="preserve">4170072061                    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0</v>
      </c>
      <c r="AG791">
        <v>0</v>
      </c>
      <c r="AH791">
        <v>0</v>
      </c>
      <c r="AI791">
        <v>0</v>
      </c>
      <c r="AJ791">
        <v>0</v>
      </c>
      <c r="AK791">
        <v>0</v>
      </c>
      <c r="AL791">
        <v>0</v>
      </c>
      <c r="AM791">
        <v>0</v>
      </c>
      <c r="AN791">
        <v>0</v>
      </c>
      <c r="AO791">
        <v>0</v>
      </c>
      <c r="AP791">
        <v>0</v>
      </c>
      <c r="AQ791">
        <v>57.41</v>
      </c>
      <c r="AR791">
        <v>0</v>
      </c>
      <c r="AS791">
        <v>0</v>
      </c>
      <c r="AT791">
        <v>0</v>
      </c>
      <c r="AU791">
        <v>0</v>
      </c>
      <c r="AV791">
        <v>0</v>
      </c>
      <c r="AW791">
        <v>0</v>
      </c>
      <c r="AX791">
        <v>0</v>
      </c>
      <c r="AY791">
        <v>0</v>
      </c>
      <c r="AZ791">
        <v>0</v>
      </c>
      <c r="BA791">
        <v>0</v>
      </c>
      <c r="BB791">
        <v>0</v>
      </c>
      <c r="BC791">
        <v>0</v>
      </c>
      <c r="BD791">
        <v>0</v>
      </c>
      <c r="BE791">
        <v>0</v>
      </c>
      <c r="BF791">
        <v>0</v>
      </c>
      <c r="BG791">
        <v>0</v>
      </c>
      <c r="BH791">
        <v>1</v>
      </c>
      <c r="BI791">
        <v>4.5</v>
      </c>
      <c r="BJ791">
        <v>3.4</v>
      </c>
      <c r="BK791">
        <v>4.5</v>
      </c>
      <c r="BL791">
        <v>171.1</v>
      </c>
      <c r="BM791">
        <v>25.67</v>
      </c>
      <c r="BN791">
        <v>196.77</v>
      </c>
      <c r="BO791">
        <v>196.77</v>
      </c>
      <c r="BQ791" t="s">
        <v>1348</v>
      </c>
      <c r="BR791" t="s">
        <v>82</v>
      </c>
      <c r="BS791" t="s">
        <v>500</v>
      </c>
      <c r="BY791">
        <v>17049.25</v>
      </c>
      <c r="CC791" t="s">
        <v>157</v>
      </c>
      <c r="CD791">
        <v>7460</v>
      </c>
      <c r="CE791" t="s">
        <v>86</v>
      </c>
      <c r="CI791">
        <v>1</v>
      </c>
      <c r="CJ791" t="s">
        <v>500</v>
      </c>
      <c r="CK791">
        <v>21</v>
      </c>
      <c r="CL791" t="s">
        <v>87</v>
      </c>
    </row>
    <row r="792" spans="1:90" x14ac:dyDescent="0.3">
      <c r="A792" t="s">
        <v>72</v>
      </c>
      <c r="B792" t="s">
        <v>73</v>
      </c>
      <c r="C792" t="s">
        <v>74</v>
      </c>
      <c r="E792" t="str">
        <f>"080069703315"</f>
        <v>080069703315</v>
      </c>
      <c r="F792" s="3">
        <v>45996</v>
      </c>
      <c r="G792">
        <v>202609</v>
      </c>
      <c r="H792" t="s">
        <v>75</v>
      </c>
      <c r="I792" t="s">
        <v>76</v>
      </c>
      <c r="J792" t="s">
        <v>77</v>
      </c>
      <c r="K792" t="s">
        <v>78</v>
      </c>
      <c r="L792" t="s">
        <v>374</v>
      </c>
      <c r="M792" t="s">
        <v>375</v>
      </c>
      <c r="N792" t="s">
        <v>376</v>
      </c>
      <c r="O792" t="s">
        <v>80</v>
      </c>
      <c r="P792" t="str">
        <f>"4170072102                    "</f>
        <v xml:space="preserve">4170072102                    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  <c r="AG792">
        <v>0</v>
      </c>
      <c r="AH792">
        <v>0</v>
      </c>
      <c r="AI792">
        <v>0</v>
      </c>
      <c r="AJ792">
        <v>0</v>
      </c>
      <c r="AK792">
        <v>0</v>
      </c>
      <c r="AL792">
        <v>0</v>
      </c>
      <c r="AM792">
        <v>0</v>
      </c>
      <c r="AN792">
        <v>0</v>
      </c>
      <c r="AO792">
        <v>0</v>
      </c>
      <c r="AP792">
        <v>0</v>
      </c>
      <c r="AQ792">
        <v>59.56</v>
      </c>
      <c r="AR792">
        <v>0</v>
      </c>
      <c r="AS792">
        <v>0</v>
      </c>
      <c r="AT792">
        <v>0</v>
      </c>
      <c r="AU792">
        <v>0</v>
      </c>
      <c r="AV792">
        <v>0</v>
      </c>
      <c r="AW792">
        <v>0</v>
      </c>
      <c r="AX792">
        <v>0</v>
      </c>
      <c r="AY792">
        <v>0</v>
      </c>
      <c r="AZ792">
        <v>0</v>
      </c>
      <c r="BA792">
        <v>0</v>
      </c>
      <c r="BB792">
        <v>0</v>
      </c>
      <c r="BC792">
        <v>0</v>
      </c>
      <c r="BD792">
        <v>0</v>
      </c>
      <c r="BE792">
        <v>0</v>
      </c>
      <c r="BF792">
        <v>0</v>
      </c>
      <c r="BG792">
        <v>0</v>
      </c>
      <c r="BH792">
        <v>2</v>
      </c>
      <c r="BI792">
        <v>20</v>
      </c>
      <c r="BJ792">
        <v>7.2</v>
      </c>
      <c r="BK792">
        <v>20</v>
      </c>
      <c r="BL792">
        <v>183.6</v>
      </c>
      <c r="BM792">
        <v>27.54</v>
      </c>
      <c r="BN792">
        <v>211.14</v>
      </c>
      <c r="BO792">
        <v>211.14</v>
      </c>
      <c r="BQ792" t="s">
        <v>377</v>
      </c>
      <c r="BR792" t="s">
        <v>82</v>
      </c>
      <c r="BS792" t="s">
        <v>500</v>
      </c>
      <c r="BY792">
        <v>18032</v>
      </c>
      <c r="CC792" t="s">
        <v>375</v>
      </c>
      <c r="CD792">
        <v>7600</v>
      </c>
      <c r="CE792" t="s">
        <v>877</v>
      </c>
      <c r="CI792">
        <v>3</v>
      </c>
      <c r="CJ792" t="s">
        <v>500</v>
      </c>
      <c r="CK792">
        <v>41</v>
      </c>
      <c r="CL792" t="s">
        <v>87</v>
      </c>
    </row>
    <row r="793" spans="1:90" x14ac:dyDescent="0.3">
      <c r="A793" t="s">
        <v>72</v>
      </c>
      <c r="B793" t="s">
        <v>73</v>
      </c>
      <c r="C793" t="s">
        <v>74</v>
      </c>
      <c r="E793" t="str">
        <f>"080069703350"</f>
        <v>080069703350</v>
      </c>
      <c r="F793" s="3">
        <v>45996</v>
      </c>
      <c r="G793">
        <v>202609</v>
      </c>
      <c r="H793" t="s">
        <v>75</v>
      </c>
      <c r="I793" t="s">
        <v>76</v>
      </c>
      <c r="J793" t="s">
        <v>77</v>
      </c>
      <c r="K793" t="s">
        <v>78</v>
      </c>
      <c r="L793" t="s">
        <v>141</v>
      </c>
      <c r="M793" t="s">
        <v>142</v>
      </c>
      <c r="N793" t="s">
        <v>701</v>
      </c>
      <c r="O793" t="s">
        <v>89</v>
      </c>
      <c r="P793" t="str">
        <f>"4170072135                    "</f>
        <v xml:space="preserve">4170072135                    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0</v>
      </c>
      <c r="AG793">
        <v>0</v>
      </c>
      <c r="AH793">
        <v>0</v>
      </c>
      <c r="AI793">
        <v>0</v>
      </c>
      <c r="AJ793">
        <v>0</v>
      </c>
      <c r="AK793">
        <v>0</v>
      </c>
      <c r="AL793">
        <v>0</v>
      </c>
      <c r="AM793">
        <v>0</v>
      </c>
      <c r="AN793">
        <v>0</v>
      </c>
      <c r="AO793">
        <v>0</v>
      </c>
      <c r="AP793">
        <v>0</v>
      </c>
      <c r="AQ793">
        <v>25.52</v>
      </c>
      <c r="AR793">
        <v>0</v>
      </c>
      <c r="AS793">
        <v>0</v>
      </c>
      <c r="AT793">
        <v>0</v>
      </c>
      <c r="AU793">
        <v>0</v>
      </c>
      <c r="AV793">
        <v>0</v>
      </c>
      <c r="AW793">
        <v>0</v>
      </c>
      <c r="AX793">
        <v>0</v>
      </c>
      <c r="AY793">
        <v>0</v>
      </c>
      <c r="AZ793">
        <v>0</v>
      </c>
      <c r="BA793">
        <v>0</v>
      </c>
      <c r="BB793">
        <v>0</v>
      </c>
      <c r="BC793">
        <v>0</v>
      </c>
      <c r="BD793">
        <v>0</v>
      </c>
      <c r="BE793">
        <v>0</v>
      </c>
      <c r="BF793">
        <v>0</v>
      </c>
      <c r="BG793">
        <v>0</v>
      </c>
      <c r="BH793">
        <v>1</v>
      </c>
      <c r="BI793">
        <v>1</v>
      </c>
      <c r="BJ793">
        <v>0.2</v>
      </c>
      <c r="BK793">
        <v>1</v>
      </c>
      <c r="BL793">
        <v>76.06</v>
      </c>
      <c r="BM793">
        <v>11.41</v>
      </c>
      <c r="BN793">
        <v>87.47</v>
      </c>
      <c r="BO793">
        <v>87.47</v>
      </c>
      <c r="BQ793" t="s">
        <v>702</v>
      </c>
      <c r="BR793" t="s">
        <v>82</v>
      </c>
      <c r="BS793" t="s">
        <v>500</v>
      </c>
      <c r="BY793">
        <v>1200</v>
      </c>
      <c r="CC793" t="s">
        <v>142</v>
      </c>
      <c r="CD793">
        <v>6012</v>
      </c>
      <c r="CE793" t="s">
        <v>134</v>
      </c>
      <c r="CI793">
        <v>1</v>
      </c>
      <c r="CJ793" t="s">
        <v>500</v>
      </c>
      <c r="CK793">
        <v>21</v>
      </c>
      <c r="CL793" t="s">
        <v>87</v>
      </c>
    </row>
    <row r="794" spans="1:90" x14ac:dyDescent="0.3">
      <c r="A794" t="s">
        <v>72</v>
      </c>
      <c r="B794" t="s">
        <v>73</v>
      </c>
      <c r="C794" t="s">
        <v>74</v>
      </c>
      <c r="E794" t="str">
        <f>"080069703361"</f>
        <v>080069703361</v>
      </c>
      <c r="F794" s="3">
        <v>45996</v>
      </c>
      <c r="G794">
        <v>202609</v>
      </c>
      <c r="H794" t="s">
        <v>75</v>
      </c>
      <c r="I794" t="s">
        <v>76</v>
      </c>
      <c r="J794" t="s">
        <v>77</v>
      </c>
      <c r="K794" t="s">
        <v>78</v>
      </c>
      <c r="L794" t="s">
        <v>75</v>
      </c>
      <c r="M794" t="s">
        <v>76</v>
      </c>
      <c r="N794" t="s">
        <v>79</v>
      </c>
      <c r="O794" t="s">
        <v>89</v>
      </c>
      <c r="P794" t="str">
        <f>"4170072211                    "</f>
        <v xml:space="preserve">4170072211                    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  <c r="AG794">
        <v>0</v>
      </c>
      <c r="AH794">
        <v>0</v>
      </c>
      <c r="AI794">
        <v>0</v>
      </c>
      <c r="AJ794">
        <v>0</v>
      </c>
      <c r="AK794">
        <v>0</v>
      </c>
      <c r="AL794">
        <v>0</v>
      </c>
      <c r="AM794">
        <v>0</v>
      </c>
      <c r="AN794">
        <v>0</v>
      </c>
      <c r="AO794">
        <v>0</v>
      </c>
      <c r="AP794">
        <v>0</v>
      </c>
      <c r="AQ794">
        <v>19.940000000000001</v>
      </c>
      <c r="AR794">
        <v>0</v>
      </c>
      <c r="AS794">
        <v>0</v>
      </c>
      <c r="AT794">
        <v>0</v>
      </c>
      <c r="AU794">
        <v>0</v>
      </c>
      <c r="AV794">
        <v>0</v>
      </c>
      <c r="AW794">
        <v>0</v>
      </c>
      <c r="AX794">
        <v>0</v>
      </c>
      <c r="AY794">
        <v>0</v>
      </c>
      <c r="AZ794">
        <v>0</v>
      </c>
      <c r="BA794">
        <v>0</v>
      </c>
      <c r="BB794">
        <v>0</v>
      </c>
      <c r="BC794">
        <v>0</v>
      </c>
      <c r="BD794">
        <v>0</v>
      </c>
      <c r="BE794">
        <v>0</v>
      </c>
      <c r="BF794">
        <v>0</v>
      </c>
      <c r="BG794">
        <v>0</v>
      </c>
      <c r="BH794">
        <v>1</v>
      </c>
      <c r="BI794">
        <v>2</v>
      </c>
      <c r="BJ794">
        <v>1.1000000000000001</v>
      </c>
      <c r="BK794">
        <v>2</v>
      </c>
      <c r="BL794">
        <v>59.42</v>
      </c>
      <c r="BM794">
        <v>8.91</v>
      </c>
      <c r="BN794">
        <v>68.33</v>
      </c>
      <c r="BO794">
        <v>68.33</v>
      </c>
      <c r="BQ794" t="s">
        <v>81</v>
      </c>
      <c r="BR794" t="s">
        <v>82</v>
      </c>
      <c r="BS794" t="s">
        <v>500</v>
      </c>
      <c r="BY794">
        <v>5510</v>
      </c>
      <c r="CC794" t="s">
        <v>76</v>
      </c>
      <c r="CD794">
        <v>1619</v>
      </c>
      <c r="CE794" t="s">
        <v>86</v>
      </c>
      <c r="CI794">
        <v>1</v>
      </c>
      <c r="CJ794" t="s">
        <v>500</v>
      </c>
      <c r="CK794">
        <v>22</v>
      </c>
      <c r="CL794" t="s">
        <v>87</v>
      </c>
    </row>
    <row r="795" spans="1:90" x14ac:dyDescent="0.3">
      <c r="A795" t="s">
        <v>72</v>
      </c>
      <c r="B795" t="s">
        <v>73</v>
      </c>
      <c r="C795" t="s">
        <v>74</v>
      </c>
      <c r="E795" t="str">
        <f>"080069703401"</f>
        <v>080069703401</v>
      </c>
      <c r="F795" s="3">
        <v>45996</v>
      </c>
      <c r="G795">
        <v>202609</v>
      </c>
      <c r="H795" t="s">
        <v>75</v>
      </c>
      <c r="I795" t="s">
        <v>76</v>
      </c>
      <c r="J795" t="s">
        <v>77</v>
      </c>
      <c r="K795" t="s">
        <v>78</v>
      </c>
      <c r="L795" t="s">
        <v>533</v>
      </c>
      <c r="M795" t="s">
        <v>533</v>
      </c>
      <c r="N795" t="s">
        <v>554</v>
      </c>
      <c r="O795" t="s">
        <v>89</v>
      </c>
      <c r="P795" t="str">
        <f>"4170072204                    "</f>
        <v xml:space="preserve">4170072204                    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0</v>
      </c>
      <c r="AG795">
        <v>0</v>
      </c>
      <c r="AH795">
        <v>0</v>
      </c>
      <c r="AI795">
        <v>0</v>
      </c>
      <c r="AJ795">
        <v>0</v>
      </c>
      <c r="AK795">
        <v>0</v>
      </c>
      <c r="AL795">
        <v>0</v>
      </c>
      <c r="AM795">
        <v>0</v>
      </c>
      <c r="AN795">
        <v>0</v>
      </c>
      <c r="AO795">
        <v>0</v>
      </c>
      <c r="AP795">
        <v>0</v>
      </c>
      <c r="AQ795">
        <v>49.45</v>
      </c>
      <c r="AR795">
        <v>0</v>
      </c>
      <c r="AS795">
        <v>0</v>
      </c>
      <c r="AT795">
        <v>0</v>
      </c>
      <c r="AU795">
        <v>0</v>
      </c>
      <c r="AV795">
        <v>0</v>
      </c>
      <c r="AW795">
        <v>0</v>
      </c>
      <c r="AX795">
        <v>0</v>
      </c>
      <c r="AY795">
        <v>0</v>
      </c>
      <c r="AZ795">
        <v>0</v>
      </c>
      <c r="BA795">
        <v>0</v>
      </c>
      <c r="BB795">
        <v>0</v>
      </c>
      <c r="BC795">
        <v>0</v>
      </c>
      <c r="BD795">
        <v>0</v>
      </c>
      <c r="BE795">
        <v>0</v>
      </c>
      <c r="BF795">
        <v>0</v>
      </c>
      <c r="BG795">
        <v>0</v>
      </c>
      <c r="BH795">
        <v>1</v>
      </c>
      <c r="BI795">
        <v>2</v>
      </c>
      <c r="BJ795">
        <v>1.4</v>
      </c>
      <c r="BK795">
        <v>2</v>
      </c>
      <c r="BL795">
        <v>147.38</v>
      </c>
      <c r="BM795">
        <v>22.11</v>
      </c>
      <c r="BN795">
        <v>169.49</v>
      </c>
      <c r="BO795">
        <v>169.49</v>
      </c>
      <c r="BQ795" t="s">
        <v>555</v>
      </c>
      <c r="BR795" t="s">
        <v>82</v>
      </c>
      <c r="BS795" t="s">
        <v>500</v>
      </c>
      <c r="BY795">
        <v>7000</v>
      </c>
      <c r="CC795" t="s">
        <v>533</v>
      </c>
      <c r="CD795">
        <v>7646</v>
      </c>
      <c r="CE795" t="s">
        <v>86</v>
      </c>
      <c r="CI795">
        <v>1</v>
      </c>
      <c r="CJ795" t="s">
        <v>500</v>
      </c>
      <c r="CK795">
        <v>23</v>
      </c>
      <c r="CL795" t="s">
        <v>87</v>
      </c>
    </row>
    <row r="796" spans="1:90" x14ac:dyDescent="0.3">
      <c r="A796" t="s">
        <v>72</v>
      </c>
      <c r="B796" t="s">
        <v>73</v>
      </c>
      <c r="C796" t="s">
        <v>74</v>
      </c>
      <c r="E796" t="str">
        <f>"080069703402"</f>
        <v>080069703402</v>
      </c>
      <c r="F796" s="3">
        <v>45996</v>
      </c>
      <c r="G796">
        <v>202609</v>
      </c>
      <c r="H796" t="s">
        <v>75</v>
      </c>
      <c r="I796" t="s">
        <v>76</v>
      </c>
      <c r="J796" t="s">
        <v>77</v>
      </c>
      <c r="K796" t="s">
        <v>78</v>
      </c>
      <c r="L796" t="s">
        <v>94</v>
      </c>
      <c r="M796" t="s">
        <v>95</v>
      </c>
      <c r="N796" t="s">
        <v>794</v>
      </c>
      <c r="O796" t="s">
        <v>89</v>
      </c>
      <c r="P796" t="str">
        <f>"4170072197                    "</f>
        <v xml:space="preserve">4170072197                    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0</v>
      </c>
      <c r="AG796">
        <v>0</v>
      </c>
      <c r="AH796">
        <v>0</v>
      </c>
      <c r="AI796">
        <v>0</v>
      </c>
      <c r="AJ796">
        <v>0</v>
      </c>
      <c r="AK796">
        <v>0</v>
      </c>
      <c r="AL796">
        <v>0</v>
      </c>
      <c r="AM796">
        <v>0</v>
      </c>
      <c r="AN796">
        <v>0</v>
      </c>
      <c r="AO796">
        <v>0</v>
      </c>
      <c r="AP796">
        <v>0</v>
      </c>
      <c r="AQ796">
        <v>25.52</v>
      </c>
      <c r="AR796">
        <v>0</v>
      </c>
      <c r="AS796">
        <v>0</v>
      </c>
      <c r="AT796">
        <v>0</v>
      </c>
      <c r="AU796">
        <v>0</v>
      </c>
      <c r="AV796">
        <v>0</v>
      </c>
      <c r="AW796">
        <v>0</v>
      </c>
      <c r="AX796">
        <v>0</v>
      </c>
      <c r="AY796">
        <v>0</v>
      </c>
      <c r="AZ796">
        <v>0</v>
      </c>
      <c r="BA796">
        <v>0</v>
      </c>
      <c r="BB796">
        <v>0</v>
      </c>
      <c r="BC796">
        <v>0</v>
      </c>
      <c r="BD796">
        <v>0</v>
      </c>
      <c r="BE796">
        <v>0</v>
      </c>
      <c r="BF796">
        <v>0</v>
      </c>
      <c r="BG796">
        <v>0</v>
      </c>
      <c r="BH796">
        <v>1</v>
      </c>
      <c r="BI796">
        <v>1</v>
      </c>
      <c r="BJ796">
        <v>0.2</v>
      </c>
      <c r="BK796">
        <v>1</v>
      </c>
      <c r="BL796">
        <v>76.06</v>
      </c>
      <c r="BM796">
        <v>11.41</v>
      </c>
      <c r="BN796">
        <v>87.47</v>
      </c>
      <c r="BO796">
        <v>87.47</v>
      </c>
      <c r="BQ796" t="s">
        <v>795</v>
      </c>
      <c r="BR796" t="s">
        <v>82</v>
      </c>
      <c r="BS796" t="s">
        <v>500</v>
      </c>
      <c r="BY796">
        <v>1200</v>
      </c>
      <c r="CC796" t="s">
        <v>95</v>
      </c>
      <c r="CD796">
        <v>3600</v>
      </c>
      <c r="CE796" t="s">
        <v>134</v>
      </c>
      <c r="CI796">
        <v>1</v>
      </c>
      <c r="CJ796" t="s">
        <v>500</v>
      </c>
      <c r="CK796">
        <v>21</v>
      </c>
      <c r="CL796" t="s">
        <v>87</v>
      </c>
    </row>
    <row r="797" spans="1:90" x14ac:dyDescent="0.3">
      <c r="A797" t="s">
        <v>72</v>
      </c>
      <c r="B797" t="s">
        <v>73</v>
      </c>
      <c r="C797" t="s">
        <v>74</v>
      </c>
      <c r="E797" t="str">
        <f>"080069703446"</f>
        <v>080069703446</v>
      </c>
      <c r="F797" s="3">
        <v>45996</v>
      </c>
      <c r="G797">
        <v>202609</v>
      </c>
      <c r="H797" t="s">
        <v>75</v>
      </c>
      <c r="I797" t="s">
        <v>76</v>
      </c>
      <c r="J797" t="s">
        <v>77</v>
      </c>
      <c r="K797" t="s">
        <v>78</v>
      </c>
      <c r="L797" t="s">
        <v>75</v>
      </c>
      <c r="M797" t="s">
        <v>76</v>
      </c>
      <c r="N797" t="s">
        <v>79</v>
      </c>
      <c r="O797" t="s">
        <v>89</v>
      </c>
      <c r="P797" t="str">
        <f>"4170072212                    "</f>
        <v xml:space="preserve">4170072212                    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  <c r="AE797">
        <v>0</v>
      </c>
      <c r="AF797">
        <v>0</v>
      </c>
      <c r="AG797">
        <v>0</v>
      </c>
      <c r="AH797">
        <v>0</v>
      </c>
      <c r="AI797">
        <v>0</v>
      </c>
      <c r="AJ797">
        <v>0</v>
      </c>
      <c r="AK797">
        <v>0</v>
      </c>
      <c r="AL797">
        <v>0</v>
      </c>
      <c r="AM797">
        <v>0</v>
      </c>
      <c r="AN797">
        <v>0</v>
      </c>
      <c r="AO797">
        <v>0</v>
      </c>
      <c r="AP797">
        <v>0</v>
      </c>
      <c r="AQ797">
        <v>19.940000000000001</v>
      </c>
      <c r="AR797">
        <v>0</v>
      </c>
      <c r="AS797">
        <v>0</v>
      </c>
      <c r="AT797">
        <v>0</v>
      </c>
      <c r="AU797">
        <v>0</v>
      </c>
      <c r="AV797">
        <v>0</v>
      </c>
      <c r="AW797">
        <v>0</v>
      </c>
      <c r="AX797">
        <v>0</v>
      </c>
      <c r="AY797">
        <v>0</v>
      </c>
      <c r="AZ797">
        <v>0</v>
      </c>
      <c r="BA797">
        <v>0</v>
      </c>
      <c r="BB797">
        <v>0</v>
      </c>
      <c r="BC797">
        <v>0</v>
      </c>
      <c r="BD797">
        <v>0</v>
      </c>
      <c r="BE797">
        <v>0</v>
      </c>
      <c r="BF797">
        <v>0</v>
      </c>
      <c r="BG797">
        <v>0</v>
      </c>
      <c r="BH797">
        <v>1</v>
      </c>
      <c r="BI797">
        <v>2</v>
      </c>
      <c r="BJ797">
        <v>1.1000000000000001</v>
      </c>
      <c r="BK797">
        <v>2</v>
      </c>
      <c r="BL797">
        <v>59.42</v>
      </c>
      <c r="BM797">
        <v>8.91</v>
      </c>
      <c r="BN797">
        <v>68.33</v>
      </c>
      <c r="BO797">
        <v>68.33</v>
      </c>
      <c r="BQ797" t="s">
        <v>81</v>
      </c>
      <c r="BR797" t="s">
        <v>82</v>
      </c>
      <c r="BS797" t="s">
        <v>500</v>
      </c>
      <c r="BY797">
        <v>5510</v>
      </c>
      <c r="CC797" t="s">
        <v>76</v>
      </c>
      <c r="CD797">
        <v>1619</v>
      </c>
      <c r="CE797" t="s">
        <v>86</v>
      </c>
      <c r="CI797">
        <v>1</v>
      </c>
      <c r="CJ797" t="s">
        <v>500</v>
      </c>
      <c r="CK797">
        <v>22</v>
      </c>
      <c r="CL797" t="s">
        <v>87</v>
      </c>
    </row>
    <row r="798" spans="1:90" x14ac:dyDescent="0.3">
      <c r="A798" t="s">
        <v>72</v>
      </c>
      <c r="B798" t="s">
        <v>73</v>
      </c>
      <c r="C798" t="s">
        <v>74</v>
      </c>
      <c r="E798" t="str">
        <f>"080069703442"</f>
        <v>080069703442</v>
      </c>
      <c r="F798" s="3">
        <v>45996</v>
      </c>
      <c r="G798">
        <v>202609</v>
      </c>
      <c r="H798" t="s">
        <v>75</v>
      </c>
      <c r="I798" t="s">
        <v>76</v>
      </c>
      <c r="J798" t="s">
        <v>77</v>
      </c>
      <c r="K798" t="s">
        <v>78</v>
      </c>
      <c r="L798" t="s">
        <v>141</v>
      </c>
      <c r="M798" t="s">
        <v>142</v>
      </c>
      <c r="N798" t="s">
        <v>844</v>
      </c>
      <c r="O798" t="s">
        <v>89</v>
      </c>
      <c r="P798" t="str">
        <f>"4170072231                    "</f>
        <v xml:space="preserve">4170072231                    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  <c r="AD798">
        <v>0</v>
      </c>
      <c r="AE798">
        <v>0</v>
      </c>
      <c r="AF798">
        <v>0</v>
      </c>
      <c r="AG798">
        <v>0</v>
      </c>
      <c r="AH798">
        <v>0</v>
      </c>
      <c r="AI798">
        <v>0</v>
      </c>
      <c r="AJ798">
        <v>0</v>
      </c>
      <c r="AK798">
        <v>0</v>
      </c>
      <c r="AL798">
        <v>0</v>
      </c>
      <c r="AM798">
        <v>0</v>
      </c>
      <c r="AN798">
        <v>0</v>
      </c>
      <c r="AO798">
        <v>0</v>
      </c>
      <c r="AP798">
        <v>0</v>
      </c>
      <c r="AQ798">
        <v>25.52</v>
      </c>
      <c r="AR798">
        <v>0</v>
      </c>
      <c r="AS798">
        <v>0</v>
      </c>
      <c r="AT798">
        <v>0</v>
      </c>
      <c r="AU798">
        <v>0</v>
      </c>
      <c r="AV798">
        <v>0</v>
      </c>
      <c r="AW798">
        <v>0</v>
      </c>
      <c r="AX798">
        <v>0</v>
      </c>
      <c r="AY798">
        <v>0</v>
      </c>
      <c r="AZ798">
        <v>0</v>
      </c>
      <c r="BA798">
        <v>0</v>
      </c>
      <c r="BB798">
        <v>0</v>
      </c>
      <c r="BC798">
        <v>0</v>
      </c>
      <c r="BD798">
        <v>0</v>
      </c>
      <c r="BE798">
        <v>0</v>
      </c>
      <c r="BF798">
        <v>0</v>
      </c>
      <c r="BG798">
        <v>0</v>
      </c>
      <c r="BH798">
        <v>1</v>
      </c>
      <c r="BI798">
        <v>1</v>
      </c>
      <c r="BJ798">
        <v>0.2</v>
      </c>
      <c r="BK798">
        <v>1</v>
      </c>
      <c r="BL798">
        <v>76.06</v>
      </c>
      <c r="BM798">
        <v>11.41</v>
      </c>
      <c r="BN798">
        <v>87.47</v>
      </c>
      <c r="BO798">
        <v>87.47</v>
      </c>
      <c r="BQ798" t="s">
        <v>845</v>
      </c>
      <c r="BR798" t="s">
        <v>82</v>
      </c>
      <c r="BS798" t="s">
        <v>500</v>
      </c>
      <c r="BY798">
        <v>1200</v>
      </c>
      <c r="CC798" t="s">
        <v>142</v>
      </c>
      <c r="CD798">
        <v>6000</v>
      </c>
      <c r="CE798" t="s">
        <v>134</v>
      </c>
      <c r="CI798">
        <v>1</v>
      </c>
      <c r="CJ798" t="s">
        <v>500</v>
      </c>
      <c r="CK798">
        <v>21</v>
      </c>
      <c r="CL798" t="s">
        <v>87</v>
      </c>
    </row>
    <row r="799" spans="1:90" x14ac:dyDescent="0.3">
      <c r="A799" t="s">
        <v>72</v>
      </c>
      <c r="B799" t="s">
        <v>73</v>
      </c>
      <c r="C799" t="s">
        <v>74</v>
      </c>
      <c r="E799" t="str">
        <f>"080069703482"</f>
        <v>080069703482</v>
      </c>
      <c r="F799" s="3">
        <v>45996</v>
      </c>
      <c r="G799">
        <v>202609</v>
      </c>
      <c r="H799" t="s">
        <v>75</v>
      </c>
      <c r="I799" t="s">
        <v>76</v>
      </c>
      <c r="J799" t="s">
        <v>77</v>
      </c>
      <c r="K799" t="s">
        <v>78</v>
      </c>
      <c r="L799" t="s">
        <v>94</v>
      </c>
      <c r="M799" t="s">
        <v>95</v>
      </c>
      <c r="N799" t="s">
        <v>794</v>
      </c>
      <c r="O799" t="s">
        <v>89</v>
      </c>
      <c r="P799" t="str">
        <f>"4170072198                    "</f>
        <v xml:space="preserve">4170072198                    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v>0</v>
      </c>
      <c r="AE799">
        <v>0</v>
      </c>
      <c r="AF799">
        <v>0</v>
      </c>
      <c r="AG799">
        <v>0</v>
      </c>
      <c r="AH799">
        <v>0</v>
      </c>
      <c r="AI799">
        <v>0</v>
      </c>
      <c r="AJ799">
        <v>0</v>
      </c>
      <c r="AK799">
        <v>0</v>
      </c>
      <c r="AL799">
        <v>0</v>
      </c>
      <c r="AM799">
        <v>0</v>
      </c>
      <c r="AN799">
        <v>0</v>
      </c>
      <c r="AO799">
        <v>0</v>
      </c>
      <c r="AP799">
        <v>0</v>
      </c>
      <c r="AQ799">
        <v>25.52</v>
      </c>
      <c r="AR799">
        <v>0</v>
      </c>
      <c r="AS799">
        <v>0</v>
      </c>
      <c r="AT799">
        <v>0</v>
      </c>
      <c r="AU799">
        <v>0</v>
      </c>
      <c r="AV799">
        <v>0</v>
      </c>
      <c r="AW799">
        <v>0</v>
      </c>
      <c r="AX799">
        <v>0</v>
      </c>
      <c r="AY799">
        <v>0</v>
      </c>
      <c r="AZ799">
        <v>0</v>
      </c>
      <c r="BA799">
        <v>0</v>
      </c>
      <c r="BB799">
        <v>0</v>
      </c>
      <c r="BC799">
        <v>0</v>
      </c>
      <c r="BD799">
        <v>0</v>
      </c>
      <c r="BE799">
        <v>0</v>
      </c>
      <c r="BF799">
        <v>0</v>
      </c>
      <c r="BG799">
        <v>0</v>
      </c>
      <c r="BH799">
        <v>1</v>
      </c>
      <c r="BI799">
        <v>1</v>
      </c>
      <c r="BJ799">
        <v>0.2</v>
      </c>
      <c r="BK799">
        <v>1</v>
      </c>
      <c r="BL799">
        <v>76.06</v>
      </c>
      <c r="BM799">
        <v>11.41</v>
      </c>
      <c r="BN799">
        <v>87.47</v>
      </c>
      <c r="BO799">
        <v>87.47</v>
      </c>
      <c r="BQ799" t="s">
        <v>795</v>
      </c>
      <c r="BR799" t="s">
        <v>82</v>
      </c>
      <c r="BS799" t="s">
        <v>500</v>
      </c>
      <c r="BY799">
        <v>1200</v>
      </c>
      <c r="CC799" t="s">
        <v>95</v>
      </c>
      <c r="CD799">
        <v>3600</v>
      </c>
      <c r="CE799" t="s">
        <v>134</v>
      </c>
      <c r="CI799">
        <v>1</v>
      </c>
      <c r="CJ799" t="s">
        <v>500</v>
      </c>
      <c r="CK799">
        <v>21</v>
      </c>
      <c r="CL799" t="s">
        <v>87</v>
      </c>
    </row>
    <row r="800" spans="1:90" x14ac:dyDescent="0.3">
      <c r="A800" t="s">
        <v>72</v>
      </c>
      <c r="B800" t="s">
        <v>73</v>
      </c>
      <c r="C800" t="s">
        <v>74</v>
      </c>
      <c r="E800" t="str">
        <f>"080069703486"</f>
        <v>080069703486</v>
      </c>
      <c r="F800" s="3">
        <v>45996</v>
      </c>
      <c r="G800">
        <v>202609</v>
      </c>
      <c r="H800" t="s">
        <v>75</v>
      </c>
      <c r="I800" t="s">
        <v>76</v>
      </c>
      <c r="J800" t="s">
        <v>77</v>
      </c>
      <c r="K800" t="s">
        <v>78</v>
      </c>
      <c r="L800" t="s">
        <v>189</v>
      </c>
      <c r="M800" t="s">
        <v>190</v>
      </c>
      <c r="N800" t="s">
        <v>1036</v>
      </c>
      <c r="O800" t="s">
        <v>89</v>
      </c>
      <c r="P800" t="str">
        <f>"4170072241                    "</f>
        <v xml:space="preserve">4170072241                    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0</v>
      </c>
      <c r="AG800">
        <v>0</v>
      </c>
      <c r="AH800">
        <v>0</v>
      </c>
      <c r="AI800">
        <v>0</v>
      </c>
      <c r="AJ800">
        <v>0</v>
      </c>
      <c r="AK800">
        <v>0</v>
      </c>
      <c r="AL800">
        <v>0</v>
      </c>
      <c r="AM800">
        <v>0</v>
      </c>
      <c r="AN800">
        <v>0</v>
      </c>
      <c r="AO800">
        <v>0</v>
      </c>
      <c r="AP800">
        <v>0</v>
      </c>
      <c r="AQ800">
        <v>63.79</v>
      </c>
      <c r="AR800">
        <v>0</v>
      </c>
      <c r="AS800">
        <v>0</v>
      </c>
      <c r="AT800">
        <v>0</v>
      </c>
      <c r="AU800">
        <v>0</v>
      </c>
      <c r="AV800">
        <v>0</v>
      </c>
      <c r="AW800">
        <v>0</v>
      </c>
      <c r="AX800">
        <v>0</v>
      </c>
      <c r="AY800">
        <v>0</v>
      </c>
      <c r="AZ800">
        <v>0</v>
      </c>
      <c r="BA800">
        <v>0</v>
      </c>
      <c r="BB800">
        <v>0</v>
      </c>
      <c r="BC800">
        <v>0</v>
      </c>
      <c r="BD800">
        <v>0</v>
      </c>
      <c r="BE800">
        <v>0</v>
      </c>
      <c r="BF800">
        <v>0</v>
      </c>
      <c r="BG800">
        <v>0</v>
      </c>
      <c r="BH800">
        <v>1</v>
      </c>
      <c r="BI800">
        <v>2</v>
      </c>
      <c r="BJ800">
        <v>5</v>
      </c>
      <c r="BK800">
        <v>5</v>
      </c>
      <c r="BL800">
        <v>190.11</v>
      </c>
      <c r="BM800">
        <v>28.52</v>
      </c>
      <c r="BN800">
        <v>218.63</v>
      </c>
      <c r="BO800">
        <v>218.63</v>
      </c>
      <c r="BQ800" t="s">
        <v>1037</v>
      </c>
      <c r="BR800" t="s">
        <v>82</v>
      </c>
      <c r="BS800" t="s">
        <v>500</v>
      </c>
      <c r="BY800">
        <v>24882</v>
      </c>
      <c r="CC800" t="s">
        <v>190</v>
      </c>
      <c r="CD800">
        <v>3201</v>
      </c>
      <c r="CE800" t="s">
        <v>86</v>
      </c>
      <c r="CI800">
        <v>1</v>
      </c>
      <c r="CJ800" t="s">
        <v>500</v>
      </c>
      <c r="CK800">
        <v>21</v>
      </c>
      <c r="CL800" t="s">
        <v>87</v>
      </c>
    </row>
    <row r="801" spans="1:90" x14ac:dyDescent="0.3">
      <c r="A801" t="s">
        <v>72</v>
      </c>
      <c r="B801" t="s">
        <v>73</v>
      </c>
      <c r="C801" t="s">
        <v>74</v>
      </c>
      <c r="E801" t="str">
        <f>"080069703531"</f>
        <v>080069703531</v>
      </c>
      <c r="F801" s="3">
        <v>45996</v>
      </c>
      <c r="G801">
        <v>202609</v>
      </c>
      <c r="H801" t="s">
        <v>75</v>
      </c>
      <c r="I801" t="s">
        <v>76</v>
      </c>
      <c r="J801" t="s">
        <v>77</v>
      </c>
      <c r="K801" t="s">
        <v>78</v>
      </c>
      <c r="L801" t="s">
        <v>156</v>
      </c>
      <c r="M801" t="s">
        <v>157</v>
      </c>
      <c r="N801" t="s">
        <v>434</v>
      </c>
      <c r="O801" t="s">
        <v>89</v>
      </c>
      <c r="P801" t="str">
        <f>"4170072215                    "</f>
        <v xml:space="preserve">4170072215                    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  <c r="AF801">
        <v>0</v>
      </c>
      <c r="AG801">
        <v>0</v>
      </c>
      <c r="AH801">
        <v>0</v>
      </c>
      <c r="AI801">
        <v>0</v>
      </c>
      <c r="AJ801">
        <v>0</v>
      </c>
      <c r="AK801">
        <v>0</v>
      </c>
      <c r="AL801">
        <v>0</v>
      </c>
      <c r="AM801">
        <v>0</v>
      </c>
      <c r="AN801">
        <v>0</v>
      </c>
      <c r="AO801">
        <v>0</v>
      </c>
      <c r="AP801">
        <v>0</v>
      </c>
      <c r="AQ801">
        <v>25.52</v>
      </c>
      <c r="AR801">
        <v>0</v>
      </c>
      <c r="AS801">
        <v>0</v>
      </c>
      <c r="AT801">
        <v>0</v>
      </c>
      <c r="AU801">
        <v>0</v>
      </c>
      <c r="AV801">
        <v>0</v>
      </c>
      <c r="AW801">
        <v>0</v>
      </c>
      <c r="AX801">
        <v>0</v>
      </c>
      <c r="AY801">
        <v>0</v>
      </c>
      <c r="AZ801">
        <v>0</v>
      </c>
      <c r="BA801">
        <v>0</v>
      </c>
      <c r="BB801">
        <v>0</v>
      </c>
      <c r="BC801">
        <v>0</v>
      </c>
      <c r="BD801">
        <v>0</v>
      </c>
      <c r="BE801">
        <v>0</v>
      </c>
      <c r="BF801">
        <v>0</v>
      </c>
      <c r="BG801">
        <v>0</v>
      </c>
      <c r="BH801">
        <v>1</v>
      </c>
      <c r="BI801">
        <v>1</v>
      </c>
      <c r="BJ801">
        <v>0.2</v>
      </c>
      <c r="BK801">
        <v>1</v>
      </c>
      <c r="BL801">
        <v>76.06</v>
      </c>
      <c r="BM801">
        <v>11.41</v>
      </c>
      <c r="BN801">
        <v>87.47</v>
      </c>
      <c r="BO801">
        <v>87.47</v>
      </c>
      <c r="BQ801" t="s">
        <v>435</v>
      </c>
      <c r="BR801" t="s">
        <v>82</v>
      </c>
      <c r="BS801" t="s">
        <v>500</v>
      </c>
      <c r="BY801">
        <v>1200</v>
      </c>
      <c r="CC801" t="s">
        <v>157</v>
      </c>
      <c r="CD801">
        <v>7441</v>
      </c>
      <c r="CE801" t="s">
        <v>134</v>
      </c>
      <c r="CI801">
        <v>1</v>
      </c>
      <c r="CJ801" t="s">
        <v>500</v>
      </c>
      <c r="CK801">
        <v>21</v>
      </c>
      <c r="CL801" t="s">
        <v>87</v>
      </c>
    </row>
    <row r="802" spans="1:90" x14ac:dyDescent="0.3">
      <c r="A802" t="s">
        <v>72</v>
      </c>
      <c r="B802" t="s">
        <v>73</v>
      </c>
      <c r="C802" t="s">
        <v>74</v>
      </c>
      <c r="E802" t="str">
        <f>"080069703555"</f>
        <v>080069703555</v>
      </c>
      <c r="F802" s="3">
        <v>45996</v>
      </c>
      <c r="G802">
        <v>202609</v>
      </c>
      <c r="H802" t="s">
        <v>75</v>
      </c>
      <c r="I802" t="s">
        <v>76</v>
      </c>
      <c r="J802" t="s">
        <v>77</v>
      </c>
      <c r="K802" t="s">
        <v>78</v>
      </c>
      <c r="L802" t="s">
        <v>94</v>
      </c>
      <c r="M802" t="s">
        <v>95</v>
      </c>
      <c r="N802" t="s">
        <v>230</v>
      </c>
      <c r="O802" t="s">
        <v>89</v>
      </c>
      <c r="P802" t="str">
        <f>"4170072105                    "</f>
        <v xml:space="preserve">4170072105                    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0</v>
      </c>
      <c r="AF802">
        <v>0</v>
      </c>
      <c r="AG802">
        <v>0</v>
      </c>
      <c r="AH802">
        <v>0</v>
      </c>
      <c r="AI802">
        <v>0</v>
      </c>
      <c r="AJ802">
        <v>0</v>
      </c>
      <c r="AK802">
        <v>0</v>
      </c>
      <c r="AL802">
        <v>0</v>
      </c>
      <c r="AM802">
        <v>0</v>
      </c>
      <c r="AN802">
        <v>0</v>
      </c>
      <c r="AO802">
        <v>0</v>
      </c>
      <c r="AP802">
        <v>0</v>
      </c>
      <c r="AQ802">
        <v>25.52</v>
      </c>
      <c r="AR802">
        <v>0</v>
      </c>
      <c r="AS802">
        <v>0</v>
      </c>
      <c r="AT802">
        <v>0</v>
      </c>
      <c r="AU802">
        <v>0</v>
      </c>
      <c r="AV802">
        <v>0</v>
      </c>
      <c r="AW802">
        <v>0</v>
      </c>
      <c r="AX802">
        <v>0</v>
      </c>
      <c r="AY802">
        <v>0</v>
      </c>
      <c r="AZ802">
        <v>0</v>
      </c>
      <c r="BA802">
        <v>0</v>
      </c>
      <c r="BB802">
        <v>0</v>
      </c>
      <c r="BC802">
        <v>0</v>
      </c>
      <c r="BD802">
        <v>0</v>
      </c>
      <c r="BE802">
        <v>0</v>
      </c>
      <c r="BF802">
        <v>0</v>
      </c>
      <c r="BG802">
        <v>0</v>
      </c>
      <c r="BH802">
        <v>1</v>
      </c>
      <c r="BI802">
        <v>1</v>
      </c>
      <c r="BJ802">
        <v>0.2</v>
      </c>
      <c r="BK802">
        <v>1</v>
      </c>
      <c r="BL802">
        <v>76.06</v>
      </c>
      <c r="BM802">
        <v>11.41</v>
      </c>
      <c r="BN802">
        <v>87.47</v>
      </c>
      <c r="BO802">
        <v>87.47</v>
      </c>
      <c r="BQ802" t="s">
        <v>231</v>
      </c>
      <c r="BR802" t="s">
        <v>82</v>
      </c>
      <c r="BS802" t="s">
        <v>500</v>
      </c>
      <c r="BY802">
        <v>1200</v>
      </c>
      <c r="CC802" t="s">
        <v>95</v>
      </c>
      <c r="CD802">
        <v>3608</v>
      </c>
      <c r="CE802" t="s">
        <v>134</v>
      </c>
      <c r="CI802">
        <v>1</v>
      </c>
      <c r="CJ802" t="s">
        <v>500</v>
      </c>
      <c r="CK802">
        <v>21</v>
      </c>
      <c r="CL802" t="s">
        <v>87</v>
      </c>
    </row>
    <row r="803" spans="1:90" x14ac:dyDescent="0.3">
      <c r="A803" t="s">
        <v>72</v>
      </c>
      <c r="B803" t="s">
        <v>73</v>
      </c>
      <c r="C803" t="s">
        <v>74</v>
      </c>
      <c r="E803" t="str">
        <f>"080069703544"</f>
        <v>080069703544</v>
      </c>
      <c r="F803" s="3">
        <v>45996</v>
      </c>
      <c r="G803">
        <v>202609</v>
      </c>
      <c r="H803" t="s">
        <v>75</v>
      </c>
      <c r="I803" t="s">
        <v>76</v>
      </c>
      <c r="J803" t="s">
        <v>77</v>
      </c>
      <c r="K803" t="s">
        <v>78</v>
      </c>
      <c r="L803" t="s">
        <v>156</v>
      </c>
      <c r="M803" t="s">
        <v>157</v>
      </c>
      <c r="N803" t="s">
        <v>863</v>
      </c>
      <c r="O803" t="s">
        <v>80</v>
      </c>
      <c r="P803" t="str">
        <f>"4170072043                    "</f>
        <v xml:space="preserve">4170072043                    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  <c r="AG803">
        <v>0</v>
      </c>
      <c r="AH803">
        <v>0</v>
      </c>
      <c r="AI803">
        <v>0</v>
      </c>
      <c r="AJ803">
        <v>0</v>
      </c>
      <c r="AK803">
        <v>0</v>
      </c>
      <c r="AL803">
        <v>0</v>
      </c>
      <c r="AM803">
        <v>0</v>
      </c>
      <c r="AN803">
        <v>0</v>
      </c>
      <c r="AO803">
        <v>0</v>
      </c>
      <c r="AP803">
        <v>0</v>
      </c>
      <c r="AQ803">
        <v>55.48</v>
      </c>
      <c r="AR803">
        <v>0</v>
      </c>
      <c r="AS803">
        <v>0</v>
      </c>
      <c r="AT803">
        <v>0</v>
      </c>
      <c r="AU803">
        <v>0</v>
      </c>
      <c r="AV803">
        <v>0</v>
      </c>
      <c r="AW803">
        <v>0</v>
      </c>
      <c r="AX803">
        <v>0</v>
      </c>
      <c r="AY803">
        <v>0</v>
      </c>
      <c r="AZ803">
        <v>0</v>
      </c>
      <c r="BA803">
        <v>0</v>
      </c>
      <c r="BB803">
        <v>0</v>
      </c>
      <c r="BC803">
        <v>0</v>
      </c>
      <c r="BD803">
        <v>0</v>
      </c>
      <c r="BE803">
        <v>0</v>
      </c>
      <c r="BF803">
        <v>0</v>
      </c>
      <c r="BG803">
        <v>0</v>
      </c>
      <c r="BH803">
        <v>1</v>
      </c>
      <c r="BI803">
        <v>10</v>
      </c>
      <c r="BJ803">
        <v>17.7</v>
      </c>
      <c r="BK803">
        <v>18</v>
      </c>
      <c r="BL803">
        <v>171.44</v>
      </c>
      <c r="BM803">
        <v>25.72</v>
      </c>
      <c r="BN803">
        <v>197.16</v>
      </c>
      <c r="BO803">
        <v>197.16</v>
      </c>
      <c r="BQ803" t="s">
        <v>864</v>
      </c>
      <c r="BR803" t="s">
        <v>82</v>
      </c>
      <c r="BS803" t="s">
        <v>500</v>
      </c>
      <c r="BY803">
        <v>88320</v>
      </c>
      <c r="CC803" t="s">
        <v>157</v>
      </c>
      <c r="CD803">
        <v>7550</v>
      </c>
      <c r="CE803" t="s">
        <v>86</v>
      </c>
      <c r="CI803">
        <v>3</v>
      </c>
      <c r="CJ803" t="s">
        <v>500</v>
      </c>
      <c r="CK803">
        <v>41</v>
      </c>
      <c r="CL803" t="s">
        <v>87</v>
      </c>
    </row>
    <row r="804" spans="1:90" x14ac:dyDescent="0.3">
      <c r="A804" t="s">
        <v>72</v>
      </c>
      <c r="B804" t="s">
        <v>73</v>
      </c>
      <c r="C804" t="s">
        <v>74</v>
      </c>
      <c r="E804" t="str">
        <f>"080069703571"</f>
        <v>080069703571</v>
      </c>
      <c r="F804" s="3">
        <v>45996</v>
      </c>
      <c r="G804">
        <v>202609</v>
      </c>
      <c r="H804" t="s">
        <v>75</v>
      </c>
      <c r="I804" t="s">
        <v>76</v>
      </c>
      <c r="J804" t="s">
        <v>77</v>
      </c>
      <c r="K804" t="s">
        <v>78</v>
      </c>
      <c r="L804" t="s">
        <v>458</v>
      </c>
      <c r="M804" t="s">
        <v>459</v>
      </c>
      <c r="N804" t="s">
        <v>460</v>
      </c>
      <c r="O804" t="s">
        <v>89</v>
      </c>
      <c r="P804" t="str">
        <f>"4170072114                    "</f>
        <v xml:space="preserve">4170072114                    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  <c r="AG804">
        <v>0</v>
      </c>
      <c r="AH804">
        <v>0</v>
      </c>
      <c r="AI804">
        <v>0</v>
      </c>
      <c r="AJ804">
        <v>0</v>
      </c>
      <c r="AK804">
        <v>0</v>
      </c>
      <c r="AL804">
        <v>0</v>
      </c>
      <c r="AM804">
        <v>0</v>
      </c>
      <c r="AN804">
        <v>0</v>
      </c>
      <c r="AO804">
        <v>0</v>
      </c>
      <c r="AP804">
        <v>0</v>
      </c>
      <c r="AQ804">
        <v>49.45</v>
      </c>
      <c r="AR804">
        <v>0</v>
      </c>
      <c r="AS804">
        <v>0</v>
      </c>
      <c r="AT804">
        <v>0</v>
      </c>
      <c r="AU804">
        <v>0</v>
      </c>
      <c r="AV804">
        <v>0</v>
      </c>
      <c r="AW804">
        <v>0</v>
      </c>
      <c r="AX804">
        <v>0</v>
      </c>
      <c r="AY804">
        <v>0</v>
      </c>
      <c r="AZ804">
        <v>0</v>
      </c>
      <c r="BA804">
        <v>0</v>
      </c>
      <c r="BB804">
        <v>0</v>
      </c>
      <c r="BC804">
        <v>0</v>
      </c>
      <c r="BD804">
        <v>0</v>
      </c>
      <c r="BE804">
        <v>0</v>
      </c>
      <c r="BF804">
        <v>0</v>
      </c>
      <c r="BG804">
        <v>0</v>
      </c>
      <c r="BH804">
        <v>1</v>
      </c>
      <c r="BI804">
        <v>1</v>
      </c>
      <c r="BJ804">
        <v>0.2</v>
      </c>
      <c r="BK804">
        <v>1</v>
      </c>
      <c r="BL804">
        <v>147.38</v>
      </c>
      <c r="BM804">
        <v>22.11</v>
      </c>
      <c r="BN804">
        <v>169.49</v>
      </c>
      <c r="BO804">
        <v>169.49</v>
      </c>
      <c r="BQ804" t="s">
        <v>461</v>
      </c>
      <c r="BR804" t="s">
        <v>82</v>
      </c>
      <c r="BS804" t="s">
        <v>500</v>
      </c>
      <c r="BY804">
        <v>1200</v>
      </c>
      <c r="CC804" t="s">
        <v>459</v>
      </c>
      <c r="CD804">
        <v>7130</v>
      </c>
      <c r="CE804" t="s">
        <v>134</v>
      </c>
      <c r="CI804">
        <v>1</v>
      </c>
      <c r="CJ804" t="s">
        <v>500</v>
      </c>
      <c r="CK804">
        <v>23</v>
      </c>
      <c r="CL804" t="s">
        <v>87</v>
      </c>
    </row>
    <row r="805" spans="1:90" x14ac:dyDescent="0.3">
      <c r="A805" t="s">
        <v>72</v>
      </c>
      <c r="B805" t="s">
        <v>73</v>
      </c>
      <c r="C805" t="s">
        <v>74</v>
      </c>
      <c r="E805" t="str">
        <f>"080069703575"</f>
        <v>080069703575</v>
      </c>
      <c r="F805" s="3">
        <v>45996</v>
      </c>
      <c r="G805">
        <v>202609</v>
      </c>
      <c r="H805" t="s">
        <v>75</v>
      </c>
      <c r="I805" t="s">
        <v>76</v>
      </c>
      <c r="J805" t="s">
        <v>77</v>
      </c>
      <c r="K805" t="s">
        <v>78</v>
      </c>
      <c r="L805" t="s">
        <v>332</v>
      </c>
      <c r="M805" t="s">
        <v>333</v>
      </c>
      <c r="N805" t="s">
        <v>334</v>
      </c>
      <c r="O805" t="s">
        <v>89</v>
      </c>
      <c r="P805" t="str">
        <f>"4170072070                    "</f>
        <v xml:space="preserve">4170072070                    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0</v>
      </c>
      <c r="AG805">
        <v>0</v>
      </c>
      <c r="AH805">
        <v>0</v>
      </c>
      <c r="AI805">
        <v>0</v>
      </c>
      <c r="AJ805">
        <v>0</v>
      </c>
      <c r="AK805">
        <v>0</v>
      </c>
      <c r="AL805">
        <v>0</v>
      </c>
      <c r="AM805">
        <v>0</v>
      </c>
      <c r="AN805">
        <v>0</v>
      </c>
      <c r="AO805">
        <v>0</v>
      </c>
      <c r="AP805">
        <v>0</v>
      </c>
      <c r="AQ805">
        <v>161.11000000000001</v>
      </c>
      <c r="AR805">
        <v>0</v>
      </c>
      <c r="AS805">
        <v>0</v>
      </c>
      <c r="AT805">
        <v>0</v>
      </c>
      <c r="AU805">
        <v>0</v>
      </c>
      <c r="AV805">
        <v>0</v>
      </c>
      <c r="AW805">
        <v>0</v>
      </c>
      <c r="AX805">
        <v>0</v>
      </c>
      <c r="AY805">
        <v>0</v>
      </c>
      <c r="AZ805">
        <v>0</v>
      </c>
      <c r="BA805">
        <v>0</v>
      </c>
      <c r="BB805">
        <v>0</v>
      </c>
      <c r="BC805">
        <v>0</v>
      </c>
      <c r="BD805">
        <v>0</v>
      </c>
      <c r="BE805">
        <v>0</v>
      </c>
      <c r="BF805">
        <v>0</v>
      </c>
      <c r="BG805">
        <v>0</v>
      </c>
      <c r="BH805">
        <v>1</v>
      </c>
      <c r="BI805">
        <v>5</v>
      </c>
      <c r="BJ805">
        <v>6.6</v>
      </c>
      <c r="BK805">
        <v>7</v>
      </c>
      <c r="BL805">
        <v>480.14</v>
      </c>
      <c r="BM805">
        <v>72.02</v>
      </c>
      <c r="BN805">
        <v>552.16</v>
      </c>
      <c r="BO805">
        <v>552.16</v>
      </c>
      <c r="BQ805" t="s">
        <v>335</v>
      </c>
      <c r="BR805" t="s">
        <v>82</v>
      </c>
      <c r="BS805" t="s">
        <v>500</v>
      </c>
      <c r="BY805">
        <v>32928</v>
      </c>
      <c r="CC805" t="s">
        <v>333</v>
      </c>
      <c r="CD805">
        <v>6500</v>
      </c>
      <c r="CE805" t="s">
        <v>93</v>
      </c>
      <c r="CI805">
        <v>1</v>
      </c>
      <c r="CJ805" t="s">
        <v>500</v>
      </c>
      <c r="CK805">
        <v>23</v>
      </c>
      <c r="CL805" t="s">
        <v>87</v>
      </c>
    </row>
    <row r="806" spans="1:90" x14ac:dyDescent="0.3">
      <c r="A806" t="s">
        <v>72</v>
      </c>
      <c r="B806" t="s">
        <v>73</v>
      </c>
      <c r="C806" t="s">
        <v>74</v>
      </c>
      <c r="E806" t="str">
        <f>"080069703610"</f>
        <v>080069703610</v>
      </c>
      <c r="F806" s="3">
        <v>45996</v>
      </c>
      <c r="G806">
        <v>202609</v>
      </c>
      <c r="H806" t="s">
        <v>75</v>
      </c>
      <c r="I806" t="s">
        <v>76</v>
      </c>
      <c r="J806" t="s">
        <v>77</v>
      </c>
      <c r="K806" t="s">
        <v>78</v>
      </c>
      <c r="L806" t="s">
        <v>302</v>
      </c>
      <c r="M806" t="s">
        <v>303</v>
      </c>
      <c r="N806" t="s">
        <v>425</v>
      </c>
      <c r="O806" t="s">
        <v>80</v>
      </c>
      <c r="P806" t="str">
        <f>"4170072107                    "</f>
        <v xml:space="preserve">4170072107                    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0</v>
      </c>
      <c r="AG806">
        <v>0</v>
      </c>
      <c r="AH806">
        <v>0</v>
      </c>
      <c r="AI806">
        <v>0</v>
      </c>
      <c r="AJ806">
        <v>0</v>
      </c>
      <c r="AK806">
        <v>0</v>
      </c>
      <c r="AL806">
        <v>0</v>
      </c>
      <c r="AM806">
        <v>0</v>
      </c>
      <c r="AN806">
        <v>0</v>
      </c>
      <c r="AO806">
        <v>0</v>
      </c>
      <c r="AP806">
        <v>0</v>
      </c>
      <c r="AQ806">
        <v>49.36</v>
      </c>
      <c r="AR806">
        <v>0</v>
      </c>
      <c r="AS806">
        <v>0</v>
      </c>
      <c r="AT806">
        <v>0</v>
      </c>
      <c r="AU806">
        <v>0</v>
      </c>
      <c r="AV806">
        <v>0</v>
      </c>
      <c r="AW806">
        <v>0</v>
      </c>
      <c r="AX806">
        <v>0</v>
      </c>
      <c r="AY806">
        <v>0</v>
      </c>
      <c r="AZ806">
        <v>0</v>
      </c>
      <c r="BA806">
        <v>0</v>
      </c>
      <c r="BB806">
        <v>0</v>
      </c>
      <c r="BC806">
        <v>0</v>
      </c>
      <c r="BD806">
        <v>0</v>
      </c>
      <c r="BE806">
        <v>0</v>
      </c>
      <c r="BF806">
        <v>0</v>
      </c>
      <c r="BG806">
        <v>0</v>
      </c>
      <c r="BH806">
        <v>1</v>
      </c>
      <c r="BI806">
        <v>3.5</v>
      </c>
      <c r="BJ806">
        <v>6.3</v>
      </c>
      <c r="BK806">
        <v>7</v>
      </c>
      <c r="BL806">
        <v>153.19999999999999</v>
      </c>
      <c r="BM806">
        <v>22.98</v>
      </c>
      <c r="BN806">
        <v>176.18</v>
      </c>
      <c r="BO806">
        <v>176.18</v>
      </c>
      <c r="BQ806" t="s">
        <v>426</v>
      </c>
      <c r="BR806" t="s">
        <v>82</v>
      </c>
      <c r="BS806" s="3">
        <v>45999</v>
      </c>
      <c r="BT806" s="4">
        <v>0.30138888888888887</v>
      </c>
      <c r="BU806" t="s">
        <v>522</v>
      </c>
      <c r="BV806" t="s">
        <v>84</v>
      </c>
      <c r="BY806">
        <v>31660.46</v>
      </c>
      <c r="CA806">
        <v>7712195338085</v>
      </c>
      <c r="CC806" t="s">
        <v>303</v>
      </c>
      <c r="CD806" s="5" t="s">
        <v>350</v>
      </c>
      <c r="CE806" t="s">
        <v>93</v>
      </c>
      <c r="CI806">
        <v>1</v>
      </c>
      <c r="CJ806">
        <v>1</v>
      </c>
      <c r="CK806">
        <v>41</v>
      </c>
      <c r="CL806" t="s">
        <v>87</v>
      </c>
    </row>
    <row r="807" spans="1:90" x14ac:dyDescent="0.3">
      <c r="A807" t="s">
        <v>72</v>
      </c>
      <c r="B807" t="s">
        <v>73</v>
      </c>
      <c r="C807" t="s">
        <v>74</v>
      </c>
      <c r="E807" t="str">
        <f>"080069703848"</f>
        <v>080069703848</v>
      </c>
      <c r="F807" s="3">
        <v>45996</v>
      </c>
      <c r="G807">
        <v>202609</v>
      </c>
      <c r="H807" t="s">
        <v>75</v>
      </c>
      <c r="I807" t="s">
        <v>76</v>
      </c>
      <c r="J807" t="s">
        <v>77</v>
      </c>
      <c r="K807" t="s">
        <v>78</v>
      </c>
      <c r="L807" t="s">
        <v>156</v>
      </c>
      <c r="M807" t="s">
        <v>157</v>
      </c>
      <c r="N807" t="s">
        <v>947</v>
      </c>
      <c r="O807" t="s">
        <v>89</v>
      </c>
      <c r="P807" t="str">
        <f>"4170072044                    "</f>
        <v xml:space="preserve">4170072044                    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0</v>
      </c>
      <c r="AG807">
        <v>0</v>
      </c>
      <c r="AH807">
        <v>0</v>
      </c>
      <c r="AI807">
        <v>0</v>
      </c>
      <c r="AJ807">
        <v>0</v>
      </c>
      <c r="AK807">
        <v>0</v>
      </c>
      <c r="AL807">
        <v>0</v>
      </c>
      <c r="AM807">
        <v>0</v>
      </c>
      <c r="AN807">
        <v>0</v>
      </c>
      <c r="AO807">
        <v>0</v>
      </c>
      <c r="AP807">
        <v>0</v>
      </c>
      <c r="AQ807">
        <v>146.71</v>
      </c>
      <c r="AR807">
        <v>0</v>
      </c>
      <c r="AS807">
        <v>0</v>
      </c>
      <c r="AT807">
        <v>0</v>
      </c>
      <c r="AU807">
        <v>0</v>
      </c>
      <c r="AV807">
        <v>0</v>
      </c>
      <c r="AW807">
        <v>0</v>
      </c>
      <c r="AX807">
        <v>0</v>
      </c>
      <c r="AY807">
        <v>0</v>
      </c>
      <c r="AZ807">
        <v>0</v>
      </c>
      <c r="BA807">
        <v>0</v>
      </c>
      <c r="BB807">
        <v>0</v>
      </c>
      <c r="BC807">
        <v>0</v>
      </c>
      <c r="BD807">
        <v>0</v>
      </c>
      <c r="BE807">
        <v>0</v>
      </c>
      <c r="BF807">
        <v>0</v>
      </c>
      <c r="BG807">
        <v>0</v>
      </c>
      <c r="BH807">
        <v>1</v>
      </c>
      <c r="BI807">
        <v>5</v>
      </c>
      <c r="BJ807">
        <v>11.5</v>
      </c>
      <c r="BK807">
        <v>11.5</v>
      </c>
      <c r="BL807">
        <v>437.22</v>
      </c>
      <c r="BM807">
        <v>65.58</v>
      </c>
      <c r="BN807">
        <v>502.8</v>
      </c>
      <c r="BO807">
        <v>502.8</v>
      </c>
      <c r="BQ807" t="s">
        <v>948</v>
      </c>
      <c r="BR807" t="s">
        <v>82</v>
      </c>
      <c r="BS807" t="s">
        <v>500</v>
      </c>
      <c r="BY807">
        <v>57400</v>
      </c>
      <c r="CC807" t="s">
        <v>157</v>
      </c>
      <c r="CD807">
        <v>7500</v>
      </c>
      <c r="CE807" t="s">
        <v>93</v>
      </c>
      <c r="CI807">
        <v>1</v>
      </c>
      <c r="CJ807" t="s">
        <v>500</v>
      </c>
      <c r="CK807">
        <v>21</v>
      </c>
      <c r="CL807" t="s">
        <v>87</v>
      </c>
    </row>
    <row r="808" spans="1:90" x14ac:dyDescent="0.3">
      <c r="A808" t="s">
        <v>72</v>
      </c>
      <c r="B808" t="s">
        <v>73</v>
      </c>
      <c r="C808" t="s">
        <v>74</v>
      </c>
      <c r="E808" t="str">
        <f>"080069703898"</f>
        <v>080069703898</v>
      </c>
      <c r="F808" s="3">
        <v>45996</v>
      </c>
      <c r="G808">
        <v>202609</v>
      </c>
      <c r="H808" t="s">
        <v>75</v>
      </c>
      <c r="I808" t="s">
        <v>76</v>
      </c>
      <c r="J808" t="s">
        <v>77</v>
      </c>
      <c r="K808" t="s">
        <v>78</v>
      </c>
      <c r="L808" t="s">
        <v>75</v>
      </c>
      <c r="M808" t="s">
        <v>76</v>
      </c>
      <c r="N808" t="s">
        <v>88</v>
      </c>
      <c r="O808" t="s">
        <v>89</v>
      </c>
      <c r="P808" t="str">
        <f>"4170072081                    "</f>
        <v xml:space="preserve">4170072081                    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0</v>
      </c>
      <c r="AG808">
        <v>0</v>
      </c>
      <c r="AH808">
        <v>0</v>
      </c>
      <c r="AI808">
        <v>0</v>
      </c>
      <c r="AJ808">
        <v>0</v>
      </c>
      <c r="AK808">
        <v>0</v>
      </c>
      <c r="AL808">
        <v>0</v>
      </c>
      <c r="AM808">
        <v>0</v>
      </c>
      <c r="AN808">
        <v>0</v>
      </c>
      <c r="AO808">
        <v>0</v>
      </c>
      <c r="AP808">
        <v>0</v>
      </c>
      <c r="AQ808">
        <v>19.940000000000001</v>
      </c>
      <c r="AR808">
        <v>0</v>
      </c>
      <c r="AS808">
        <v>0</v>
      </c>
      <c r="AT808">
        <v>0</v>
      </c>
      <c r="AU808">
        <v>0</v>
      </c>
      <c r="AV808">
        <v>0</v>
      </c>
      <c r="AW808">
        <v>0</v>
      </c>
      <c r="AX808">
        <v>0</v>
      </c>
      <c r="AY808">
        <v>0</v>
      </c>
      <c r="AZ808">
        <v>0</v>
      </c>
      <c r="BA808">
        <v>0</v>
      </c>
      <c r="BB808">
        <v>0</v>
      </c>
      <c r="BC808">
        <v>0</v>
      </c>
      <c r="BD808">
        <v>0</v>
      </c>
      <c r="BE808">
        <v>0</v>
      </c>
      <c r="BF808">
        <v>0</v>
      </c>
      <c r="BG808">
        <v>0</v>
      </c>
      <c r="BH808">
        <v>1</v>
      </c>
      <c r="BI808">
        <v>1</v>
      </c>
      <c r="BJ808">
        <v>0.9</v>
      </c>
      <c r="BK808">
        <v>1</v>
      </c>
      <c r="BL808">
        <v>59.42</v>
      </c>
      <c r="BM808">
        <v>8.91</v>
      </c>
      <c r="BN808">
        <v>68.33</v>
      </c>
      <c r="BO808">
        <v>68.33</v>
      </c>
      <c r="BQ808" t="s">
        <v>90</v>
      </c>
      <c r="BR808" t="s">
        <v>82</v>
      </c>
      <c r="BS808" s="3">
        <v>45999</v>
      </c>
      <c r="BT808" s="4">
        <v>0.3</v>
      </c>
      <c r="BU808" t="s">
        <v>1262</v>
      </c>
      <c r="BV808" t="s">
        <v>84</v>
      </c>
      <c r="BY808">
        <v>4500</v>
      </c>
      <c r="CA808" t="s">
        <v>92</v>
      </c>
      <c r="CC808" t="s">
        <v>76</v>
      </c>
      <c r="CD808">
        <v>1600</v>
      </c>
      <c r="CE808" t="s">
        <v>93</v>
      </c>
      <c r="CI808">
        <v>1</v>
      </c>
      <c r="CJ808">
        <v>1</v>
      </c>
      <c r="CK808">
        <v>22</v>
      </c>
      <c r="CL808" t="s">
        <v>87</v>
      </c>
    </row>
    <row r="809" spans="1:90" x14ac:dyDescent="0.3">
      <c r="A809" t="s">
        <v>72</v>
      </c>
      <c r="B809" t="s">
        <v>73</v>
      </c>
      <c r="C809" t="s">
        <v>74</v>
      </c>
      <c r="E809" t="str">
        <f>"080069703892"</f>
        <v>080069703892</v>
      </c>
      <c r="F809" s="3">
        <v>45996</v>
      </c>
      <c r="G809">
        <v>202609</v>
      </c>
      <c r="H809" t="s">
        <v>75</v>
      </c>
      <c r="I809" t="s">
        <v>76</v>
      </c>
      <c r="J809" t="s">
        <v>77</v>
      </c>
      <c r="K809" t="s">
        <v>78</v>
      </c>
      <c r="L809" t="s">
        <v>100</v>
      </c>
      <c r="M809" t="s">
        <v>101</v>
      </c>
      <c r="N809" t="s">
        <v>1500</v>
      </c>
      <c r="O809" t="s">
        <v>89</v>
      </c>
      <c r="P809" t="str">
        <f>"4170072067                    "</f>
        <v xml:space="preserve">4170072067                    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  <c r="AG809">
        <v>0</v>
      </c>
      <c r="AH809">
        <v>0</v>
      </c>
      <c r="AI809">
        <v>0</v>
      </c>
      <c r="AJ809">
        <v>0</v>
      </c>
      <c r="AK809">
        <v>0</v>
      </c>
      <c r="AL809">
        <v>0</v>
      </c>
      <c r="AM809">
        <v>0</v>
      </c>
      <c r="AN809">
        <v>0</v>
      </c>
      <c r="AO809">
        <v>0</v>
      </c>
      <c r="AP809">
        <v>0</v>
      </c>
      <c r="AQ809">
        <v>25.52</v>
      </c>
      <c r="AR809">
        <v>0</v>
      </c>
      <c r="AS809">
        <v>0</v>
      </c>
      <c r="AT809">
        <v>0</v>
      </c>
      <c r="AU809">
        <v>0</v>
      </c>
      <c r="AV809">
        <v>0</v>
      </c>
      <c r="AW809">
        <v>0</v>
      </c>
      <c r="AX809">
        <v>0</v>
      </c>
      <c r="AY809">
        <v>0</v>
      </c>
      <c r="AZ809">
        <v>0</v>
      </c>
      <c r="BA809">
        <v>0</v>
      </c>
      <c r="BB809">
        <v>0</v>
      </c>
      <c r="BC809">
        <v>0</v>
      </c>
      <c r="BD809">
        <v>0</v>
      </c>
      <c r="BE809">
        <v>0</v>
      </c>
      <c r="BF809">
        <v>0</v>
      </c>
      <c r="BG809">
        <v>0</v>
      </c>
      <c r="BH809">
        <v>1</v>
      </c>
      <c r="BI809">
        <v>1</v>
      </c>
      <c r="BJ809">
        <v>0.2</v>
      </c>
      <c r="BK809">
        <v>1</v>
      </c>
      <c r="BL809">
        <v>76.06</v>
      </c>
      <c r="BM809">
        <v>11.41</v>
      </c>
      <c r="BN809">
        <v>87.47</v>
      </c>
      <c r="BO809">
        <v>87.47</v>
      </c>
      <c r="BQ809" t="s">
        <v>1501</v>
      </c>
      <c r="BR809" t="s">
        <v>82</v>
      </c>
      <c r="BS809" t="s">
        <v>500</v>
      </c>
      <c r="BY809">
        <v>1200</v>
      </c>
      <c r="CC809" t="s">
        <v>101</v>
      </c>
      <c r="CD809">
        <v>4072</v>
      </c>
      <c r="CE809" t="s">
        <v>134</v>
      </c>
      <c r="CI809">
        <v>1</v>
      </c>
      <c r="CJ809" t="s">
        <v>500</v>
      </c>
      <c r="CK809">
        <v>21</v>
      </c>
      <c r="CL809" t="s">
        <v>87</v>
      </c>
    </row>
    <row r="810" spans="1:90" x14ac:dyDescent="0.3">
      <c r="A810" t="s">
        <v>72</v>
      </c>
      <c r="B810" t="s">
        <v>73</v>
      </c>
      <c r="C810" t="s">
        <v>74</v>
      </c>
      <c r="E810" t="str">
        <f>"080069703937"</f>
        <v>080069703937</v>
      </c>
      <c r="F810" s="3">
        <v>45996</v>
      </c>
      <c r="G810">
        <v>202609</v>
      </c>
      <c r="H810" t="s">
        <v>75</v>
      </c>
      <c r="I810" t="s">
        <v>76</v>
      </c>
      <c r="J810" t="s">
        <v>77</v>
      </c>
      <c r="K810" t="s">
        <v>78</v>
      </c>
      <c r="L810" t="s">
        <v>573</v>
      </c>
      <c r="M810" t="s">
        <v>574</v>
      </c>
      <c r="N810" t="s">
        <v>870</v>
      </c>
      <c r="O810" t="s">
        <v>89</v>
      </c>
      <c r="P810" t="str">
        <f>"4170072188                    "</f>
        <v xml:space="preserve">4170072188                    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0</v>
      </c>
      <c r="AG810">
        <v>0</v>
      </c>
      <c r="AH810">
        <v>0</v>
      </c>
      <c r="AI810">
        <v>0</v>
      </c>
      <c r="AJ810">
        <v>0</v>
      </c>
      <c r="AK810">
        <v>0</v>
      </c>
      <c r="AL810">
        <v>0</v>
      </c>
      <c r="AM810">
        <v>0</v>
      </c>
      <c r="AN810">
        <v>0</v>
      </c>
      <c r="AO810">
        <v>0</v>
      </c>
      <c r="AP810">
        <v>0</v>
      </c>
      <c r="AQ810">
        <v>19.940000000000001</v>
      </c>
      <c r="AR810">
        <v>0</v>
      </c>
      <c r="AS810">
        <v>0</v>
      </c>
      <c r="AT810">
        <v>0</v>
      </c>
      <c r="AU810">
        <v>0</v>
      </c>
      <c r="AV810">
        <v>0</v>
      </c>
      <c r="AW810">
        <v>0</v>
      </c>
      <c r="AX810">
        <v>0</v>
      </c>
      <c r="AY810">
        <v>0</v>
      </c>
      <c r="AZ810">
        <v>0</v>
      </c>
      <c r="BA810">
        <v>0</v>
      </c>
      <c r="BB810">
        <v>0</v>
      </c>
      <c r="BC810">
        <v>0</v>
      </c>
      <c r="BD810">
        <v>0</v>
      </c>
      <c r="BE810">
        <v>0</v>
      </c>
      <c r="BF810">
        <v>0</v>
      </c>
      <c r="BG810">
        <v>0</v>
      </c>
      <c r="BH810">
        <v>1</v>
      </c>
      <c r="BI810">
        <v>1</v>
      </c>
      <c r="BJ810">
        <v>0.2</v>
      </c>
      <c r="BK810">
        <v>1</v>
      </c>
      <c r="BL810">
        <v>59.42</v>
      </c>
      <c r="BM810">
        <v>8.91</v>
      </c>
      <c r="BN810">
        <v>68.33</v>
      </c>
      <c r="BO810">
        <v>68.33</v>
      </c>
      <c r="BQ810" t="s">
        <v>871</v>
      </c>
      <c r="BR810" t="s">
        <v>82</v>
      </c>
      <c r="BS810" t="s">
        <v>500</v>
      </c>
      <c r="BY810">
        <v>1200</v>
      </c>
      <c r="CC810" t="s">
        <v>574</v>
      </c>
      <c r="CD810">
        <v>1451</v>
      </c>
      <c r="CE810" t="s">
        <v>134</v>
      </c>
      <c r="CI810">
        <v>1</v>
      </c>
      <c r="CJ810" t="s">
        <v>500</v>
      </c>
      <c r="CK810">
        <v>22</v>
      </c>
      <c r="CL810" t="s">
        <v>87</v>
      </c>
    </row>
    <row r="811" spans="1:90" x14ac:dyDescent="0.3">
      <c r="A811" t="s">
        <v>72</v>
      </c>
      <c r="B811" t="s">
        <v>73</v>
      </c>
      <c r="C811" t="s">
        <v>74</v>
      </c>
      <c r="E811" t="str">
        <f>"080069703940"</f>
        <v>080069703940</v>
      </c>
      <c r="F811" s="3">
        <v>45996</v>
      </c>
      <c r="G811">
        <v>202609</v>
      </c>
      <c r="H811" t="s">
        <v>75</v>
      </c>
      <c r="I811" t="s">
        <v>76</v>
      </c>
      <c r="J811" t="s">
        <v>77</v>
      </c>
      <c r="K811" t="s">
        <v>78</v>
      </c>
      <c r="L811" t="s">
        <v>189</v>
      </c>
      <c r="M811" t="s">
        <v>190</v>
      </c>
      <c r="N811" t="s">
        <v>1036</v>
      </c>
      <c r="O811" t="s">
        <v>89</v>
      </c>
      <c r="P811" t="str">
        <f>"4170072057                    "</f>
        <v xml:space="preserve">4170072057                    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  <c r="AG811">
        <v>0</v>
      </c>
      <c r="AH811">
        <v>0</v>
      </c>
      <c r="AI811">
        <v>0</v>
      </c>
      <c r="AJ811">
        <v>0</v>
      </c>
      <c r="AK811">
        <v>0</v>
      </c>
      <c r="AL811">
        <v>0</v>
      </c>
      <c r="AM811">
        <v>0</v>
      </c>
      <c r="AN811">
        <v>0</v>
      </c>
      <c r="AO811">
        <v>0</v>
      </c>
      <c r="AP811">
        <v>0</v>
      </c>
      <c r="AQ811">
        <v>38.28</v>
      </c>
      <c r="AR811">
        <v>0</v>
      </c>
      <c r="AS811">
        <v>0</v>
      </c>
      <c r="AT811">
        <v>0</v>
      </c>
      <c r="AU811">
        <v>0</v>
      </c>
      <c r="AV811">
        <v>0</v>
      </c>
      <c r="AW811">
        <v>0</v>
      </c>
      <c r="AX811">
        <v>0</v>
      </c>
      <c r="AY811">
        <v>0</v>
      </c>
      <c r="AZ811">
        <v>0</v>
      </c>
      <c r="BA811">
        <v>0</v>
      </c>
      <c r="BB811">
        <v>0</v>
      </c>
      <c r="BC811">
        <v>0</v>
      </c>
      <c r="BD811">
        <v>0</v>
      </c>
      <c r="BE811">
        <v>0</v>
      </c>
      <c r="BF811">
        <v>0</v>
      </c>
      <c r="BG811">
        <v>0</v>
      </c>
      <c r="BH811">
        <v>1</v>
      </c>
      <c r="BI811">
        <v>3</v>
      </c>
      <c r="BJ811">
        <v>1.1000000000000001</v>
      </c>
      <c r="BK811">
        <v>3</v>
      </c>
      <c r="BL811">
        <v>114.08</v>
      </c>
      <c r="BM811">
        <v>17.11</v>
      </c>
      <c r="BN811">
        <v>131.19</v>
      </c>
      <c r="BO811">
        <v>131.19</v>
      </c>
      <c r="BQ811" t="s">
        <v>1037</v>
      </c>
      <c r="BR811" t="s">
        <v>82</v>
      </c>
      <c r="BS811" t="s">
        <v>500</v>
      </c>
      <c r="BY811">
        <v>5510</v>
      </c>
      <c r="CC811" t="s">
        <v>190</v>
      </c>
      <c r="CD811">
        <v>3201</v>
      </c>
      <c r="CE811" t="s">
        <v>86</v>
      </c>
      <c r="CI811">
        <v>1</v>
      </c>
      <c r="CJ811" t="s">
        <v>500</v>
      </c>
      <c r="CK811">
        <v>21</v>
      </c>
      <c r="CL811" t="s">
        <v>87</v>
      </c>
    </row>
    <row r="812" spans="1:90" x14ac:dyDescent="0.3">
      <c r="A812" t="s">
        <v>72</v>
      </c>
      <c r="B812" t="s">
        <v>73</v>
      </c>
      <c r="C812" t="s">
        <v>74</v>
      </c>
      <c r="E812" t="str">
        <f>"080069703991"</f>
        <v>080069703991</v>
      </c>
      <c r="F812" s="3">
        <v>45996</v>
      </c>
      <c r="G812">
        <v>202609</v>
      </c>
      <c r="H812" t="s">
        <v>75</v>
      </c>
      <c r="I812" t="s">
        <v>76</v>
      </c>
      <c r="J812" t="s">
        <v>77</v>
      </c>
      <c r="K812" t="s">
        <v>78</v>
      </c>
      <c r="L812" t="s">
        <v>176</v>
      </c>
      <c r="M812" t="s">
        <v>177</v>
      </c>
      <c r="N812" t="s">
        <v>178</v>
      </c>
      <c r="O812" t="s">
        <v>89</v>
      </c>
      <c r="P812" t="str">
        <f>"4170072115                    "</f>
        <v xml:space="preserve">4170072115                    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  <c r="AF812">
        <v>0</v>
      </c>
      <c r="AG812">
        <v>0</v>
      </c>
      <c r="AH812">
        <v>0</v>
      </c>
      <c r="AI812">
        <v>0</v>
      </c>
      <c r="AJ812">
        <v>0</v>
      </c>
      <c r="AK812">
        <v>0</v>
      </c>
      <c r="AL812">
        <v>0</v>
      </c>
      <c r="AM812">
        <v>0</v>
      </c>
      <c r="AN812">
        <v>0</v>
      </c>
      <c r="AO812">
        <v>0</v>
      </c>
      <c r="AP812">
        <v>0</v>
      </c>
      <c r="AQ812">
        <v>19.940000000000001</v>
      </c>
      <c r="AR812">
        <v>0</v>
      </c>
      <c r="AS812">
        <v>0</v>
      </c>
      <c r="AT812">
        <v>0</v>
      </c>
      <c r="AU812">
        <v>0</v>
      </c>
      <c r="AV812">
        <v>0</v>
      </c>
      <c r="AW812">
        <v>0</v>
      </c>
      <c r="AX812">
        <v>0</v>
      </c>
      <c r="AY812">
        <v>0</v>
      </c>
      <c r="AZ812">
        <v>0</v>
      </c>
      <c r="BA812">
        <v>0</v>
      </c>
      <c r="BB812">
        <v>0</v>
      </c>
      <c r="BC812">
        <v>0</v>
      </c>
      <c r="BD812">
        <v>0</v>
      </c>
      <c r="BE812">
        <v>0</v>
      </c>
      <c r="BF812">
        <v>0</v>
      </c>
      <c r="BG812">
        <v>0</v>
      </c>
      <c r="BH812">
        <v>1</v>
      </c>
      <c r="BI812">
        <v>1</v>
      </c>
      <c r="BJ812">
        <v>0.2</v>
      </c>
      <c r="BK812">
        <v>1</v>
      </c>
      <c r="BL812">
        <v>59.42</v>
      </c>
      <c r="BM812">
        <v>8.91</v>
      </c>
      <c r="BN812">
        <v>68.33</v>
      </c>
      <c r="BO812">
        <v>68.33</v>
      </c>
      <c r="BQ812" t="s">
        <v>179</v>
      </c>
      <c r="BR812" t="s">
        <v>82</v>
      </c>
      <c r="BS812" t="s">
        <v>500</v>
      </c>
      <c r="BY812">
        <v>1200</v>
      </c>
      <c r="CC812" t="s">
        <v>177</v>
      </c>
      <c r="CD812">
        <v>2094</v>
      </c>
      <c r="CE812" t="s">
        <v>134</v>
      </c>
      <c r="CI812">
        <v>1</v>
      </c>
      <c r="CJ812" t="s">
        <v>500</v>
      </c>
      <c r="CK812">
        <v>22</v>
      </c>
      <c r="CL812" t="s">
        <v>87</v>
      </c>
    </row>
    <row r="813" spans="1:90" x14ac:dyDescent="0.3">
      <c r="A813" t="s">
        <v>72</v>
      </c>
      <c r="B813" t="s">
        <v>73</v>
      </c>
      <c r="C813" t="s">
        <v>74</v>
      </c>
      <c r="E813" t="str">
        <f>"080069703960"</f>
        <v>080069703960</v>
      </c>
      <c r="F813" s="3">
        <v>45996</v>
      </c>
      <c r="G813">
        <v>202609</v>
      </c>
      <c r="H813" t="s">
        <v>75</v>
      </c>
      <c r="I813" t="s">
        <v>76</v>
      </c>
      <c r="J813" t="s">
        <v>77</v>
      </c>
      <c r="K813" t="s">
        <v>78</v>
      </c>
      <c r="L813" t="s">
        <v>218</v>
      </c>
      <c r="M813" t="s">
        <v>219</v>
      </c>
      <c r="N813" t="s">
        <v>220</v>
      </c>
      <c r="O813" t="s">
        <v>89</v>
      </c>
      <c r="P813" t="str">
        <f>"4170072155                    "</f>
        <v xml:space="preserve">4170072155                    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0</v>
      </c>
      <c r="AG813">
        <v>0</v>
      </c>
      <c r="AH813">
        <v>0</v>
      </c>
      <c r="AI813">
        <v>0</v>
      </c>
      <c r="AJ813">
        <v>0</v>
      </c>
      <c r="AK813">
        <v>0</v>
      </c>
      <c r="AL813">
        <v>0</v>
      </c>
      <c r="AM813">
        <v>0</v>
      </c>
      <c r="AN813">
        <v>0</v>
      </c>
      <c r="AO813">
        <v>0</v>
      </c>
      <c r="AP813">
        <v>0</v>
      </c>
      <c r="AQ813">
        <v>49.45</v>
      </c>
      <c r="AR813">
        <v>0</v>
      </c>
      <c r="AS813">
        <v>0</v>
      </c>
      <c r="AT813">
        <v>0</v>
      </c>
      <c r="AU813">
        <v>0</v>
      </c>
      <c r="AV813">
        <v>0</v>
      </c>
      <c r="AW813">
        <v>0</v>
      </c>
      <c r="AX813">
        <v>0</v>
      </c>
      <c r="AY813">
        <v>0</v>
      </c>
      <c r="AZ813">
        <v>0</v>
      </c>
      <c r="BA813">
        <v>0</v>
      </c>
      <c r="BB813">
        <v>0</v>
      </c>
      <c r="BC813">
        <v>0</v>
      </c>
      <c r="BD813">
        <v>0</v>
      </c>
      <c r="BE813">
        <v>0</v>
      </c>
      <c r="BF813">
        <v>0</v>
      </c>
      <c r="BG813">
        <v>0</v>
      </c>
      <c r="BH813">
        <v>1</v>
      </c>
      <c r="BI813">
        <v>1</v>
      </c>
      <c r="BJ813">
        <v>0.2</v>
      </c>
      <c r="BK813">
        <v>1</v>
      </c>
      <c r="BL813">
        <v>147.38</v>
      </c>
      <c r="BM813">
        <v>22.11</v>
      </c>
      <c r="BN813">
        <v>169.49</v>
      </c>
      <c r="BO813">
        <v>169.49</v>
      </c>
      <c r="BQ813" t="s">
        <v>221</v>
      </c>
      <c r="BR813" t="s">
        <v>82</v>
      </c>
      <c r="BS813" t="s">
        <v>500</v>
      </c>
      <c r="BY813">
        <v>1200</v>
      </c>
      <c r="CC813" t="s">
        <v>219</v>
      </c>
      <c r="CD813">
        <v>2740</v>
      </c>
      <c r="CE813" t="s">
        <v>134</v>
      </c>
      <c r="CI813">
        <v>1</v>
      </c>
      <c r="CJ813" t="s">
        <v>500</v>
      </c>
      <c r="CK813">
        <v>23</v>
      </c>
      <c r="CL813" t="s">
        <v>87</v>
      </c>
    </row>
    <row r="814" spans="1:90" x14ac:dyDescent="0.3">
      <c r="A814" t="s">
        <v>72</v>
      </c>
      <c r="B814" t="s">
        <v>73</v>
      </c>
      <c r="C814" t="s">
        <v>74</v>
      </c>
      <c r="E814" t="str">
        <f>"080069704014"</f>
        <v>080069704014</v>
      </c>
      <c r="F814" s="3">
        <v>45996</v>
      </c>
      <c r="G814">
        <v>202609</v>
      </c>
      <c r="H814" t="s">
        <v>75</v>
      </c>
      <c r="I814" t="s">
        <v>76</v>
      </c>
      <c r="J814" t="s">
        <v>77</v>
      </c>
      <c r="K814" t="s">
        <v>78</v>
      </c>
      <c r="L814" t="s">
        <v>465</v>
      </c>
      <c r="M814" t="s">
        <v>466</v>
      </c>
      <c r="N814" t="s">
        <v>1502</v>
      </c>
      <c r="O814" t="s">
        <v>89</v>
      </c>
      <c r="P814" t="str">
        <f>"4170072127                    "</f>
        <v xml:space="preserve">4170072127                    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  <c r="AF814">
        <v>0</v>
      </c>
      <c r="AG814">
        <v>0</v>
      </c>
      <c r="AH814">
        <v>0</v>
      </c>
      <c r="AI814">
        <v>0</v>
      </c>
      <c r="AJ814">
        <v>0</v>
      </c>
      <c r="AK814">
        <v>0</v>
      </c>
      <c r="AL814">
        <v>0</v>
      </c>
      <c r="AM814">
        <v>0</v>
      </c>
      <c r="AN814">
        <v>0</v>
      </c>
      <c r="AO814">
        <v>0</v>
      </c>
      <c r="AP814">
        <v>0</v>
      </c>
      <c r="AQ814">
        <v>19.940000000000001</v>
      </c>
      <c r="AR814">
        <v>0</v>
      </c>
      <c r="AS814">
        <v>0</v>
      </c>
      <c r="AT814">
        <v>0</v>
      </c>
      <c r="AU814">
        <v>0</v>
      </c>
      <c r="AV814">
        <v>0</v>
      </c>
      <c r="AW814">
        <v>0</v>
      </c>
      <c r="AX814">
        <v>0</v>
      </c>
      <c r="AY814">
        <v>0</v>
      </c>
      <c r="AZ814">
        <v>0</v>
      </c>
      <c r="BA814">
        <v>0</v>
      </c>
      <c r="BB814">
        <v>0</v>
      </c>
      <c r="BC814">
        <v>0</v>
      </c>
      <c r="BD814">
        <v>0</v>
      </c>
      <c r="BE814">
        <v>0</v>
      </c>
      <c r="BF814">
        <v>0</v>
      </c>
      <c r="BG814">
        <v>0</v>
      </c>
      <c r="BH814">
        <v>1</v>
      </c>
      <c r="BI814">
        <v>1</v>
      </c>
      <c r="BJ814">
        <v>0.2</v>
      </c>
      <c r="BK814">
        <v>1</v>
      </c>
      <c r="BL814">
        <v>59.42</v>
      </c>
      <c r="BM814">
        <v>8.91</v>
      </c>
      <c r="BN814">
        <v>68.33</v>
      </c>
      <c r="BO814">
        <v>68.33</v>
      </c>
      <c r="BQ814" t="s">
        <v>1503</v>
      </c>
      <c r="BR814" t="s">
        <v>82</v>
      </c>
      <c r="BS814" t="s">
        <v>500</v>
      </c>
      <c r="BY814">
        <v>1200</v>
      </c>
      <c r="CC814" t="s">
        <v>466</v>
      </c>
      <c r="CD814">
        <v>1406</v>
      </c>
      <c r="CE814" t="s">
        <v>134</v>
      </c>
      <c r="CI814">
        <v>1</v>
      </c>
      <c r="CJ814" t="s">
        <v>500</v>
      </c>
      <c r="CK814">
        <v>22</v>
      </c>
      <c r="CL814" t="s">
        <v>87</v>
      </c>
    </row>
    <row r="815" spans="1:90" x14ac:dyDescent="0.3">
      <c r="A815" t="s">
        <v>72</v>
      </c>
      <c r="B815" t="s">
        <v>73</v>
      </c>
      <c r="C815" t="s">
        <v>74</v>
      </c>
      <c r="E815" t="str">
        <f>"080069704002"</f>
        <v>080069704002</v>
      </c>
      <c r="F815" s="3">
        <v>45996</v>
      </c>
      <c r="G815">
        <v>202609</v>
      </c>
      <c r="H815" t="s">
        <v>75</v>
      </c>
      <c r="I815" t="s">
        <v>76</v>
      </c>
      <c r="J815" t="s">
        <v>77</v>
      </c>
      <c r="K815" t="s">
        <v>78</v>
      </c>
      <c r="L815" t="s">
        <v>302</v>
      </c>
      <c r="M815" t="s">
        <v>303</v>
      </c>
      <c r="N815" t="s">
        <v>1504</v>
      </c>
      <c r="O815" t="s">
        <v>340</v>
      </c>
      <c r="P815" t="str">
        <f>"4170072218                    "</f>
        <v xml:space="preserve">4170072218                    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0</v>
      </c>
      <c r="AG815">
        <v>0</v>
      </c>
      <c r="AH815">
        <v>0</v>
      </c>
      <c r="AI815">
        <v>0</v>
      </c>
      <c r="AJ815">
        <v>0</v>
      </c>
      <c r="AK815">
        <v>0</v>
      </c>
      <c r="AL815">
        <v>0</v>
      </c>
      <c r="AM815">
        <v>0</v>
      </c>
      <c r="AN815">
        <v>0</v>
      </c>
      <c r="AO815">
        <v>0</v>
      </c>
      <c r="AP815">
        <v>0</v>
      </c>
      <c r="AQ815">
        <v>83.75</v>
      </c>
      <c r="AR815">
        <v>0</v>
      </c>
      <c r="AS815">
        <v>0</v>
      </c>
      <c r="AT815">
        <v>0</v>
      </c>
      <c r="AU815">
        <v>0</v>
      </c>
      <c r="AV815">
        <v>0</v>
      </c>
      <c r="AW815">
        <v>0</v>
      </c>
      <c r="AX815">
        <v>0</v>
      </c>
      <c r="AY815">
        <v>0</v>
      </c>
      <c r="AZ815">
        <v>0</v>
      </c>
      <c r="BA815">
        <v>0</v>
      </c>
      <c r="BB815">
        <v>0</v>
      </c>
      <c r="BC815">
        <v>0</v>
      </c>
      <c r="BD815">
        <v>0</v>
      </c>
      <c r="BE815">
        <v>0</v>
      </c>
      <c r="BF815">
        <v>0</v>
      </c>
      <c r="BG815">
        <v>0</v>
      </c>
      <c r="BH815">
        <v>1</v>
      </c>
      <c r="BI815">
        <v>2</v>
      </c>
      <c r="BJ815">
        <v>3.4</v>
      </c>
      <c r="BK815">
        <v>3.5</v>
      </c>
      <c r="BL815">
        <v>249.6</v>
      </c>
      <c r="BM815">
        <v>37.44</v>
      </c>
      <c r="BN815">
        <v>287.04000000000002</v>
      </c>
      <c r="BO815">
        <v>287.04000000000002</v>
      </c>
      <c r="BQ815" t="s">
        <v>1505</v>
      </c>
      <c r="BR815" t="s">
        <v>82</v>
      </c>
      <c r="BS815" t="s">
        <v>500</v>
      </c>
      <c r="BY815">
        <v>16965</v>
      </c>
      <c r="CC815" t="s">
        <v>303</v>
      </c>
      <c r="CD815" s="5" t="s">
        <v>1506</v>
      </c>
      <c r="CE815" t="s">
        <v>86</v>
      </c>
      <c r="CI815">
        <v>1</v>
      </c>
      <c r="CJ815" t="s">
        <v>500</v>
      </c>
      <c r="CK815">
        <v>31</v>
      </c>
      <c r="CL815" t="s">
        <v>87</v>
      </c>
    </row>
    <row r="816" spans="1:90" x14ac:dyDescent="0.3">
      <c r="A816" t="s">
        <v>72</v>
      </c>
      <c r="B816" t="s">
        <v>73</v>
      </c>
      <c r="C816" t="s">
        <v>74</v>
      </c>
      <c r="E816" t="str">
        <f>"080069704025"</f>
        <v>080069704025</v>
      </c>
      <c r="F816" s="3">
        <v>45996</v>
      </c>
      <c r="G816">
        <v>202609</v>
      </c>
      <c r="H816" t="s">
        <v>75</v>
      </c>
      <c r="I816" t="s">
        <v>76</v>
      </c>
      <c r="J816" t="s">
        <v>77</v>
      </c>
      <c r="K816" t="s">
        <v>78</v>
      </c>
      <c r="L816" t="s">
        <v>691</v>
      </c>
      <c r="M816" t="s">
        <v>691</v>
      </c>
      <c r="N816" t="s">
        <v>541</v>
      </c>
      <c r="O816" t="s">
        <v>340</v>
      </c>
      <c r="P816" t="str">
        <f>"4170072063                    "</f>
        <v xml:space="preserve">4170072063                    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>
        <v>0</v>
      </c>
      <c r="AE816">
        <v>0</v>
      </c>
      <c r="AF816">
        <v>0</v>
      </c>
      <c r="AG816">
        <v>0</v>
      </c>
      <c r="AH816">
        <v>0</v>
      </c>
      <c r="AI816">
        <v>0</v>
      </c>
      <c r="AJ816">
        <v>0</v>
      </c>
      <c r="AK816">
        <v>0</v>
      </c>
      <c r="AL816">
        <v>0</v>
      </c>
      <c r="AM816">
        <v>0</v>
      </c>
      <c r="AN816">
        <v>0</v>
      </c>
      <c r="AO816">
        <v>0</v>
      </c>
      <c r="AP816">
        <v>0</v>
      </c>
      <c r="AQ816">
        <v>100.53</v>
      </c>
      <c r="AR816">
        <v>0</v>
      </c>
      <c r="AS816">
        <v>0</v>
      </c>
      <c r="AT816">
        <v>0</v>
      </c>
      <c r="AU816">
        <v>0</v>
      </c>
      <c r="AV816">
        <v>0</v>
      </c>
      <c r="AW816">
        <v>0</v>
      </c>
      <c r="AX816">
        <v>0</v>
      </c>
      <c r="AY816">
        <v>0</v>
      </c>
      <c r="AZ816">
        <v>0</v>
      </c>
      <c r="BA816">
        <v>0</v>
      </c>
      <c r="BB816">
        <v>0</v>
      </c>
      <c r="BC816">
        <v>0</v>
      </c>
      <c r="BD816">
        <v>0</v>
      </c>
      <c r="BE816">
        <v>0</v>
      </c>
      <c r="BF816">
        <v>0</v>
      </c>
      <c r="BG816">
        <v>0</v>
      </c>
      <c r="BH816">
        <v>1</v>
      </c>
      <c r="BI816">
        <v>4.5</v>
      </c>
      <c r="BJ816">
        <v>4.8</v>
      </c>
      <c r="BK816">
        <v>5</v>
      </c>
      <c r="BL816">
        <v>299.58999999999997</v>
      </c>
      <c r="BM816">
        <v>44.94</v>
      </c>
      <c r="BN816">
        <v>344.53</v>
      </c>
      <c r="BO816">
        <v>344.53</v>
      </c>
      <c r="BQ816" t="s">
        <v>542</v>
      </c>
      <c r="BR816" t="s">
        <v>82</v>
      </c>
      <c r="BS816" t="s">
        <v>500</v>
      </c>
      <c r="BY816">
        <v>23941.54</v>
      </c>
      <c r="CC816" t="s">
        <v>691</v>
      </c>
      <c r="CD816">
        <v>1491</v>
      </c>
      <c r="CE816" t="s">
        <v>86</v>
      </c>
      <c r="CI816">
        <v>1</v>
      </c>
      <c r="CJ816" t="s">
        <v>500</v>
      </c>
      <c r="CK816">
        <v>34</v>
      </c>
      <c r="CL816" t="s">
        <v>87</v>
      </c>
    </row>
    <row r="817" spans="1:90" x14ac:dyDescent="0.3">
      <c r="A817" t="s">
        <v>72</v>
      </c>
      <c r="B817" t="s">
        <v>73</v>
      </c>
      <c r="C817" t="s">
        <v>74</v>
      </c>
      <c r="E817" t="str">
        <f>"080069704037"</f>
        <v>080069704037</v>
      </c>
      <c r="F817" s="3">
        <v>45996</v>
      </c>
      <c r="G817">
        <v>202609</v>
      </c>
      <c r="H817" t="s">
        <v>75</v>
      </c>
      <c r="I817" t="s">
        <v>76</v>
      </c>
      <c r="J817" t="s">
        <v>77</v>
      </c>
      <c r="K817" t="s">
        <v>78</v>
      </c>
      <c r="L817" t="s">
        <v>176</v>
      </c>
      <c r="M817" t="s">
        <v>177</v>
      </c>
      <c r="N817" t="s">
        <v>1507</v>
      </c>
      <c r="O817" t="s">
        <v>89</v>
      </c>
      <c r="P817" t="str">
        <f>"4170072195                    "</f>
        <v xml:space="preserve">4170072195                    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  <c r="AG817">
        <v>0</v>
      </c>
      <c r="AH817">
        <v>0</v>
      </c>
      <c r="AI817">
        <v>0</v>
      </c>
      <c r="AJ817">
        <v>0</v>
      </c>
      <c r="AK817">
        <v>0</v>
      </c>
      <c r="AL817">
        <v>0</v>
      </c>
      <c r="AM817">
        <v>0</v>
      </c>
      <c r="AN817">
        <v>0</v>
      </c>
      <c r="AO817">
        <v>0</v>
      </c>
      <c r="AP817">
        <v>0</v>
      </c>
      <c r="AQ817">
        <v>19.940000000000001</v>
      </c>
      <c r="AR817">
        <v>0</v>
      </c>
      <c r="AS817">
        <v>0</v>
      </c>
      <c r="AT817">
        <v>0</v>
      </c>
      <c r="AU817">
        <v>0</v>
      </c>
      <c r="AV817">
        <v>0</v>
      </c>
      <c r="AW817">
        <v>0</v>
      </c>
      <c r="AX817">
        <v>0</v>
      </c>
      <c r="AY817">
        <v>0</v>
      </c>
      <c r="AZ817">
        <v>0</v>
      </c>
      <c r="BA817">
        <v>0</v>
      </c>
      <c r="BB817">
        <v>0</v>
      </c>
      <c r="BC817">
        <v>0</v>
      </c>
      <c r="BD817">
        <v>0</v>
      </c>
      <c r="BE817">
        <v>0</v>
      </c>
      <c r="BF817">
        <v>0</v>
      </c>
      <c r="BG817">
        <v>0</v>
      </c>
      <c r="BH817">
        <v>1</v>
      </c>
      <c r="BI817">
        <v>1</v>
      </c>
      <c r="BJ817">
        <v>0.2</v>
      </c>
      <c r="BK817">
        <v>1</v>
      </c>
      <c r="BL817">
        <v>59.42</v>
      </c>
      <c r="BM817">
        <v>8.91</v>
      </c>
      <c r="BN817">
        <v>68.33</v>
      </c>
      <c r="BO817">
        <v>68.33</v>
      </c>
      <c r="BQ817" t="s">
        <v>1508</v>
      </c>
      <c r="BR817" t="s">
        <v>82</v>
      </c>
      <c r="BS817" t="s">
        <v>500</v>
      </c>
      <c r="BY817">
        <v>1200</v>
      </c>
      <c r="CC817" t="s">
        <v>177</v>
      </c>
      <c r="CD817">
        <v>2049</v>
      </c>
      <c r="CE817" t="s">
        <v>134</v>
      </c>
      <c r="CI817">
        <v>1</v>
      </c>
      <c r="CJ817" t="s">
        <v>500</v>
      </c>
      <c r="CK817">
        <v>22</v>
      </c>
      <c r="CL817" t="s">
        <v>87</v>
      </c>
    </row>
    <row r="818" spans="1:90" x14ac:dyDescent="0.3">
      <c r="A818" t="s">
        <v>72</v>
      </c>
      <c r="B818" t="s">
        <v>73</v>
      </c>
      <c r="C818" t="s">
        <v>74</v>
      </c>
      <c r="E818" t="str">
        <f>"080069704060"</f>
        <v>080069704060</v>
      </c>
      <c r="F818" s="3">
        <v>45996</v>
      </c>
      <c r="G818">
        <v>202609</v>
      </c>
      <c r="H818" t="s">
        <v>75</v>
      </c>
      <c r="I818" t="s">
        <v>76</v>
      </c>
      <c r="J818" t="s">
        <v>77</v>
      </c>
      <c r="K818" t="s">
        <v>78</v>
      </c>
      <c r="L818" t="s">
        <v>1509</v>
      </c>
      <c r="M818" t="s">
        <v>1510</v>
      </c>
      <c r="N818" t="s">
        <v>249</v>
      </c>
      <c r="O818" t="s">
        <v>89</v>
      </c>
      <c r="P818" t="str">
        <f>"4170072077                    "</f>
        <v xml:space="preserve">4170072077                    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>
        <v>0</v>
      </c>
      <c r="AG818">
        <v>0</v>
      </c>
      <c r="AH818">
        <v>0</v>
      </c>
      <c r="AI818">
        <v>0</v>
      </c>
      <c r="AJ818">
        <v>0</v>
      </c>
      <c r="AK818">
        <v>0</v>
      </c>
      <c r="AL818">
        <v>0</v>
      </c>
      <c r="AM818">
        <v>0</v>
      </c>
      <c r="AN818">
        <v>0</v>
      </c>
      <c r="AO818">
        <v>0</v>
      </c>
      <c r="AP818">
        <v>0</v>
      </c>
      <c r="AQ818">
        <v>25.52</v>
      </c>
      <c r="AR818">
        <v>0</v>
      </c>
      <c r="AS818">
        <v>0</v>
      </c>
      <c r="AT818">
        <v>0</v>
      </c>
      <c r="AU818">
        <v>0</v>
      </c>
      <c r="AV818">
        <v>0</v>
      </c>
      <c r="AW818">
        <v>0</v>
      </c>
      <c r="AX818">
        <v>0</v>
      </c>
      <c r="AY818">
        <v>0</v>
      </c>
      <c r="AZ818">
        <v>0</v>
      </c>
      <c r="BA818">
        <v>0</v>
      </c>
      <c r="BB818">
        <v>0</v>
      </c>
      <c r="BC818">
        <v>0</v>
      </c>
      <c r="BD818">
        <v>0</v>
      </c>
      <c r="BE818">
        <v>0</v>
      </c>
      <c r="BF818">
        <v>0</v>
      </c>
      <c r="BG818">
        <v>0</v>
      </c>
      <c r="BH818">
        <v>1</v>
      </c>
      <c r="BI818">
        <v>1</v>
      </c>
      <c r="BJ818">
        <v>0.2</v>
      </c>
      <c r="BK818">
        <v>1</v>
      </c>
      <c r="BL818">
        <v>76.06</v>
      </c>
      <c r="BM818">
        <v>11.41</v>
      </c>
      <c r="BN818">
        <v>87.47</v>
      </c>
      <c r="BO818">
        <v>87.47</v>
      </c>
      <c r="BQ818" t="s">
        <v>250</v>
      </c>
      <c r="BR818" t="s">
        <v>82</v>
      </c>
      <c r="BS818" t="s">
        <v>500</v>
      </c>
      <c r="BY818">
        <v>1200</v>
      </c>
      <c r="CC818" t="s">
        <v>1510</v>
      </c>
      <c r="CD818" s="5" t="s">
        <v>1511</v>
      </c>
      <c r="CE818" t="s">
        <v>134</v>
      </c>
      <c r="CI818">
        <v>1</v>
      </c>
      <c r="CJ818" t="s">
        <v>500</v>
      </c>
      <c r="CK818">
        <v>21</v>
      </c>
      <c r="CL818" t="s">
        <v>87</v>
      </c>
    </row>
    <row r="819" spans="1:90" x14ac:dyDescent="0.3">
      <c r="A819" t="s">
        <v>72</v>
      </c>
      <c r="B819" t="s">
        <v>73</v>
      </c>
      <c r="C819" t="s">
        <v>74</v>
      </c>
      <c r="E819" t="str">
        <f>"080069704076"</f>
        <v>080069704076</v>
      </c>
      <c r="F819" s="3">
        <v>45996</v>
      </c>
      <c r="G819">
        <v>202609</v>
      </c>
      <c r="H819" t="s">
        <v>75</v>
      </c>
      <c r="I819" t="s">
        <v>76</v>
      </c>
      <c r="J819" t="s">
        <v>77</v>
      </c>
      <c r="K819" t="s">
        <v>78</v>
      </c>
      <c r="L819" t="s">
        <v>302</v>
      </c>
      <c r="M819" t="s">
        <v>303</v>
      </c>
      <c r="N819" t="s">
        <v>1512</v>
      </c>
      <c r="O819" t="s">
        <v>80</v>
      </c>
      <c r="P819" t="str">
        <f>"4170072060                    "</f>
        <v xml:space="preserve">4170072060                    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0</v>
      </c>
      <c r="AG819">
        <v>0</v>
      </c>
      <c r="AH819">
        <v>0</v>
      </c>
      <c r="AI819">
        <v>0</v>
      </c>
      <c r="AJ819">
        <v>0</v>
      </c>
      <c r="AK819">
        <v>0</v>
      </c>
      <c r="AL819">
        <v>0</v>
      </c>
      <c r="AM819">
        <v>0</v>
      </c>
      <c r="AN819">
        <v>0</v>
      </c>
      <c r="AO819">
        <v>0</v>
      </c>
      <c r="AP819">
        <v>0</v>
      </c>
      <c r="AQ819">
        <v>49.36</v>
      </c>
      <c r="AR819">
        <v>0</v>
      </c>
      <c r="AS819">
        <v>0</v>
      </c>
      <c r="AT819">
        <v>0</v>
      </c>
      <c r="AU819">
        <v>0</v>
      </c>
      <c r="AV819">
        <v>0</v>
      </c>
      <c r="AW819">
        <v>0</v>
      </c>
      <c r="AX819">
        <v>0</v>
      </c>
      <c r="AY819">
        <v>0</v>
      </c>
      <c r="AZ819">
        <v>0</v>
      </c>
      <c r="BA819">
        <v>0</v>
      </c>
      <c r="BB819">
        <v>0</v>
      </c>
      <c r="BC819">
        <v>0</v>
      </c>
      <c r="BD819">
        <v>0</v>
      </c>
      <c r="BE819">
        <v>0</v>
      </c>
      <c r="BF819">
        <v>0</v>
      </c>
      <c r="BG819">
        <v>0</v>
      </c>
      <c r="BH819">
        <v>1</v>
      </c>
      <c r="BI819">
        <v>8</v>
      </c>
      <c r="BJ819">
        <v>1.8</v>
      </c>
      <c r="BK819">
        <v>8</v>
      </c>
      <c r="BL819">
        <v>153.19999999999999</v>
      </c>
      <c r="BM819">
        <v>22.98</v>
      </c>
      <c r="BN819">
        <v>176.18</v>
      </c>
      <c r="BO819">
        <v>176.18</v>
      </c>
      <c r="BQ819" t="s">
        <v>1513</v>
      </c>
      <c r="BR819" t="s">
        <v>82</v>
      </c>
      <c r="BS819" t="s">
        <v>500</v>
      </c>
      <c r="BY819">
        <v>8816</v>
      </c>
      <c r="CC819" t="s">
        <v>303</v>
      </c>
      <c r="CD819" s="5" t="s">
        <v>307</v>
      </c>
      <c r="CE819" t="s">
        <v>86</v>
      </c>
      <c r="CI819">
        <v>1</v>
      </c>
      <c r="CJ819" t="s">
        <v>500</v>
      </c>
      <c r="CK819">
        <v>41</v>
      </c>
      <c r="CL819" t="s">
        <v>87</v>
      </c>
    </row>
    <row r="820" spans="1:90" x14ac:dyDescent="0.3">
      <c r="A820" t="s">
        <v>72</v>
      </c>
      <c r="B820" t="s">
        <v>73</v>
      </c>
      <c r="C820" t="s">
        <v>74</v>
      </c>
      <c r="E820" t="str">
        <f>"080069704090"</f>
        <v>080069704090</v>
      </c>
      <c r="F820" s="3">
        <v>45996</v>
      </c>
      <c r="G820">
        <v>202609</v>
      </c>
      <c r="H820" t="s">
        <v>75</v>
      </c>
      <c r="I820" t="s">
        <v>76</v>
      </c>
      <c r="J820" t="s">
        <v>77</v>
      </c>
      <c r="K820" t="s">
        <v>78</v>
      </c>
      <c r="L820" t="s">
        <v>302</v>
      </c>
      <c r="M820" t="s">
        <v>303</v>
      </c>
      <c r="N820" t="s">
        <v>870</v>
      </c>
      <c r="O820" t="s">
        <v>89</v>
      </c>
      <c r="P820" t="str">
        <f>"4170072189                    "</f>
        <v xml:space="preserve">4170072189                    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0</v>
      </c>
      <c r="AG820">
        <v>0</v>
      </c>
      <c r="AH820">
        <v>0</v>
      </c>
      <c r="AI820">
        <v>0</v>
      </c>
      <c r="AJ820">
        <v>0</v>
      </c>
      <c r="AK820">
        <v>0</v>
      </c>
      <c r="AL820">
        <v>0</v>
      </c>
      <c r="AM820">
        <v>0</v>
      </c>
      <c r="AN820">
        <v>0</v>
      </c>
      <c r="AO820">
        <v>0</v>
      </c>
      <c r="AP820">
        <v>0</v>
      </c>
      <c r="AQ820">
        <v>25.52</v>
      </c>
      <c r="AR820">
        <v>0</v>
      </c>
      <c r="AS820">
        <v>0</v>
      </c>
      <c r="AT820">
        <v>0</v>
      </c>
      <c r="AU820">
        <v>0</v>
      </c>
      <c r="AV820">
        <v>0</v>
      </c>
      <c r="AW820">
        <v>0</v>
      </c>
      <c r="AX820">
        <v>0</v>
      </c>
      <c r="AY820">
        <v>0</v>
      </c>
      <c r="AZ820">
        <v>0</v>
      </c>
      <c r="BA820">
        <v>0</v>
      </c>
      <c r="BB820">
        <v>0</v>
      </c>
      <c r="BC820">
        <v>0</v>
      </c>
      <c r="BD820">
        <v>0</v>
      </c>
      <c r="BE820">
        <v>0</v>
      </c>
      <c r="BF820">
        <v>0</v>
      </c>
      <c r="BG820">
        <v>0</v>
      </c>
      <c r="BH820">
        <v>1</v>
      </c>
      <c r="BI820">
        <v>1</v>
      </c>
      <c r="BJ820">
        <v>0.2</v>
      </c>
      <c r="BK820">
        <v>1</v>
      </c>
      <c r="BL820">
        <v>76.06</v>
      </c>
      <c r="BM820">
        <v>11.41</v>
      </c>
      <c r="BN820">
        <v>87.47</v>
      </c>
      <c r="BO820">
        <v>87.47</v>
      </c>
      <c r="BQ820" t="s">
        <v>871</v>
      </c>
      <c r="BR820" t="s">
        <v>82</v>
      </c>
      <c r="BS820" t="s">
        <v>500</v>
      </c>
      <c r="BY820">
        <v>1200</v>
      </c>
      <c r="CC820" t="s">
        <v>303</v>
      </c>
      <c r="CD820" s="5" t="s">
        <v>307</v>
      </c>
      <c r="CE820" t="s">
        <v>134</v>
      </c>
      <c r="CI820">
        <v>1</v>
      </c>
      <c r="CJ820" t="s">
        <v>500</v>
      </c>
      <c r="CK820">
        <v>21</v>
      </c>
      <c r="CL820" t="s">
        <v>87</v>
      </c>
    </row>
    <row r="821" spans="1:90" x14ac:dyDescent="0.3">
      <c r="A821" t="s">
        <v>72</v>
      </c>
      <c r="B821" t="s">
        <v>73</v>
      </c>
      <c r="C821" t="s">
        <v>74</v>
      </c>
      <c r="E821" t="str">
        <f>"080069704123"</f>
        <v>080069704123</v>
      </c>
      <c r="F821" s="3">
        <v>45996</v>
      </c>
      <c r="G821">
        <v>202609</v>
      </c>
      <c r="H821" t="s">
        <v>75</v>
      </c>
      <c r="I821" t="s">
        <v>76</v>
      </c>
      <c r="J821" t="s">
        <v>77</v>
      </c>
      <c r="K821" t="s">
        <v>78</v>
      </c>
      <c r="L821" t="s">
        <v>169</v>
      </c>
      <c r="M821" t="s">
        <v>170</v>
      </c>
      <c r="N821" t="s">
        <v>171</v>
      </c>
      <c r="O821" t="s">
        <v>89</v>
      </c>
      <c r="P821" t="str">
        <f>"4170072079                    "</f>
        <v xml:space="preserve">4170072079                    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0</v>
      </c>
      <c r="AG821">
        <v>0</v>
      </c>
      <c r="AH821">
        <v>0</v>
      </c>
      <c r="AI821">
        <v>0</v>
      </c>
      <c r="AJ821">
        <v>0</v>
      </c>
      <c r="AK821">
        <v>0</v>
      </c>
      <c r="AL821">
        <v>0</v>
      </c>
      <c r="AM821">
        <v>0</v>
      </c>
      <c r="AN821">
        <v>0</v>
      </c>
      <c r="AO821">
        <v>0</v>
      </c>
      <c r="AP821">
        <v>0</v>
      </c>
      <c r="AQ821">
        <v>49.45</v>
      </c>
      <c r="AR821">
        <v>0</v>
      </c>
      <c r="AS821">
        <v>0</v>
      </c>
      <c r="AT821">
        <v>0</v>
      </c>
      <c r="AU821">
        <v>0</v>
      </c>
      <c r="AV821">
        <v>0</v>
      </c>
      <c r="AW821">
        <v>0</v>
      </c>
      <c r="AX821">
        <v>0</v>
      </c>
      <c r="AY821">
        <v>0</v>
      </c>
      <c r="AZ821">
        <v>0</v>
      </c>
      <c r="BA821">
        <v>0</v>
      </c>
      <c r="BB821">
        <v>0</v>
      </c>
      <c r="BC821">
        <v>0</v>
      </c>
      <c r="BD821">
        <v>0</v>
      </c>
      <c r="BE821">
        <v>0</v>
      </c>
      <c r="BF821">
        <v>0</v>
      </c>
      <c r="BG821">
        <v>0</v>
      </c>
      <c r="BH821">
        <v>1</v>
      </c>
      <c r="BI821">
        <v>2</v>
      </c>
      <c r="BJ821">
        <v>1.4</v>
      </c>
      <c r="BK821">
        <v>2</v>
      </c>
      <c r="BL821">
        <v>147.38</v>
      </c>
      <c r="BM821">
        <v>22.11</v>
      </c>
      <c r="BN821">
        <v>169.49</v>
      </c>
      <c r="BO821">
        <v>169.49</v>
      </c>
      <c r="BQ821" t="s">
        <v>172</v>
      </c>
      <c r="BR821" t="s">
        <v>82</v>
      </c>
      <c r="BS821" t="s">
        <v>500</v>
      </c>
      <c r="BY821">
        <v>7000</v>
      </c>
      <c r="CC821" t="s">
        <v>170</v>
      </c>
      <c r="CD821">
        <v>1028</v>
      </c>
      <c r="CE821" t="s">
        <v>86</v>
      </c>
      <c r="CI821">
        <v>1</v>
      </c>
      <c r="CJ821" t="s">
        <v>500</v>
      </c>
      <c r="CK821">
        <v>23</v>
      </c>
      <c r="CL821" t="s">
        <v>87</v>
      </c>
    </row>
    <row r="822" spans="1:90" x14ac:dyDescent="0.3">
      <c r="A822" t="s">
        <v>72</v>
      </c>
      <c r="B822" t="s">
        <v>73</v>
      </c>
      <c r="C822" t="s">
        <v>74</v>
      </c>
      <c r="E822" t="str">
        <f>"080069704135"</f>
        <v>080069704135</v>
      </c>
      <c r="F822" s="3">
        <v>45996</v>
      </c>
      <c r="G822">
        <v>202609</v>
      </c>
      <c r="H822" t="s">
        <v>75</v>
      </c>
      <c r="I822" t="s">
        <v>76</v>
      </c>
      <c r="J822" t="s">
        <v>77</v>
      </c>
      <c r="K822" t="s">
        <v>78</v>
      </c>
      <c r="L822" t="s">
        <v>141</v>
      </c>
      <c r="M822" t="s">
        <v>142</v>
      </c>
      <c r="N822" t="s">
        <v>566</v>
      </c>
      <c r="O822" t="s">
        <v>89</v>
      </c>
      <c r="P822" t="str">
        <f>"4170072100                    "</f>
        <v xml:space="preserve">4170072100                    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  <c r="AG822">
        <v>0</v>
      </c>
      <c r="AH822">
        <v>0</v>
      </c>
      <c r="AI822">
        <v>0</v>
      </c>
      <c r="AJ822">
        <v>0</v>
      </c>
      <c r="AK822">
        <v>0</v>
      </c>
      <c r="AL822">
        <v>0</v>
      </c>
      <c r="AM822">
        <v>0</v>
      </c>
      <c r="AN822">
        <v>0</v>
      </c>
      <c r="AO822">
        <v>0</v>
      </c>
      <c r="AP822">
        <v>0</v>
      </c>
      <c r="AQ822">
        <v>25.52</v>
      </c>
      <c r="AR822">
        <v>0</v>
      </c>
      <c r="AS822">
        <v>0</v>
      </c>
      <c r="AT822">
        <v>0</v>
      </c>
      <c r="AU822">
        <v>0</v>
      </c>
      <c r="AV822">
        <v>0</v>
      </c>
      <c r="AW822">
        <v>0</v>
      </c>
      <c r="AX822">
        <v>0</v>
      </c>
      <c r="AY822">
        <v>0</v>
      </c>
      <c r="AZ822">
        <v>0</v>
      </c>
      <c r="BA822">
        <v>0</v>
      </c>
      <c r="BB822">
        <v>0</v>
      </c>
      <c r="BC822">
        <v>0</v>
      </c>
      <c r="BD822">
        <v>0</v>
      </c>
      <c r="BE822">
        <v>0</v>
      </c>
      <c r="BF822">
        <v>0</v>
      </c>
      <c r="BG822">
        <v>0</v>
      </c>
      <c r="BH822">
        <v>1</v>
      </c>
      <c r="BI822">
        <v>1</v>
      </c>
      <c r="BJ822">
        <v>0.2</v>
      </c>
      <c r="BK822">
        <v>1</v>
      </c>
      <c r="BL822">
        <v>76.06</v>
      </c>
      <c r="BM822">
        <v>11.41</v>
      </c>
      <c r="BN822">
        <v>87.47</v>
      </c>
      <c r="BO822">
        <v>87.47</v>
      </c>
      <c r="BQ822" t="s">
        <v>567</v>
      </c>
      <c r="BR822" t="s">
        <v>82</v>
      </c>
      <c r="BS822" t="s">
        <v>500</v>
      </c>
      <c r="BY822">
        <v>1200</v>
      </c>
      <c r="CC822" t="s">
        <v>142</v>
      </c>
      <c r="CD822">
        <v>6056</v>
      </c>
      <c r="CE822" t="s">
        <v>134</v>
      </c>
      <c r="CI822">
        <v>1</v>
      </c>
      <c r="CJ822" t="s">
        <v>500</v>
      </c>
      <c r="CK822">
        <v>21</v>
      </c>
      <c r="CL822" t="s">
        <v>87</v>
      </c>
    </row>
    <row r="823" spans="1:90" x14ac:dyDescent="0.3">
      <c r="A823" t="s">
        <v>72</v>
      </c>
      <c r="B823" t="s">
        <v>73</v>
      </c>
      <c r="C823" t="s">
        <v>74</v>
      </c>
      <c r="E823" t="str">
        <f>"080069704178"</f>
        <v>080069704178</v>
      </c>
      <c r="F823" s="3">
        <v>45996</v>
      </c>
      <c r="G823">
        <v>202609</v>
      </c>
      <c r="H823" t="s">
        <v>75</v>
      </c>
      <c r="I823" t="s">
        <v>76</v>
      </c>
      <c r="J823" t="s">
        <v>77</v>
      </c>
      <c r="K823" t="s">
        <v>78</v>
      </c>
      <c r="L823" t="s">
        <v>100</v>
      </c>
      <c r="M823" t="s">
        <v>101</v>
      </c>
      <c r="N823" t="s">
        <v>498</v>
      </c>
      <c r="O823" t="s">
        <v>89</v>
      </c>
      <c r="P823" t="str">
        <f>"4170072196                    "</f>
        <v xml:space="preserve">4170072196                    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  <c r="AG823">
        <v>0</v>
      </c>
      <c r="AH823">
        <v>0</v>
      </c>
      <c r="AI823">
        <v>0</v>
      </c>
      <c r="AJ823">
        <v>0</v>
      </c>
      <c r="AK823">
        <v>0</v>
      </c>
      <c r="AL823">
        <v>0</v>
      </c>
      <c r="AM823">
        <v>0</v>
      </c>
      <c r="AN823">
        <v>0</v>
      </c>
      <c r="AO823">
        <v>0</v>
      </c>
      <c r="AP823">
        <v>0</v>
      </c>
      <c r="AQ823">
        <v>25.52</v>
      </c>
      <c r="AR823">
        <v>0</v>
      </c>
      <c r="AS823">
        <v>0</v>
      </c>
      <c r="AT823">
        <v>0</v>
      </c>
      <c r="AU823">
        <v>0</v>
      </c>
      <c r="AV823">
        <v>0</v>
      </c>
      <c r="AW823">
        <v>0</v>
      </c>
      <c r="AX823">
        <v>0</v>
      </c>
      <c r="AY823">
        <v>0</v>
      </c>
      <c r="AZ823">
        <v>0</v>
      </c>
      <c r="BA823">
        <v>0</v>
      </c>
      <c r="BB823">
        <v>0</v>
      </c>
      <c r="BC823">
        <v>0</v>
      </c>
      <c r="BD823">
        <v>0</v>
      </c>
      <c r="BE823">
        <v>0</v>
      </c>
      <c r="BF823">
        <v>0</v>
      </c>
      <c r="BG823">
        <v>0</v>
      </c>
      <c r="BH823">
        <v>1</v>
      </c>
      <c r="BI823">
        <v>2</v>
      </c>
      <c r="BJ823">
        <v>0.7</v>
      </c>
      <c r="BK823">
        <v>2</v>
      </c>
      <c r="BL823">
        <v>76.06</v>
      </c>
      <c r="BM823">
        <v>11.41</v>
      </c>
      <c r="BN823">
        <v>87.47</v>
      </c>
      <c r="BO823">
        <v>87.47</v>
      </c>
      <c r="BQ823" t="s">
        <v>499</v>
      </c>
      <c r="BR823" t="s">
        <v>82</v>
      </c>
      <c r="BS823" t="s">
        <v>500</v>
      </c>
      <c r="BY823">
        <v>3306</v>
      </c>
      <c r="CC823" t="s">
        <v>101</v>
      </c>
      <c r="CD823">
        <v>4052</v>
      </c>
      <c r="CE823" t="s">
        <v>86</v>
      </c>
      <c r="CI823">
        <v>1</v>
      </c>
      <c r="CJ823" t="s">
        <v>500</v>
      </c>
      <c r="CK823">
        <v>21</v>
      </c>
      <c r="CL823" t="s">
        <v>87</v>
      </c>
    </row>
    <row r="824" spans="1:90" x14ac:dyDescent="0.3">
      <c r="A824" t="s">
        <v>72</v>
      </c>
      <c r="B824" t="s">
        <v>73</v>
      </c>
      <c r="C824" t="s">
        <v>74</v>
      </c>
      <c r="E824" t="str">
        <f>"080069704189"</f>
        <v>080069704189</v>
      </c>
      <c r="F824" s="3">
        <v>45996</v>
      </c>
      <c r="G824">
        <v>202609</v>
      </c>
      <c r="H824" t="s">
        <v>75</v>
      </c>
      <c r="I824" t="s">
        <v>76</v>
      </c>
      <c r="J824" t="s">
        <v>77</v>
      </c>
      <c r="K824" t="s">
        <v>78</v>
      </c>
      <c r="L824" t="s">
        <v>399</v>
      </c>
      <c r="M824" t="s">
        <v>400</v>
      </c>
      <c r="N824" t="s">
        <v>401</v>
      </c>
      <c r="O824" t="s">
        <v>89</v>
      </c>
      <c r="P824" t="str">
        <f>"4170072108                    "</f>
        <v xml:space="preserve">4170072108                    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  <c r="AG824">
        <v>0</v>
      </c>
      <c r="AH824">
        <v>0</v>
      </c>
      <c r="AI824">
        <v>0</v>
      </c>
      <c r="AJ824">
        <v>0</v>
      </c>
      <c r="AK824">
        <v>0</v>
      </c>
      <c r="AL824">
        <v>0</v>
      </c>
      <c r="AM824">
        <v>0</v>
      </c>
      <c r="AN824">
        <v>0</v>
      </c>
      <c r="AO824">
        <v>0</v>
      </c>
      <c r="AP824">
        <v>0</v>
      </c>
      <c r="AQ824">
        <v>19.940000000000001</v>
      </c>
      <c r="AR824">
        <v>0</v>
      </c>
      <c r="AS824">
        <v>0</v>
      </c>
      <c r="AT824">
        <v>0</v>
      </c>
      <c r="AU824">
        <v>0</v>
      </c>
      <c r="AV824">
        <v>0</v>
      </c>
      <c r="AW824">
        <v>0</v>
      </c>
      <c r="AX824">
        <v>0</v>
      </c>
      <c r="AY824">
        <v>0</v>
      </c>
      <c r="AZ824">
        <v>0</v>
      </c>
      <c r="BA824">
        <v>0</v>
      </c>
      <c r="BB824">
        <v>0</v>
      </c>
      <c r="BC824">
        <v>0</v>
      </c>
      <c r="BD824">
        <v>0</v>
      </c>
      <c r="BE824">
        <v>0</v>
      </c>
      <c r="BF824">
        <v>0</v>
      </c>
      <c r="BG824">
        <v>0</v>
      </c>
      <c r="BH824">
        <v>1</v>
      </c>
      <c r="BI824">
        <v>1</v>
      </c>
      <c r="BJ824">
        <v>0.2</v>
      </c>
      <c r="BK824">
        <v>1</v>
      </c>
      <c r="BL824">
        <v>59.42</v>
      </c>
      <c r="BM824">
        <v>8.91</v>
      </c>
      <c r="BN824">
        <v>68.33</v>
      </c>
      <c r="BO824">
        <v>68.33</v>
      </c>
      <c r="BQ824" t="s">
        <v>402</v>
      </c>
      <c r="BR824" t="s">
        <v>82</v>
      </c>
      <c r="BS824" t="s">
        <v>500</v>
      </c>
      <c r="BY824">
        <v>1200</v>
      </c>
      <c r="CC824" t="s">
        <v>400</v>
      </c>
      <c r="CD824">
        <v>1724</v>
      </c>
      <c r="CE824" t="s">
        <v>134</v>
      </c>
      <c r="CI824">
        <v>1</v>
      </c>
      <c r="CJ824" t="s">
        <v>500</v>
      </c>
      <c r="CK824">
        <v>22</v>
      </c>
      <c r="CL824" t="s">
        <v>87</v>
      </c>
    </row>
    <row r="825" spans="1:90" x14ac:dyDescent="0.3">
      <c r="A825" t="s">
        <v>72</v>
      </c>
      <c r="B825" t="s">
        <v>73</v>
      </c>
      <c r="C825" t="s">
        <v>74</v>
      </c>
      <c r="E825" t="str">
        <f>"080069704238"</f>
        <v>080069704238</v>
      </c>
      <c r="F825" s="3">
        <v>45996</v>
      </c>
      <c r="G825">
        <v>202609</v>
      </c>
      <c r="H825" t="s">
        <v>75</v>
      </c>
      <c r="I825" t="s">
        <v>76</v>
      </c>
      <c r="J825" t="s">
        <v>77</v>
      </c>
      <c r="K825" t="s">
        <v>78</v>
      </c>
      <c r="L825" t="s">
        <v>302</v>
      </c>
      <c r="M825" t="s">
        <v>303</v>
      </c>
      <c r="N825" t="s">
        <v>1038</v>
      </c>
      <c r="O825" t="s">
        <v>80</v>
      </c>
      <c r="P825" t="str">
        <f>"4170072122                    "</f>
        <v xml:space="preserve">4170072122                    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  <c r="AG825">
        <v>0</v>
      </c>
      <c r="AH825">
        <v>0</v>
      </c>
      <c r="AI825">
        <v>0</v>
      </c>
      <c r="AJ825">
        <v>0</v>
      </c>
      <c r="AK825">
        <v>0</v>
      </c>
      <c r="AL825">
        <v>0</v>
      </c>
      <c r="AM825">
        <v>0</v>
      </c>
      <c r="AN825">
        <v>0</v>
      </c>
      <c r="AO825">
        <v>0</v>
      </c>
      <c r="AP825">
        <v>0</v>
      </c>
      <c r="AQ825">
        <v>49.36</v>
      </c>
      <c r="AR825">
        <v>0</v>
      </c>
      <c r="AS825">
        <v>0</v>
      </c>
      <c r="AT825">
        <v>0</v>
      </c>
      <c r="AU825">
        <v>0</v>
      </c>
      <c r="AV825">
        <v>0</v>
      </c>
      <c r="AW825">
        <v>0</v>
      </c>
      <c r="AX825">
        <v>0</v>
      </c>
      <c r="AY825">
        <v>0</v>
      </c>
      <c r="AZ825">
        <v>0</v>
      </c>
      <c r="BA825">
        <v>0</v>
      </c>
      <c r="BB825">
        <v>0</v>
      </c>
      <c r="BC825">
        <v>0</v>
      </c>
      <c r="BD825">
        <v>0</v>
      </c>
      <c r="BE825">
        <v>0</v>
      </c>
      <c r="BF825">
        <v>0</v>
      </c>
      <c r="BG825">
        <v>0</v>
      </c>
      <c r="BH825">
        <v>1</v>
      </c>
      <c r="BI825">
        <v>2</v>
      </c>
      <c r="BJ825">
        <v>2</v>
      </c>
      <c r="BK825">
        <v>2</v>
      </c>
      <c r="BL825">
        <v>153.19999999999999</v>
      </c>
      <c r="BM825">
        <v>22.98</v>
      </c>
      <c r="BN825">
        <v>176.18</v>
      </c>
      <c r="BO825">
        <v>176.18</v>
      </c>
      <c r="BQ825" t="s">
        <v>1039</v>
      </c>
      <c r="BR825" t="s">
        <v>82</v>
      </c>
      <c r="BS825" t="s">
        <v>500</v>
      </c>
      <c r="BY825">
        <v>9918</v>
      </c>
      <c r="CC825" t="s">
        <v>303</v>
      </c>
      <c r="CD825" s="5" t="s">
        <v>916</v>
      </c>
      <c r="CE825" t="s">
        <v>86</v>
      </c>
      <c r="CI825">
        <v>1</v>
      </c>
      <c r="CJ825" t="s">
        <v>500</v>
      </c>
      <c r="CK825">
        <v>41</v>
      </c>
      <c r="CL825" t="s">
        <v>87</v>
      </c>
    </row>
    <row r="826" spans="1:90" x14ac:dyDescent="0.3">
      <c r="A826" t="s">
        <v>72</v>
      </c>
      <c r="B826" t="s">
        <v>73</v>
      </c>
      <c r="C826" t="s">
        <v>74</v>
      </c>
      <c r="E826" t="str">
        <f>"080069704220"</f>
        <v>080069704220</v>
      </c>
      <c r="F826" s="3">
        <v>45996</v>
      </c>
      <c r="G826">
        <v>202609</v>
      </c>
      <c r="H826" t="s">
        <v>75</v>
      </c>
      <c r="I826" t="s">
        <v>76</v>
      </c>
      <c r="J826" t="s">
        <v>77</v>
      </c>
      <c r="K826" t="s">
        <v>78</v>
      </c>
      <c r="L826" t="s">
        <v>202</v>
      </c>
      <c r="M826" t="s">
        <v>203</v>
      </c>
      <c r="N826" t="s">
        <v>204</v>
      </c>
      <c r="O826" t="s">
        <v>89</v>
      </c>
      <c r="P826" t="str">
        <f>"4170072111                    "</f>
        <v xml:space="preserve">4170072111                    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>
        <v>0</v>
      </c>
      <c r="AG826">
        <v>0</v>
      </c>
      <c r="AH826">
        <v>0</v>
      </c>
      <c r="AI826">
        <v>0</v>
      </c>
      <c r="AJ826">
        <v>0</v>
      </c>
      <c r="AK826">
        <v>0</v>
      </c>
      <c r="AL826">
        <v>0</v>
      </c>
      <c r="AM826">
        <v>0</v>
      </c>
      <c r="AN826">
        <v>0</v>
      </c>
      <c r="AO826">
        <v>0</v>
      </c>
      <c r="AP826">
        <v>0</v>
      </c>
      <c r="AQ826">
        <v>49.45</v>
      </c>
      <c r="AR826">
        <v>0</v>
      </c>
      <c r="AS826">
        <v>0</v>
      </c>
      <c r="AT826">
        <v>0</v>
      </c>
      <c r="AU826">
        <v>0</v>
      </c>
      <c r="AV826">
        <v>0</v>
      </c>
      <c r="AW826">
        <v>0</v>
      </c>
      <c r="AX826">
        <v>0</v>
      </c>
      <c r="AY826">
        <v>0</v>
      </c>
      <c r="AZ826">
        <v>0</v>
      </c>
      <c r="BA826">
        <v>0</v>
      </c>
      <c r="BB826">
        <v>0</v>
      </c>
      <c r="BC826">
        <v>0</v>
      </c>
      <c r="BD826">
        <v>0</v>
      </c>
      <c r="BE826">
        <v>0</v>
      </c>
      <c r="BF826">
        <v>0</v>
      </c>
      <c r="BG826">
        <v>0</v>
      </c>
      <c r="BH826">
        <v>1</v>
      </c>
      <c r="BI826">
        <v>1</v>
      </c>
      <c r="BJ826">
        <v>0.2</v>
      </c>
      <c r="BK826">
        <v>1</v>
      </c>
      <c r="BL826">
        <v>147.38</v>
      </c>
      <c r="BM826">
        <v>22.11</v>
      </c>
      <c r="BN826">
        <v>169.49</v>
      </c>
      <c r="BO826">
        <v>169.49</v>
      </c>
      <c r="BQ826" t="s">
        <v>205</v>
      </c>
      <c r="BR826" t="s">
        <v>82</v>
      </c>
      <c r="BS826" t="s">
        <v>500</v>
      </c>
      <c r="BY826">
        <v>1200</v>
      </c>
      <c r="CC826" t="s">
        <v>203</v>
      </c>
      <c r="CD826">
        <v>2531</v>
      </c>
      <c r="CE826" t="s">
        <v>134</v>
      </c>
      <c r="CI826">
        <v>1</v>
      </c>
      <c r="CJ826" t="s">
        <v>500</v>
      </c>
      <c r="CK826">
        <v>23</v>
      </c>
      <c r="CL826" t="s">
        <v>87</v>
      </c>
    </row>
    <row r="827" spans="1:90" x14ac:dyDescent="0.3">
      <c r="A827" t="s">
        <v>72</v>
      </c>
      <c r="B827" t="s">
        <v>73</v>
      </c>
      <c r="C827" t="s">
        <v>74</v>
      </c>
      <c r="E827" t="str">
        <f>"080069704267"</f>
        <v>080069704267</v>
      </c>
      <c r="F827" s="3">
        <v>45996</v>
      </c>
      <c r="G827">
        <v>202609</v>
      </c>
      <c r="H827" t="s">
        <v>75</v>
      </c>
      <c r="I827" t="s">
        <v>76</v>
      </c>
      <c r="J827" t="s">
        <v>77</v>
      </c>
      <c r="K827" t="s">
        <v>78</v>
      </c>
      <c r="L827" t="s">
        <v>351</v>
      </c>
      <c r="M827" t="s">
        <v>352</v>
      </c>
      <c r="N827" t="s">
        <v>353</v>
      </c>
      <c r="O827" t="s">
        <v>89</v>
      </c>
      <c r="P827" t="str">
        <f>"4170072096                    "</f>
        <v xml:space="preserve">4170072096                    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>
        <v>0</v>
      </c>
      <c r="AG827">
        <v>0</v>
      </c>
      <c r="AH827">
        <v>0</v>
      </c>
      <c r="AI827">
        <v>0</v>
      </c>
      <c r="AJ827">
        <v>0</v>
      </c>
      <c r="AK827">
        <v>0</v>
      </c>
      <c r="AL827">
        <v>0</v>
      </c>
      <c r="AM827">
        <v>0</v>
      </c>
      <c r="AN827">
        <v>0</v>
      </c>
      <c r="AO827">
        <v>0</v>
      </c>
      <c r="AP827">
        <v>0</v>
      </c>
      <c r="AQ827">
        <v>35.9</v>
      </c>
      <c r="AR827">
        <v>0</v>
      </c>
      <c r="AS827">
        <v>0</v>
      </c>
      <c r="AT827">
        <v>0</v>
      </c>
      <c r="AU827">
        <v>0</v>
      </c>
      <c r="AV827">
        <v>0</v>
      </c>
      <c r="AW827">
        <v>0</v>
      </c>
      <c r="AX827">
        <v>0</v>
      </c>
      <c r="AY827">
        <v>0</v>
      </c>
      <c r="AZ827">
        <v>0</v>
      </c>
      <c r="BA827">
        <v>0</v>
      </c>
      <c r="BB827">
        <v>0</v>
      </c>
      <c r="BC827">
        <v>0</v>
      </c>
      <c r="BD827">
        <v>0</v>
      </c>
      <c r="BE827">
        <v>0</v>
      </c>
      <c r="BF827">
        <v>0</v>
      </c>
      <c r="BG827">
        <v>0</v>
      </c>
      <c r="BH827">
        <v>1</v>
      </c>
      <c r="BI827">
        <v>1</v>
      </c>
      <c r="BJ827">
        <v>0.2</v>
      </c>
      <c r="BK827">
        <v>1</v>
      </c>
      <c r="BL827">
        <v>106.98</v>
      </c>
      <c r="BM827">
        <v>16.05</v>
      </c>
      <c r="BN827">
        <v>123.03</v>
      </c>
      <c r="BO827">
        <v>123.03</v>
      </c>
      <c r="BQ827" t="s">
        <v>354</v>
      </c>
      <c r="BR827" t="s">
        <v>82</v>
      </c>
      <c r="BS827" t="s">
        <v>500</v>
      </c>
      <c r="BY827">
        <v>1200</v>
      </c>
      <c r="CC827" t="s">
        <v>352</v>
      </c>
      <c r="CD827">
        <v>1438</v>
      </c>
      <c r="CE827" t="s">
        <v>134</v>
      </c>
      <c r="CI827">
        <v>1</v>
      </c>
      <c r="CJ827" t="s">
        <v>500</v>
      </c>
      <c r="CK827">
        <v>24</v>
      </c>
      <c r="CL827" t="s">
        <v>87</v>
      </c>
    </row>
    <row r="828" spans="1:90" x14ac:dyDescent="0.3">
      <c r="A828" t="s">
        <v>72</v>
      </c>
      <c r="B828" t="s">
        <v>73</v>
      </c>
      <c r="C828" t="s">
        <v>74</v>
      </c>
      <c r="E828" t="str">
        <f>"080069704408"</f>
        <v>080069704408</v>
      </c>
      <c r="F828" s="3">
        <v>45996</v>
      </c>
      <c r="G828">
        <v>202609</v>
      </c>
      <c r="H828" t="s">
        <v>75</v>
      </c>
      <c r="I828" t="s">
        <v>76</v>
      </c>
      <c r="J828" t="s">
        <v>77</v>
      </c>
      <c r="K828" t="s">
        <v>78</v>
      </c>
      <c r="L828" t="s">
        <v>100</v>
      </c>
      <c r="M828" t="s">
        <v>101</v>
      </c>
      <c r="N828" t="s">
        <v>102</v>
      </c>
      <c r="O828" t="s">
        <v>89</v>
      </c>
      <c r="P828" t="str">
        <f>"4170072177                    "</f>
        <v xml:space="preserve">4170072177                    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>
        <v>0</v>
      </c>
      <c r="AJ828">
        <v>0</v>
      </c>
      <c r="AK828">
        <v>0</v>
      </c>
      <c r="AL828">
        <v>0</v>
      </c>
      <c r="AM828">
        <v>0</v>
      </c>
      <c r="AN828">
        <v>0</v>
      </c>
      <c r="AO828">
        <v>0</v>
      </c>
      <c r="AP828">
        <v>0</v>
      </c>
      <c r="AQ828">
        <v>25.52</v>
      </c>
      <c r="AR828">
        <v>0</v>
      </c>
      <c r="AS828">
        <v>0</v>
      </c>
      <c r="AT828">
        <v>0</v>
      </c>
      <c r="AU828">
        <v>0</v>
      </c>
      <c r="AV828">
        <v>0</v>
      </c>
      <c r="AW828">
        <v>0</v>
      </c>
      <c r="AX828">
        <v>0</v>
      </c>
      <c r="AY828">
        <v>0</v>
      </c>
      <c r="AZ828">
        <v>0</v>
      </c>
      <c r="BA828">
        <v>0</v>
      </c>
      <c r="BB828">
        <v>0</v>
      </c>
      <c r="BC828">
        <v>0</v>
      </c>
      <c r="BD828">
        <v>0</v>
      </c>
      <c r="BE828">
        <v>0</v>
      </c>
      <c r="BF828">
        <v>0</v>
      </c>
      <c r="BG828">
        <v>0</v>
      </c>
      <c r="BH828">
        <v>1</v>
      </c>
      <c r="BI828">
        <v>1</v>
      </c>
      <c r="BJ828">
        <v>0.2</v>
      </c>
      <c r="BK828">
        <v>1</v>
      </c>
      <c r="BL828">
        <v>76.06</v>
      </c>
      <c r="BM828">
        <v>11.41</v>
      </c>
      <c r="BN828">
        <v>87.47</v>
      </c>
      <c r="BO828">
        <v>87.47</v>
      </c>
      <c r="BQ828" t="s">
        <v>103</v>
      </c>
      <c r="BR828" t="s">
        <v>82</v>
      </c>
      <c r="BS828" s="3">
        <v>45999</v>
      </c>
      <c r="BT828" s="4">
        <v>0.33541666666666664</v>
      </c>
      <c r="BU828" t="s">
        <v>1479</v>
      </c>
      <c r="BV828" t="s">
        <v>84</v>
      </c>
      <c r="BY828">
        <v>1200</v>
      </c>
      <c r="CA828" t="s">
        <v>107</v>
      </c>
      <c r="CC828" t="s">
        <v>101</v>
      </c>
      <c r="CD828">
        <v>4000</v>
      </c>
      <c r="CE828" t="s">
        <v>134</v>
      </c>
      <c r="CI828">
        <v>1</v>
      </c>
      <c r="CJ828">
        <v>1</v>
      </c>
      <c r="CK828">
        <v>21</v>
      </c>
      <c r="CL828" t="s">
        <v>87</v>
      </c>
    </row>
    <row r="829" spans="1:90" x14ac:dyDescent="0.3">
      <c r="A829" t="s">
        <v>72</v>
      </c>
      <c r="B829" t="s">
        <v>73</v>
      </c>
      <c r="C829" t="s">
        <v>74</v>
      </c>
      <c r="E829" t="str">
        <f>"080011700302"</f>
        <v>080011700302</v>
      </c>
      <c r="F829" s="3">
        <v>45996</v>
      </c>
      <c r="G829">
        <v>202609</v>
      </c>
      <c r="H829" t="s">
        <v>302</v>
      </c>
      <c r="I829" t="s">
        <v>303</v>
      </c>
      <c r="J829" t="s">
        <v>1514</v>
      </c>
      <c r="K829" t="s">
        <v>78</v>
      </c>
      <c r="L829" t="s">
        <v>75</v>
      </c>
      <c r="M829" t="s">
        <v>76</v>
      </c>
      <c r="N829" t="s">
        <v>598</v>
      </c>
      <c r="O829" t="s">
        <v>80</v>
      </c>
      <c r="P829" t="str">
        <f>"Gift                          "</f>
        <v xml:space="preserve">Gift                          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>
        <v>0</v>
      </c>
      <c r="AG829">
        <v>0</v>
      </c>
      <c r="AH829">
        <v>0</v>
      </c>
      <c r="AI829">
        <v>0</v>
      </c>
      <c r="AJ829">
        <v>0</v>
      </c>
      <c r="AK829">
        <v>0</v>
      </c>
      <c r="AL829">
        <v>0</v>
      </c>
      <c r="AM829">
        <v>0</v>
      </c>
      <c r="AN829">
        <v>0</v>
      </c>
      <c r="AO829">
        <v>0</v>
      </c>
      <c r="AP829">
        <v>0</v>
      </c>
      <c r="AQ829">
        <v>49.36</v>
      </c>
      <c r="AR829">
        <v>0</v>
      </c>
      <c r="AS829">
        <v>0</v>
      </c>
      <c r="AT829">
        <v>0</v>
      </c>
      <c r="AU829">
        <v>0</v>
      </c>
      <c r="AV829">
        <v>0</v>
      </c>
      <c r="AW829">
        <v>0</v>
      </c>
      <c r="AX829">
        <v>0</v>
      </c>
      <c r="AY829">
        <v>0</v>
      </c>
      <c r="AZ829">
        <v>0</v>
      </c>
      <c r="BA829">
        <v>0</v>
      </c>
      <c r="BB829">
        <v>0</v>
      </c>
      <c r="BC829">
        <v>0</v>
      </c>
      <c r="BD829">
        <v>0</v>
      </c>
      <c r="BE829">
        <v>0</v>
      </c>
      <c r="BF829">
        <v>0</v>
      </c>
      <c r="BG829">
        <v>0</v>
      </c>
      <c r="BH829">
        <v>1</v>
      </c>
      <c r="BI829">
        <v>2.7</v>
      </c>
      <c r="BJ829">
        <v>0.2</v>
      </c>
      <c r="BK829">
        <v>3</v>
      </c>
      <c r="BL829">
        <v>153.19999999999999</v>
      </c>
      <c r="BM829">
        <v>22.98</v>
      </c>
      <c r="BN829">
        <v>176.18</v>
      </c>
      <c r="BO829">
        <v>176.18</v>
      </c>
      <c r="BQ829" t="s">
        <v>599</v>
      </c>
      <c r="BR829" t="s">
        <v>1515</v>
      </c>
      <c r="BS829" t="s">
        <v>500</v>
      </c>
      <c r="BY829">
        <v>1200</v>
      </c>
      <c r="BZ829" t="s">
        <v>724</v>
      </c>
      <c r="CC829" t="s">
        <v>76</v>
      </c>
      <c r="CD829">
        <v>1619</v>
      </c>
      <c r="CE829" t="s">
        <v>603</v>
      </c>
      <c r="CI829">
        <v>1</v>
      </c>
      <c r="CJ829" t="s">
        <v>500</v>
      </c>
      <c r="CK829">
        <v>41</v>
      </c>
      <c r="CL829" t="s">
        <v>87</v>
      </c>
    </row>
    <row r="830" spans="1:90" x14ac:dyDescent="0.3">
      <c r="A830" t="s">
        <v>72</v>
      </c>
      <c r="B830" t="s">
        <v>73</v>
      </c>
      <c r="C830" t="s">
        <v>74</v>
      </c>
      <c r="E830" t="str">
        <f>"080069704311"</f>
        <v>080069704311</v>
      </c>
      <c r="F830" s="3">
        <v>45996</v>
      </c>
      <c r="G830">
        <v>202609</v>
      </c>
      <c r="H830" t="s">
        <v>75</v>
      </c>
      <c r="I830" t="s">
        <v>76</v>
      </c>
      <c r="J830" t="s">
        <v>77</v>
      </c>
      <c r="K830" t="s">
        <v>78</v>
      </c>
      <c r="L830" t="s">
        <v>265</v>
      </c>
      <c r="M830" t="s">
        <v>266</v>
      </c>
      <c r="N830" t="s">
        <v>1516</v>
      </c>
      <c r="O830" t="s">
        <v>89</v>
      </c>
      <c r="P830" t="str">
        <f>"4170072126                    "</f>
        <v xml:space="preserve">4170072126                    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0</v>
      </c>
      <c r="AG830">
        <v>0</v>
      </c>
      <c r="AH830">
        <v>0</v>
      </c>
      <c r="AI830">
        <v>0</v>
      </c>
      <c r="AJ830">
        <v>0</v>
      </c>
      <c r="AK830">
        <v>0</v>
      </c>
      <c r="AL830">
        <v>0</v>
      </c>
      <c r="AM830">
        <v>0</v>
      </c>
      <c r="AN830">
        <v>0</v>
      </c>
      <c r="AO830">
        <v>0</v>
      </c>
      <c r="AP830">
        <v>0</v>
      </c>
      <c r="AQ830">
        <v>19.940000000000001</v>
      </c>
      <c r="AR830">
        <v>0</v>
      </c>
      <c r="AS830">
        <v>0</v>
      </c>
      <c r="AT830">
        <v>0</v>
      </c>
      <c r="AU830">
        <v>0</v>
      </c>
      <c r="AV830">
        <v>0</v>
      </c>
      <c r="AW830">
        <v>0</v>
      </c>
      <c r="AX830">
        <v>0</v>
      </c>
      <c r="AY830">
        <v>0</v>
      </c>
      <c r="AZ830">
        <v>0</v>
      </c>
      <c r="BA830">
        <v>0</v>
      </c>
      <c r="BB830">
        <v>0</v>
      </c>
      <c r="BC830">
        <v>0</v>
      </c>
      <c r="BD830">
        <v>0</v>
      </c>
      <c r="BE830">
        <v>0</v>
      </c>
      <c r="BF830">
        <v>0</v>
      </c>
      <c r="BG830">
        <v>0</v>
      </c>
      <c r="BH830">
        <v>1</v>
      </c>
      <c r="BI830">
        <v>1</v>
      </c>
      <c r="BJ830">
        <v>0.2</v>
      </c>
      <c r="BK830">
        <v>1</v>
      </c>
      <c r="BL830">
        <v>59.42</v>
      </c>
      <c r="BM830">
        <v>8.91</v>
      </c>
      <c r="BN830">
        <v>68.33</v>
      </c>
      <c r="BO830">
        <v>68.33</v>
      </c>
      <c r="BQ830" t="s">
        <v>1517</v>
      </c>
      <c r="BR830" t="s">
        <v>82</v>
      </c>
      <c r="BS830" t="s">
        <v>500</v>
      </c>
      <c r="BY830">
        <v>1200</v>
      </c>
      <c r="CC830" t="s">
        <v>266</v>
      </c>
      <c r="CD830">
        <v>1459</v>
      </c>
      <c r="CE830" t="s">
        <v>603</v>
      </c>
      <c r="CI830">
        <v>1</v>
      </c>
      <c r="CJ830" t="s">
        <v>500</v>
      </c>
      <c r="CK830">
        <v>22</v>
      </c>
      <c r="CL830" t="s">
        <v>87</v>
      </c>
    </row>
    <row r="831" spans="1:90" x14ac:dyDescent="0.3">
      <c r="A831" t="s">
        <v>72</v>
      </c>
      <c r="B831" t="s">
        <v>73</v>
      </c>
      <c r="C831" t="s">
        <v>74</v>
      </c>
      <c r="E831" t="str">
        <f>"080069704359"</f>
        <v>080069704359</v>
      </c>
      <c r="F831" s="3">
        <v>45996</v>
      </c>
      <c r="G831">
        <v>202609</v>
      </c>
      <c r="H831" t="s">
        <v>75</v>
      </c>
      <c r="I831" t="s">
        <v>76</v>
      </c>
      <c r="J831" t="s">
        <v>77</v>
      </c>
      <c r="K831" t="s">
        <v>78</v>
      </c>
      <c r="L831" t="s">
        <v>141</v>
      </c>
      <c r="M831" t="s">
        <v>142</v>
      </c>
      <c r="N831" t="s">
        <v>214</v>
      </c>
      <c r="O831" t="s">
        <v>89</v>
      </c>
      <c r="P831" t="str">
        <f>"4170072174                    "</f>
        <v xml:space="preserve">4170072174                    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0</v>
      </c>
      <c r="AG831">
        <v>0</v>
      </c>
      <c r="AH831">
        <v>0</v>
      </c>
      <c r="AI831">
        <v>0</v>
      </c>
      <c r="AJ831">
        <v>0</v>
      </c>
      <c r="AK831">
        <v>0</v>
      </c>
      <c r="AL831">
        <v>0</v>
      </c>
      <c r="AM831">
        <v>0</v>
      </c>
      <c r="AN831">
        <v>0</v>
      </c>
      <c r="AO831">
        <v>0</v>
      </c>
      <c r="AP831">
        <v>0</v>
      </c>
      <c r="AQ831">
        <v>25.52</v>
      </c>
      <c r="AR831">
        <v>0</v>
      </c>
      <c r="AS831">
        <v>0</v>
      </c>
      <c r="AT831">
        <v>0</v>
      </c>
      <c r="AU831">
        <v>0</v>
      </c>
      <c r="AV831">
        <v>0</v>
      </c>
      <c r="AW831">
        <v>0</v>
      </c>
      <c r="AX831">
        <v>0</v>
      </c>
      <c r="AY831">
        <v>0</v>
      </c>
      <c r="AZ831">
        <v>0</v>
      </c>
      <c r="BA831">
        <v>0</v>
      </c>
      <c r="BB831">
        <v>0</v>
      </c>
      <c r="BC831">
        <v>0</v>
      </c>
      <c r="BD831">
        <v>0</v>
      </c>
      <c r="BE831">
        <v>0</v>
      </c>
      <c r="BF831">
        <v>0</v>
      </c>
      <c r="BG831">
        <v>0</v>
      </c>
      <c r="BH831">
        <v>1</v>
      </c>
      <c r="BI831">
        <v>1</v>
      </c>
      <c r="BJ831">
        <v>0.2</v>
      </c>
      <c r="BK831">
        <v>1</v>
      </c>
      <c r="BL831">
        <v>76.06</v>
      </c>
      <c r="BM831">
        <v>11.41</v>
      </c>
      <c r="BN831">
        <v>87.47</v>
      </c>
      <c r="BO831">
        <v>87.47</v>
      </c>
      <c r="BQ831" t="s">
        <v>215</v>
      </c>
      <c r="BR831" t="s">
        <v>82</v>
      </c>
      <c r="BS831" t="s">
        <v>500</v>
      </c>
      <c r="BY831">
        <v>1200</v>
      </c>
      <c r="CC831" t="s">
        <v>142</v>
      </c>
      <c r="CD831">
        <v>6001</v>
      </c>
      <c r="CE831" t="s">
        <v>603</v>
      </c>
      <c r="CI831">
        <v>1</v>
      </c>
      <c r="CJ831" t="s">
        <v>500</v>
      </c>
      <c r="CK831">
        <v>21</v>
      </c>
      <c r="CL831" t="s">
        <v>87</v>
      </c>
    </row>
    <row r="832" spans="1:90" x14ac:dyDescent="0.3">
      <c r="A832" t="s">
        <v>72</v>
      </c>
      <c r="B832" t="s">
        <v>73</v>
      </c>
      <c r="C832" t="s">
        <v>74</v>
      </c>
      <c r="E832" t="str">
        <f>"080069704734"</f>
        <v>080069704734</v>
      </c>
      <c r="F832" s="3">
        <v>45996</v>
      </c>
      <c r="G832">
        <v>202609</v>
      </c>
      <c r="H832" t="s">
        <v>75</v>
      </c>
      <c r="I832" t="s">
        <v>76</v>
      </c>
      <c r="J832" t="s">
        <v>77</v>
      </c>
      <c r="K832" t="s">
        <v>78</v>
      </c>
      <c r="L832" t="s">
        <v>176</v>
      </c>
      <c r="M832" t="s">
        <v>177</v>
      </c>
      <c r="N832" t="s">
        <v>1518</v>
      </c>
      <c r="O832" t="s">
        <v>80</v>
      </c>
      <c r="P832" t="str">
        <f>"4170072140                    "</f>
        <v xml:space="preserve">4170072140                    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  <c r="AG832">
        <v>0</v>
      </c>
      <c r="AH832">
        <v>0</v>
      </c>
      <c r="AI832">
        <v>0</v>
      </c>
      <c r="AJ832">
        <v>0</v>
      </c>
      <c r="AK832">
        <v>0</v>
      </c>
      <c r="AL832">
        <v>0</v>
      </c>
      <c r="AM832">
        <v>0</v>
      </c>
      <c r="AN832">
        <v>0</v>
      </c>
      <c r="AO832">
        <v>0</v>
      </c>
      <c r="AP832">
        <v>0</v>
      </c>
      <c r="AQ832">
        <v>38.090000000000003</v>
      </c>
      <c r="AR832">
        <v>0</v>
      </c>
      <c r="AS832">
        <v>0</v>
      </c>
      <c r="AT832">
        <v>0</v>
      </c>
      <c r="AU832">
        <v>0</v>
      </c>
      <c r="AV832">
        <v>0</v>
      </c>
      <c r="AW832">
        <v>0</v>
      </c>
      <c r="AX832">
        <v>0</v>
      </c>
      <c r="AY832">
        <v>0</v>
      </c>
      <c r="AZ832">
        <v>0</v>
      </c>
      <c r="BA832">
        <v>0</v>
      </c>
      <c r="BB832">
        <v>0</v>
      </c>
      <c r="BC832">
        <v>0</v>
      </c>
      <c r="BD832">
        <v>0</v>
      </c>
      <c r="BE832">
        <v>0</v>
      </c>
      <c r="BF832">
        <v>0</v>
      </c>
      <c r="BG832">
        <v>0</v>
      </c>
      <c r="BH832">
        <v>1</v>
      </c>
      <c r="BI832">
        <v>12</v>
      </c>
      <c r="BJ832">
        <v>5.4</v>
      </c>
      <c r="BK832">
        <v>12</v>
      </c>
      <c r="BL832">
        <v>119.61</v>
      </c>
      <c r="BM832">
        <v>17.940000000000001</v>
      </c>
      <c r="BN832">
        <v>137.55000000000001</v>
      </c>
      <c r="BO832">
        <v>137.55000000000001</v>
      </c>
      <c r="BQ832" t="s">
        <v>1519</v>
      </c>
      <c r="BR832" t="s">
        <v>82</v>
      </c>
      <c r="BS832" t="s">
        <v>500</v>
      </c>
      <c r="BY832">
        <v>27144</v>
      </c>
      <c r="CC832" t="s">
        <v>177</v>
      </c>
      <c r="CD832">
        <v>2001</v>
      </c>
      <c r="CE832" t="s">
        <v>647</v>
      </c>
      <c r="CI832">
        <v>1</v>
      </c>
      <c r="CJ832" t="s">
        <v>500</v>
      </c>
      <c r="CK832">
        <v>42</v>
      </c>
      <c r="CL832" t="s">
        <v>87</v>
      </c>
    </row>
    <row r="833" spans="1:90" x14ac:dyDescent="0.3">
      <c r="A833" t="s">
        <v>72</v>
      </c>
      <c r="B833" t="s">
        <v>73</v>
      </c>
      <c r="C833" t="s">
        <v>74</v>
      </c>
      <c r="E833" t="str">
        <f>"080069704775"</f>
        <v>080069704775</v>
      </c>
      <c r="F833" s="3">
        <v>45996</v>
      </c>
      <c r="G833">
        <v>202609</v>
      </c>
      <c r="H833" t="s">
        <v>75</v>
      </c>
      <c r="I833" t="s">
        <v>76</v>
      </c>
      <c r="J833" t="s">
        <v>77</v>
      </c>
      <c r="K833" t="s">
        <v>78</v>
      </c>
      <c r="L833" t="s">
        <v>608</v>
      </c>
      <c r="M833" t="s">
        <v>609</v>
      </c>
      <c r="N833" t="s">
        <v>610</v>
      </c>
      <c r="O833" t="s">
        <v>89</v>
      </c>
      <c r="P833" t="str">
        <f>"4170072094                    "</f>
        <v xml:space="preserve">4170072094                    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0</v>
      </c>
      <c r="AG833">
        <v>0</v>
      </c>
      <c r="AH833">
        <v>0</v>
      </c>
      <c r="AI833">
        <v>0</v>
      </c>
      <c r="AJ833">
        <v>0</v>
      </c>
      <c r="AK833">
        <v>0</v>
      </c>
      <c r="AL833">
        <v>0</v>
      </c>
      <c r="AM833">
        <v>0</v>
      </c>
      <c r="AN833">
        <v>0</v>
      </c>
      <c r="AO833">
        <v>0</v>
      </c>
      <c r="AP833">
        <v>0</v>
      </c>
      <c r="AQ833">
        <v>116.45</v>
      </c>
      <c r="AR833">
        <v>0</v>
      </c>
      <c r="AS833">
        <v>0</v>
      </c>
      <c r="AT833">
        <v>0</v>
      </c>
      <c r="AU833">
        <v>0</v>
      </c>
      <c r="AV833">
        <v>0</v>
      </c>
      <c r="AW833">
        <v>0</v>
      </c>
      <c r="AX833">
        <v>0</v>
      </c>
      <c r="AY833">
        <v>0</v>
      </c>
      <c r="AZ833">
        <v>0</v>
      </c>
      <c r="BA833">
        <v>0</v>
      </c>
      <c r="BB833">
        <v>0</v>
      </c>
      <c r="BC833">
        <v>0</v>
      </c>
      <c r="BD833">
        <v>0</v>
      </c>
      <c r="BE833">
        <v>0</v>
      </c>
      <c r="BF833">
        <v>0</v>
      </c>
      <c r="BG833">
        <v>0</v>
      </c>
      <c r="BH833">
        <v>1</v>
      </c>
      <c r="BI833">
        <v>5</v>
      </c>
      <c r="BJ833">
        <v>1.8</v>
      </c>
      <c r="BK833">
        <v>5</v>
      </c>
      <c r="BL833">
        <v>347.04</v>
      </c>
      <c r="BM833">
        <v>52.06</v>
      </c>
      <c r="BN833">
        <v>399.1</v>
      </c>
      <c r="BO833">
        <v>399.1</v>
      </c>
      <c r="BQ833" t="s">
        <v>611</v>
      </c>
      <c r="BR833" t="s">
        <v>82</v>
      </c>
      <c r="BS833" t="s">
        <v>500</v>
      </c>
      <c r="BY833">
        <v>8816</v>
      </c>
      <c r="CC833" t="s">
        <v>609</v>
      </c>
      <c r="CD833">
        <v>6850</v>
      </c>
      <c r="CE833" t="s">
        <v>86</v>
      </c>
      <c r="CI833">
        <v>2</v>
      </c>
      <c r="CJ833" t="s">
        <v>500</v>
      </c>
      <c r="CK833">
        <v>23</v>
      </c>
      <c r="CL833" t="s">
        <v>87</v>
      </c>
    </row>
    <row r="834" spans="1:90" x14ac:dyDescent="0.3">
      <c r="A834" t="s">
        <v>72</v>
      </c>
      <c r="B834" t="s">
        <v>73</v>
      </c>
      <c r="C834" t="s">
        <v>74</v>
      </c>
      <c r="E834" t="str">
        <f>"080069704825"</f>
        <v>080069704825</v>
      </c>
      <c r="F834" s="3">
        <v>45996</v>
      </c>
      <c r="G834">
        <v>202609</v>
      </c>
      <c r="H834" t="s">
        <v>75</v>
      </c>
      <c r="I834" t="s">
        <v>76</v>
      </c>
      <c r="J834" t="s">
        <v>77</v>
      </c>
      <c r="K834" t="s">
        <v>78</v>
      </c>
      <c r="L834" t="s">
        <v>748</v>
      </c>
      <c r="M834" t="s">
        <v>749</v>
      </c>
      <c r="N834" t="s">
        <v>750</v>
      </c>
      <c r="O834" t="s">
        <v>89</v>
      </c>
      <c r="P834" t="str">
        <f>"4170072267                    "</f>
        <v xml:space="preserve">4170072267                    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0</v>
      </c>
      <c r="AG834">
        <v>0</v>
      </c>
      <c r="AH834">
        <v>0</v>
      </c>
      <c r="AI834">
        <v>0</v>
      </c>
      <c r="AJ834">
        <v>0</v>
      </c>
      <c r="AK834">
        <v>0</v>
      </c>
      <c r="AL834">
        <v>0</v>
      </c>
      <c r="AM834">
        <v>0</v>
      </c>
      <c r="AN834">
        <v>0</v>
      </c>
      <c r="AO834">
        <v>0</v>
      </c>
      <c r="AP834">
        <v>0</v>
      </c>
      <c r="AQ834">
        <v>49.45</v>
      </c>
      <c r="AR834">
        <v>0</v>
      </c>
      <c r="AS834">
        <v>0</v>
      </c>
      <c r="AT834">
        <v>0</v>
      </c>
      <c r="AU834">
        <v>0</v>
      </c>
      <c r="AV834">
        <v>0</v>
      </c>
      <c r="AW834">
        <v>0</v>
      </c>
      <c r="AX834">
        <v>0</v>
      </c>
      <c r="AY834">
        <v>0</v>
      </c>
      <c r="AZ834">
        <v>0</v>
      </c>
      <c r="BA834">
        <v>0</v>
      </c>
      <c r="BB834">
        <v>0</v>
      </c>
      <c r="BC834">
        <v>0</v>
      </c>
      <c r="BD834">
        <v>0</v>
      </c>
      <c r="BE834">
        <v>0</v>
      </c>
      <c r="BF834">
        <v>0</v>
      </c>
      <c r="BG834">
        <v>0</v>
      </c>
      <c r="BH834">
        <v>1</v>
      </c>
      <c r="BI834">
        <v>1</v>
      </c>
      <c r="BJ834">
        <v>1.1000000000000001</v>
      </c>
      <c r="BK834">
        <v>1.5</v>
      </c>
      <c r="BL834">
        <v>147.38</v>
      </c>
      <c r="BM834">
        <v>22.11</v>
      </c>
      <c r="BN834">
        <v>169.49</v>
      </c>
      <c r="BO834">
        <v>169.49</v>
      </c>
      <c r="BQ834" t="s">
        <v>751</v>
      </c>
      <c r="BR834" t="s">
        <v>82</v>
      </c>
      <c r="BS834" t="s">
        <v>500</v>
      </c>
      <c r="BY834">
        <v>5510</v>
      </c>
      <c r="BZ834" t="s">
        <v>35</v>
      </c>
      <c r="CC834" t="s">
        <v>749</v>
      </c>
      <c r="CD834">
        <v>3760</v>
      </c>
      <c r="CE834" t="s">
        <v>86</v>
      </c>
      <c r="CI834">
        <v>5</v>
      </c>
      <c r="CJ834" t="s">
        <v>500</v>
      </c>
      <c r="CK834">
        <v>23</v>
      </c>
      <c r="CL834" t="s">
        <v>87</v>
      </c>
    </row>
    <row r="835" spans="1:90" x14ac:dyDescent="0.3">
      <c r="A835" t="s">
        <v>72</v>
      </c>
      <c r="B835" t="s">
        <v>73</v>
      </c>
      <c r="C835" t="s">
        <v>74</v>
      </c>
      <c r="E835" t="str">
        <f>"080069704836"</f>
        <v>080069704836</v>
      </c>
      <c r="F835" s="3">
        <v>45996</v>
      </c>
      <c r="G835">
        <v>202609</v>
      </c>
      <c r="H835" t="s">
        <v>75</v>
      </c>
      <c r="I835" t="s">
        <v>76</v>
      </c>
      <c r="J835" t="s">
        <v>77</v>
      </c>
      <c r="K835" t="s">
        <v>78</v>
      </c>
      <c r="L835" t="s">
        <v>156</v>
      </c>
      <c r="M835" t="s">
        <v>157</v>
      </c>
      <c r="N835" t="s">
        <v>947</v>
      </c>
      <c r="O835" t="s">
        <v>89</v>
      </c>
      <c r="P835" t="str">
        <f>"4170072045                    "</f>
        <v xml:space="preserve">4170072045                    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0</v>
      </c>
      <c r="AG835">
        <v>0</v>
      </c>
      <c r="AH835">
        <v>0</v>
      </c>
      <c r="AI835">
        <v>0</v>
      </c>
      <c r="AJ835">
        <v>0</v>
      </c>
      <c r="AK835">
        <v>0</v>
      </c>
      <c r="AL835">
        <v>0</v>
      </c>
      <c r="AM835">
        <v>0</v>
      </c>
      <c r="AN835">
        <v>0</v>
      </c>
      <c r="AO835">
        <v>0</v>
      </c>
      <c r="AP835">
        <v>0</v>
      </c>
      <c r="AQ835">
        <v>25.52</v>
      </c>
      <c r="AR835">
        <v>0</v>
      </c>
      <c r="AS835">
        <v>0</v>
      </c>
      <c r="AT835">
        <v>0</v>
      </c>
      <c r="AU835">
        <v>0</v>
      </c>
      <c r="AV835">
        <v>0</v>
      </c>
      <c r="AW835">
        <v>0</v>
      </c>
      <c r="AX835">
        <v>0</v>
      </c>
      <c r="AY835">
        <v>0</v>
      </c>
      <c r="AZ835">
        <v>0</v>
      </c>
      <c r="BA835">
        <v>0</v>
      </c>
      <c r="BB835">
        <v>0</v>
      </c>
      <c r="BC835">
        <v>0</v>
      </c>
      <c r="BD835">
        <v>0</v>
      </c>
      <c r="BE835">
        <v>0</v>
      </c>
      <c r="BF835">
        <v>0</v>
      </c>
      <c r="BG835">
        <v>0</v>
      </c>
      <c r="BH835">
        <v>1</v>
      </c>
      <c r="BI835">
        <v>1</v>
      </c>
      <c r="BJ835">
        <v>0.2</v>
      </c>
      <c r="BK835">
        <v>1</v>
      </c>
      <c r="BL835">
        <v>76.06</v>
      </c>
      <c r="BM835">
        <v>11.41</v>
      </c>
      <c r="BN835">
        <v>87.47</v>
      </c>
      <c r="BO835">
        <v>87.47</v>
      </c>
      <c r="BQ835" t="s">
        <v>948</v>
      </c>
      <c r="BR835" t="s">
        <v>82</v>
      </c>
      <c r="BS835" t="s">
        <v>500</v>
      </c>
      <c r="BY835">
        <v>1200</v>
      </c>
      <c r="CC835" t="s">
        <v>157</v>
      </c>
      <c r="CD835">
        <v>7500</v>
      </c>
      <c r="CE835" t="s">
        <v>134</v>
      </c>
      <c r="CI835">
        <v>1</v>
      </c>
      <c r="CJ835" t="s">
        <v>500</v>
      </c>
      <c r="CK835">
        <v>21</v>
      </c>
      <c r="CL835" t="s">
        <v>87</v>
      </c>
    </row>
    <row r="836" spans="1:90" x14ac:dyDescent="0.3">
      <c r="A836" t="s">
        <v>72</v>
      </c>
      <c r="B836" t="s">
        <v>73</v>
      </c>
      <c r="C836" t="s">
        <v>74</v>
      </c>
      <c r="E836" t="str">
        <f>"080069704874"</f>
        <v>080069704874</v>
      </c>
      <c r="F836" s="3">
        <v>45996</v>
      </c>
      <c r="G836">
        <v>202609</v>
      </c>
      <c r="H836" t="s">
        <v>75</v>
      </c>
      <c r="I836" t="s">
        <v>76</v>
      </c>
      <c r="J836" t="s">
        <v>77</v>
      </c>
      <c r="K836" t="s">
        <v>78</v>
      </c>
      <c r="L836" t="s">
        <v>302</v>
      </c>
      <c r="M836" t="s">
        <v>303</v>
      </c>
      <c r="N836" t="s">
        <v>1520</v>
      </c>
      <c r="O836" t="s">
        <v>80</v>
      </c>
      <c r="P836" t="str">
        <f>"4170072224                    "</f>
        <v xml:space="preserve">4170072224                    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0</v>
      </c>
      <c r="AG836">
        <v>0</v>
      </c>
      <c r="AH836">
        <v>0</v>
      </c>
      <c r="AI836">
        <v>0</v>
      </c>
      <c r="AJ836">
        <v>0</v>
      </c>
      <c r="AK836">
        <v>0</v>
      </c>
      <c r="AL836">
        <v>0</v>
      </c>
      <c r="AM836">
        <v>0</v>
      </c>
      <c r="AN836">
        <v>0</v>
      </c>
      <c r="AO836">
        <v>0</v>
      </c>
      <c r="AP836">
        <v>0</v>
      </c>
      <c r="AQ836">
        <v>49.36</v>
      </c>
      <c r="AR836">
        <v>0</v>
      </c>
      <c r="AS836">
        <v>0</v>
      </c>
      <c r="AT836">
        <v>0</v>
      </c>
      <c r="AU836">
        <v>0</v>
      </c>
      <c r="AV836">
        <v>0</v>
      </c>
      <c r="AW836">
        <v>0</v>
      </c>
      <c r="AX836">
        <v>0</v>
      </c>
      <c r="AY836">
        <v>0</v>
      </c>
      <c r="AZ836">
        <v>0</v>
      </c>
      <c r="BA836">
        <v>0</v>
      </c>
      <c r="BB836">
        <v>0</v>
      </c>
      <c r="BC836">
        <v>0</v>
      </c>
      <c r="BD836">
        <v>0</v>
      </c>
      <c r="BE836">
        <v>0</v>
      </c>
      <c r="BF836">
        <v>0</v>
      </c>
      <c r="BG836">
        <v>0</v>
      </c>
      <c r="BH836">
        <v>1</v>
      </c>
      <c r="BI836">
        <v>4</v>
      </c>
      <c r="BJ836">
        <v>4.0999999999999996</v>
      </c>
      <c r="BK836">
        <v>5</v>
      </c>
      <c r="BL836">
        <v>153.19999999999999</v>
      </c>
      <c r="BM836">
        <v>22.98</v>
      </c>
      <c r="BN836">
        <v>176.18</v>
      </c>
      <c r="BO836">
        <v>176.18</v>
      </c>
      <c r="BQ836" t="s">
        <v>1521</v>
      </c>
      <c r="BR836" t="s">
        <v>82</v>
      </c>
      <c r="BS836" t="s">
        <v>500</v>
      </c>
      <c r="BY836">
        <v>20332</v>
      </c>
      <c r="CC836" t="s">
        <v>303</v>
      </c>
      <c r="CD836" s="5" t="s">
        <v>433</v>
      </c>
      <c r="CE836" t="s">
        <v>86</v>
      </c>
      <c r="CI836">
        <v>1</v>
      </c>
      <c r="CJ836" t="s">
        <v>500</v>
      </c>
      <c r="CK836">
        <v>41</v>
      </c>
      <c r="CL836" t="s">
        <v>87</v>
      </c>
    </row>
    <row r="837" spans="1:90" x14ac:dyDescent="0.3">
      <c r="A837" t="s">
        <v>72</v>
      </c>
      <c r="B837" t="s">
        <v>73</v>
      </c>
      <c r="C837" t="s">
        <v>74</v>
      </c>
      <c r="E837" t="str">
        <f>"080069704861"</f>
        <v>080069704861</v>
      </c>
      <c r="F837" s="3">
        <v>45996</v>
      </c>
      <c r="G837">
        <v>202609</v>
      </c>
      <c r="H837" t="s">
        <v>75</v>
      </c>
      <c r="I837" t="s">
        <v>76</v>
      </c>
      <c r="J837" t="s">
        <v>77</v>
      </c>
      <c r="K837" t="s">
        <v>78</v>
      </c>
      <c r="L837" t="s">
        <v>1522</v>
      </c>
      <c r="M837" t="s">
        <v>1523</v>
      </c>
      <c r="N837" t="s">
        <v>1524</v>
      </c>
      <c r="O837" t="s">
        <v>89</v>
      </c>
      <c r="P837" t="str">
        <f>"4170072227                    "</f>
        <v xml:space="preserve">4170072227                    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  <c r="AG837">
        <v>0</v>
      </c>
      <c r="AH837">
        <v>0</v>
      </c>
      <c r="AI837">
        <v>0</v>
      </c>
      <c r="AJ837">
        <v>0</v>
      </c>
      <c r="AK837">
        <v>0</v>
      </c>
      <c r="AL837">
        <v>0</v>
      </c>
      <c r="AM837">
        <v>0</v>
      </c>
      <c r="AN837">
        <v>0</v>
      </c>
      <c r="AO837">
        <v>0</v>
      </c>
      <c r="AP837">
        <v>0</v>
      </c>
      <c r="AQ837">
        <v>49.45</v>
      </c>
      <c r="AR837">
        <v>0</v>
      </c>
      <c r="AS837">
        <v>0</v>
      </c>
      <c r="AT837">
        <v>0</v>
      </c>
      <c r="AU837">
        <v>0</v>
      </c>
      <c r="AV837">
        <v>0</v>
      </c>
      <c r="AW837">
        <v>0</v>
      </c>
      <c r="AX837">
        <v>0</v>
      </c>
      <c r="AY837">
        <v>0</v>
      </c>
      <c r="AZ837">
        <v>0</v>
      </c>
      <c r="BA837">
        <v>0</v>
      </c>
      <c r="BB837">
        <v>0</v>
      </c>
      <c r="BC837">
        <v>0</v>
      </c>
      <c r="BD837">
        <v>0</v>
      </c>
      <c r="BE837">
        <v>0</v>
      </c>
      <c r="BF837">
        <v>0</v>
      </c>
      <c r="BG837">
        <v>0</v>
      </c>
      <c r="BH837">
        <v>1</v>
      </c>
      <c r="BI837">
        <v>1</v>
      </c>
      <c r="BJ837">
        <v>0.2</v>
      </c>
      <c r="BK837">
        <v>1</v>
      </c>
      <c r="BL837">
        <v>147.38</v>
      </c>
      <c r="BM837">
        <v>22.11</v>
      </c>
      <c r="BN837">
        <v>169.49</v>
      </c>
      <c r="BO837">
        <v>169.49</v>
      </c>
      <c r="BQ837" t="s">
        <v>1525</v>
      </c>
      <c r="BR837" t="s">
        <v>82</v>
      </c>
      <c r="BS837" t="s">
        <v>500</v>
      </c>
      <c r="BY837">
        <v>1200</v>
      </c>
      <c r="CC837" t="s">
        <v>1523</v>
      </c>
      <c r="CD837">
        <v>4490</v>
      </c>
      <c r="CE837" t="s">
        <v>134</v>
      </c>
      <c r="CI837">
        <v>5</v>
      </c>
      <c r="CJ837" t="s">
        <v>500</v>
      </c>
      <c r="CK837">
        <v>23</v>
      </c>
      <c r="CL837" t="s">
        <v>87</v>
      </c>
    </row>
    <row r="838" spans="1:90" x14ac:dyDescent="0.3">
      <c r="A838" t="s">
        <v>72</v>
      </c>
      <c r="B838" t="s">
        <v>73</v>
      </c>
      <c r="C838" t="s">
        <v>74</v>
      </c>
      <c r="E838" t="str">
        <f>"080069704890"</f>
        <v>080069704890</v>
      </c>
      <c r="F838" s="3">
        <v>45996</v>
      </c>
      <c r="G838">
        <v>202609</v>
      </c>
      <c r="H838" t="s">
        <v>75</v>
      </c>
      <c r="I838" t="s">
        <v>76</v>
      </c>
      <c r="J838" t="s">
        <v>77</v>
      </c>
      <c r="K838" t="s">
        <v>78</v>
      </c>
      <c r="L838" t="s">
        <v>691</v>
      </c>
      <c r="M838" t="s">
        <v>691</v>
      </c>
      <c r="N838" t="s">
        <v>541</v>
      </c>
      <c r="O838" t="s">
        <v>89</v>
      </c>
      <c r="P838" t="str">
        <f>"4170072080                    "</f>
        <v xml:space="preserve">4170072080                    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>
        <v>0</v>
      </c>
      <c r="AE838">
        <v>0</v>
      </c>
      <c r="AF838">
        <v>0</v>
      </c>
      <c r="AG838">
        <v>0</v>
      </c>
      <c r="AH838">
        <v>0</v>
      </c>
      <c r="AI838">
        <v>0</v>
      </c>
      <c r="AJ838">
        <v>0</v>
      </c>
      <c r="AK838">
        <v>0</v>
      </c>
      <c r="AL838">
        <v>0</v>
      </c>
      <c r="AM838">
        <v>0</v>
      </c>
      <c r="AN838">
        <v>0</v>
      </c>
      <c r="AO838">
        <v>0</v>
      </c>
      <c r="AP838">
        <v>0</v>
      </c>
      <c r="AQ838">
        <v>35.9</v>
      </c>
      <c r="AR838">
        <v>0</v>
      </c>
      <c r="AS838">
        <v>0</v>
      </c>
      <c r="AT838">
        <v>0</v>
      </c>
      <c r="AU838">
        <v>0</v>
      </c>
      <c r="AV838">
        <v>0</v>
      </c>
      <c r="AW838">
        <v>0</v>
      </c>
      <c r="AX838">
        <v>0</v>
      </c>
      <c r="AY838">
        <v>0</v>
      </c>
      <c r="AZ838">
        <v>0</v>
      </c>
      <c r="BA838">
        <v>0</v>
      </c>
      <c r="BB838">
        <v>0</v>
      </c>
      <c r="BC838">
        <v>0</v>
      </c>
      <c r="BD838">
        <v>0</v>
      </c>
      <c r="BE838">
        <v>0</v>
      </c>
      <c r="BF838">
        <v>0</v>
      </c>
      <c r="BG838">
        <v>0</v>
      </c>
      <c r="BH838">
        <v>1</v>
      </c>
      <c r="BI838">
        <v>1</v>
      </c>
      <c r="BJ838">
        <v>0.2</v>
      </c>
      <c r="BK838">
        <v>1</v>
      </c>
      <c r="BL838">
        <v>106.98</v>
      </c>
      <c r="BM838">
        <v>16.05</v>
      </c>
      <c r="BN838">
        <v>123.03</v>
      </c>
      <c r="BO838">
        <v>123.03</v>
      </c>
      <c r="BQ838" t="s">
        <v>542</v>
      </c>
      <c r="BR838" t="s">
        <v>82</v>
      </c>
      <c r="BS838" t="s">
        <v>500</v>
      </c>
      <c r="BY838">
        <v>1200</v>
      </c>
      <c r="CC838" t="s">
        <v>691</v>
      </c>
      <c r="CD838">
        <v>1491</v>
      </c>
      <c r="CE838" t="s">
        <v>134</v>
      </c>
      <c r="CI838">
        <v>1</v>
      </c>
      <c r="CJ838" t="s">
        <v>500</v>
      </c>
      <c r="CK838">
        <v>24</v>
      </c>
      <c r="CL838" t="s">
        <v>87</v>
      </c>
    </row>
    <row r="839" spans="1:90" x14ac:dyDescent="0.3">
      <c r="A839" t="s">
        <v>72</v>
      </c>
      <c r="B839" t="s">
        <v>73</v>
      </c>
      <c r="C839" t="s">
        <v>74</v>
      </c>
      <c r="E839" t="str">
        <f>"080069704914"</f>
        <v>080069704914</v>
      </c>
      <c r="F839" s="3">
        <v>45996</v>
      </c>
      <c r="G839">
        <v>202609</v>
      </c>
      <c r="H839" t="s">
        <v>75</v>
      </c>
      <c r="I839" t="s">
        <v>76</v>
      </c>
      <c r="J839" t="s">
        <v>77</v>
      </c>
      <c r="K839" t="s">
        <v>78</v>
      </c>
      <c r="L839" t="s">
        <v>202</v>
      </c>
      <c r="M839" t="s">
        <v>203</v>
      </c>
      <c r="N839" t="s">
        <v>204</v>
      </c>
      <c r="O839" t="s">
        <v>89</v>
      </c>
      <c r="P839" t="str">
        <f>"4170072125                    "</f>
        <v xml:space="preserve">4170072125                    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0</v>
      </c>
      <c r="AG839">
        <v>0</v>
      </c>
      <c r="AH839">
        <v>0</v>
      </c>
      <c r="AI839">
        <v>0</v>
      </c>
      <c r="AJ839">
        <v>0</v>
      </c>
      <c r="AK839">
        <v>0</v>
      </c>
      <c r="AL839">
        <v>0</v>
      </c>
      <c r="AM839">
        <v>0</v>
      </c>
      <c r="AN839">
        <v>0</v>
      </c>
      <c r="AO839">
        <v>0</v>
      </c>
      <c r="AP839">
        <v>0</v>
      </c>
      <c r="AQ839">
        <v>205.77</v>
      </c>
      <c r="AR839">
        <v>0</v>
      </c>
      <c r="AS839">
        <v>0</v>
      </c>
      <c r="AT839">
        <v>0</v>
      </c>
      <c r="AU839">
        <v>0</v>
      </c>
      <c r="AV839">
        <v>0</v>
      </c>
      <c r="AW839">
        <v>0</v>
      </c>
      <c r="AX839">
        <v>0</v>
      </c>
      <c r="AY839">
        <v>0</v>
      </c>
      <c r="AZ839">
        <v>0</v>
      </c>
      <c r="BA839">
        <v>0</v>
      </c>
      <c r="BB839">
        <v>0</v>
      </c>
      <c r="BC839">
        <v>0</v>
      </c>
      <c r="BD839">
        <v>0</v>
      </c>
      <c r="BE839">
        <v>0</v>
      </c>
      <c r="BF839">
        <v>0</v>
      </c>
      <c r="BG839">
        <v>0</v>
      </c>
      <c r="BH839">
        <v>1</v>
      </c>
      <c r="BI839">
        <v>9</v>
      </c>
      <c r="BJ839">
        <v>3.4</v>
      </c>
      <c r="BK839">
        <v>9</v>
      </c>
      <c r="BL839">
        <v>613.24</v>
      </c>
      <c r="BM839">
        <v>91.99</v>
      </c>
      <c r="BN839">
        <v>705.23</v>
      </c>
      <c r="BO839">
        <v>705.23</v>
      </c>
      <c r="BQ839" t="s">
        <v>205</v>
      </c>
      <c r="BR839" t="s">
        <v>82</v>
      </c>
      <c r="BS839" t="s">
        <v>500</v>
      </c>
      <c r="BY839">
        <v>16965</v>
      </c>
      <c r="CC839" t="s">
        <v>203</v>
      </c>
      <c r="CD839">
        <v>2531</v>
      </c>
      <c r="CE839" t="s">
        <v>86</v>
      </c>
      <c r="CI839">
        <v>1</v>
      </c>
      <c r="CJ839" t="s">
        <v>500</v>
      </c>
      <c r="CK839">
        <v>23</v>
      </c>
      <c r="CL839" t="s">
        <v>87</v>
      </c>
    </row>
    <row r="840" spans="1:90" x14ac:dyDescent="0.3">
      <c r="A840" t="s">
        <v>72</v>
      </c>
      <c r="B840" t="s">
        <v>73</v>
      </c>
      <c r="C840" t="s">
        <v>74</v>
      </c>
      <c r="E840" t="str">
        <f>"080069704949"</f>
        <v>080069704949</v>
      </c>
      <c r="F840" s="3">
        <v>45996</v>
      </c>
      <c r="G840">
        <v>202609</v>
      </c>
      <c r="H840" t="s">
        <v>75</v>
      </c>
      <c r="I840" t="s">
        <v>76</v>
      </c>
      <c r="J840" t="s">
        <v>77</v>
      </c>
      <c r="K840" t="s">
        <v>78</v>
      </c>
      <c r="L840" t="s">
        <v>169</v>
      </c>
      <c r="M840" t="s">
        <v>170</v>
      </c>
      <c r="N840" t="s">
        <v>171</v>
      </c>
      <c r="O840" t="s">
        <v>89</v>
      </c>
      <c r="P840" t="str">
        <f>"4170072203                    "</f>
        <v xml:space="preserve">4170072203                    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0</v>
      </c>
      <c r="AD840">
        <v>0</v>
      </c>
      <c r="AE840">
        <v>0</v>
      </c>
      <c r="AF840">
        <v>0</v>
      </c>
      <c r="AG840">
        <v>0</v>
      </c>
      <c r="AH840">
        <v>0</v>
      </c>
      <c r="AI840">
        <v>0</v>
      </c>
      <c r="AJ840">
        <v>0</v>
      </c>
      <c r="AK840">
        <v>0</v>
      </c>
      <c r="AL840">
        <v>0</v>
      </c>
      <c r="AM840">
        <v>0</v>
      </c>
      <c r="AN840">
        <v>0</v>
      </c>
      <c r="AO840">
        <v>0</v>
      </c>
      <c r="AP840">
        <v>0</v>
      </c>
      <c r="AQ840">
        <v>49.45</v>
      </c>
      <c r="AR840">
        <v>0</v>
      </c>
      <c r="AS840">
        <v>0</v>
      </c>
      <c r="AT840">
        <v>0</v>
      </c>
      <c r="AU840">
        <v>0</v>
      </c>
      <c r="AV840">
        <v>0</v>
      </c>
      <c r="AW840">
        <v>0</v>
      </c>
      <c r="AX840">
        <v>0</v>
      </c>
      <c r="AY840">
        <v>0</v>
      </c>
      <c r="AZ840">
        <v>0</v>
      </c>
      <c r="BA840">
        <v>0</v>
      </c>
      <c r="BB840">
        <v>0</v>
      </c>
      <c r="BC840">
        <v>0</v>
      </c>
      <c r="BD840">
        <v>0</v>
      </c>
      <c r="BE840">
        <v>0</v>
      </c>
      <c r="BF840">
        <v>0</v>
      </c>
      <c r="BG840">
        <v>0</v>
      </c>
      <c r="BH840">
        <v>1</v>
      </c>
      <c r="BI840">
        <v>1</v>
      </c>
      <c r="BJ840">
        <v>0.2</v>
      </c>
      <c r="BK840">
        <v>1</v>
      </c>
      <c r="BL840">
        <v>147.38</v>
      </c>
      <c r="BM840">
        <v>22.11</v>
      </c>
      <c r="BN840">
        <v>169.49</v>
      </c>
      <c r="BO840">
        <v>169.49</v>
      </c>
      <c r="BQ840" t="s">
        <v>172</v>
      </c>
      <c r="BR840" t="s">
        <v>82</v>
      </c>
      <c r="BS840" t="s">
        <v>500</v>
      </c>
      <c r="BY840">
        <v>1200</v>
      </c>
      <c r="CC840" t="s">
        <v>170</v>
      </c>
      <c r="CD840">
        <v>1028</v>
      </c>
      <c r="CE840" t="s">
        <v>134</v>
      </c>
      <c r="CI840">
        <v>1</v>
      </c>
      <c r="CJ840" t="s">
        <v>500</v>
      </c>
      <c r="CK840">
        <v>23</v>
      </c>
      <c r="CL840" t="s">
        <v>87</v>
      </c>
    </row>
    <row r="841" spans="1:90" x14ac:dyDescent="0.3">
      <c r="A841" t="s">
        <v>72</v>
      </c>
      <c r="B841" t="s">
        <v>73</v>
      </c>
      <c r="C841" t="s">
        <v>74</v>
      </c>
      <c r="E841" t="str">
        <f>"080069704924"</f>
        <v>080069704924</v>
      </c>
      <c r="F841" s="3">
        <v>45996</v>
      </c>
      <c r="G841">
        <v>202609</v>
      </c>
      <c r="H841" t="s">
        <v>75</v>
      </c>
      <c r="I841" t="s">
        <v>76</v>
      </c>
      <c r="J841" t="s">
        <v>77</v>
      </c>
      <c r="K841" t="s">
        <v>78</v>
      </c>
      <c r="L841" t="s">
        <v>75</v>
      </c>
      <c r="M841" t="s">
        <v>76</v>
      </c>
      <c r="N841" t="s">
        <v>1526</v>
      </c>
      <c r="O841" t="s">
        <v>89</v>
      </c>
      <c r="P841" t="str">
        <f>"4170072150                    "</f>
        <v xml:space="preserve">4170072150                    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>
        <v>0</v>
      </c>
      <c r="AE841">
        <v>0</v>
      </c>
      <c r="AF841">
        <v>0</v>
      </c>
      <c r="AG841">
        <v>0</v>
      </c>
      <c r="AH841">
        <v>0</v>
      </c>
      <c r="AI841">
        <v>0</v>
      </c>
      <c r="AJ841">
        <v>0</v>
      </c>
      <c r="AK841">
        <v>0</v>
      </c>
      <c r="AL841">
        <v>0</v>
      </c>
      <c r="AM841">
        <v>0</v>
      </c>
      <c r="AN841">
        <v>0</v>
      </c>
      <c r="AO841">
        <v>0</v>
      </c>
      <c r="AP841">
        <v>0</v>
      </c>
      <c r="AQ841">
        <v>19.940000000000001</v>
      </c>
      <c r="AR841">
        <v>0</v>
      </c>
      <c r="AS841">
        <v>0</v>
      </c>
      <c r="AT841">
        <v>0</v>
      </c>
      <c r="AU841">
        <v>0</v>
      </c>
      <c r="AV841">
        <v>0</v>
      </c>
      <c r="AW841">
        <v>0</v>
      </c>
      <c r="AX841">
        <v>0</v>
      </c>
      <c r="AY841">
        <v>0</v>
      </c>
      <c r="AZ841">
        <v>0</v>
      </c>
      <c r="BA841">
        <v>0</v>
      </c>
      <c r="BB841">
        <v>0</v>
      </c>
      <c r="BC841">
        <v>0</v>
      </c>
      <c r="BD841">
        <v>0</v>
      </c>
      <c r="BE841">
        <v>0</v>
      </c>
      <c r="BF841">
        <v>0</v>
      </c>
      <c r="BG841">
        <v>0</v>
      </c>
      <c r="BH841">
        <v>1</v>
      </c>
      <c r="BI841">
        <v>1</v>
      </c>
      <c r="BJ841">
        <v>0.2</v>
      </c>
      <c r="BK841">
        <v>1</v>
      </c>
      <c r="BL841">
        <v>59.42</v>
      </c>
      <c r="BM841">
        <v>8.91</v>
      </c>
      <c r="BN841">
        <v>68.33</v>
      </c>
      <c r="BO841">
        <v>68.33</v>
      </c>
      <c r="BQ841" t="s">
        <v>1527</v>
      </c>
      <c r="BR841" t="s">
        <v>82</v>
      </c>
      <c r="BS841" t="s">
        <v>500</v>
      </c>
      <c r="BY841">
        <v>1200</v>
      </c>
      <c r="CC841" t="s">
        <v>76</v>
      </c>
      <c r="CD841">
        <v>1610</v>
      </c>
      <c r="CE841" t="s">
        <v>134</v>
      </c>
      <c r="CI841">
        <v>1</v>
      </c>
      <c r="CJ841" t="s">
        <v>500</v>
      </c>
      <c r="CK841">
        <v>22</v>
      </c>
      <c r="CL841" t="s">
        <v>87</v>
      </c>
    </row>
    <row r="842" spans="1:90" x14ac:dyDescent="0.3">
      <c r="A842" t="s">
        <v>72</v>
      </c>
      <c r="B842" t="s">
        <v>73</v>
      </c>
      <c r="C842" t="s">
        <v>74</v>
      </c>
      <c r="E842" t="str">
        <f>"080069704955"</f>
        <v>080069704955</v>
      </c>
      <c r="F842" s="3">
        <v>45996</v>
      </c>
      <c r="G842">
        <v>202609</v>
      </c>
      <c r="H842" t="s">
        <v>75</v>
      </c>
      <c r="I842" t="s">
        <v>76</v>
      </c>
      <c r="J842" t="s">
        <v>77</v>
      </c>
      <c r="K842" t="s">
        <v>78</v>
      </c>
      <c r="L842" t="s">
        <v>218</v>
      </c>
      <c r="M842" t="s">
        <v>219</v>
      </c>
      <c r="N842" t="s">
        <v>220</v>
      </c>
      <c r="O842" t="s">
        <v>89</v>
      </c>
      <c r="P842" t="str">
        <f>"4170072141                    "</f>
        <v xml:space="preserve">4170072141                    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>
        <v>0</v>
      </c>
      <c r="AE842">
        <v>0</v>
      </c>
      <c r="AF842">
        <v>0</v>
      </c>
      <c r="AG842">
        <v>0</v>
      </c>
      <c r="AH842">
        <v>0</v>
      </c>
      <c r="AI842">
        <v>0</v>
      </c>
      <c r="AJ842">
        <v>0</v>
      </c>
      <c r="AK842">
        <v>0</v>
      </c>
      <c r="AL842">
        <v>0</v>
      </c>
      <c r="AM842">
        <v>0</v>
      </c>
      <c r="AN842">
        <v>0</v>
      </c>
      <c r="AO842">
        <v>0</v>
      </c>
      <c r="AP842">
        <v>0</v>
      </c>
      <c r="AQ842">
        <v>71.790000000000006</v>
      </c>
      <c r="AR842">
        <v>0</v>
      </c>
      <c r="AS842">
        <v>0</v>
      </c>
      <c r="AT842">
        <v>0</v>
      </c>
      <c r="AU842">
        <v>0</v>
      </c>
      <c r="AV842">
        <v>0</v>
      </c>
      <c r="AW842">
        <v>0</v>
      </c>
      <c r="AX842">
        <v>0</v>
      </c>
      <c r="AY842">
        <v>0</v>
      </c>
      <c r="AZ842">
        <v>0</v>
      </c>
      <c r="BA842">
        <v>0</v>
      </c>
      <c r="BB842">
        <v>0</v>
      </c>
      <c r="BC842">
        <v>0</v>
      </c>
      <c r="BD842">
        <v>0</v>
      </c>
      <c r="BE842">
        <v>0</v>
      </c>
      <c r="BF842">
        <v>0</v>
      </c>
      <c r="BG842">
        <v>0</v>
      </c>
      <c r="BH842">
        <v>1</v>
      </c>
      <c r="BI842">
        <v>2</v>
      </c>
      <c r="BJ842">
        <v>2.9</v>
      </c>
      <c r="BK842">
        <v>3</v>
      </c>
      <c r="BL842">
        <v>213.94</v>
      </c>
      <c r="BM842">
        <v>32.090000000000003</v>
      </c>
      <c r="BN842">
        <v>246.03</v>
      </c>
      <c r="BO842">
        <v>246.03</v>
      </c>
      <c r="BQ842" t="s">
        <v>221</v>
      </c>
      <c r="BR842" t="s">
        <v>82</v>
      </c>
      <c r="BS842" t="s">
        <v>500</v>
      </c>
      <c r="BY842">
        <v>14336</v>
      </c>
      <c r="CC842" t="s">
        <v>219</v>
      </c>
      <c r="CD842">
        <v>2740</v>
      </c>
      <c r="CE842" t="s">
        <v>93</v>
      </c>
      <c r="CI842">
        <v>1</v>
      </c>
      <c r="CJ842" t="s">
        <v>500</v>
      </c>
      <c r="CK842">
        <v>23</v>
      </c>
      <c r="CL842" t="s">
        <v>87</v>
      </c>
    </row>
    <row r="843" spans="1:90" x14ac:dyDescent="0.3">
      <c r="A843" t="s">
        <v>72</v>
      </c>
      <c r="B843" t="s">
        <v>73</v>
      </c>
      <c r="C843" t="s">
        <v>74</v>
      </c>
      <c r="E843" t="str">
        <f>"080069704982"</f>
        <v>080069704982</v>
      </c>
      <c r="F843" s="3">
        <v>45996</v>
      </c>
      <c r="G843">
        <v>202609</v>
      </c>
      <c r="H843" t="s">
        <v>75</v>
      </c>
      <c r="I843" t="s">
        <v>76</v>
      </c>
      <c r="J843" t="s">
        <v>77</v>
      </c>
      <c r="K843" t="s">
        <v>78</v>
      </c>
      <c r="L843" t="s">
        <v>141</v>
      </c>
      <c r="M843" t="s">
        <v>142</v>
      </c>
      <c r="N843" t="s">
        <v>585</v>
      </c>
      <c r="O843" t="s">
        <v>89</v>
      </c>
      <c r="P843" t="str">
        <f>"4170072159                    "</f>
        <v xml:space="preserve">4170072159                    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>
        <v>0</v>
      </c>
      <c r="AE843">
        <v>0</v>
      </c>
      <c r="AF843">
        <v>0</v>
      </c>
      <c r="AG843">
        <v>0</v>
      </c>
      <c r="AH843">
        <v>0</v>
      </c>
      <c r="AI843">
        <v>0</v>
      </c>
      <c r="AJ843">
        <v>0</v>
      </c>
      <c r="AK843">
        <v>0</v>
      </c>
      <c r="AL843">
        <v>0</v>
      </c>
      <c r="AM843">
        <v>0</v>
      </c>
      <c r="AN843">
        <v>0</v>
      </c>
      <c r="AO843">
        <v>0</v>
      </c>
      <c r="AP843">
        <v>0</v>
      </c>
      <c r="AQ843">
        <v>25.52</v>
      </c>
      <c r="AR843">
        <v>0</v>
      </c>
      <c r="AS843">
        <v>0</v>
      </c>
      <c r="AT843">
        <v>0</v>
      </c>
      <c r="AU843">
        <v>0</v>
      </c>
      <c r="AV843">
        <v>0</v>
      </c>
      <c r="AW843">
        <v>0</v>
      </c>
      <c r="AX843">
        <v>0</v>
      </c>
      <c r="AY843">
        <v>0</v>
      </c>
      <c r="AZ843">
        <v>0</v>
      </c>
      <c r="BA843">
        <v>0</v>
      </c>
      <c r="BB843">
        <v>0</v>
      </c>
      <c r="BC843">
        <v>0</v>
      </c>
      <c r="BD843">
        <v>0</v>
      </c>
      <c r="BE843">
        <v>0</v>
      </c>
      <c r="BF843">
        <v>0</v>
      </c>
      <c r="BG843">
        <v>0</v>
      </c>
      <c r="BH843">
        <v>1</v>
      </c>
      <c r="BI843">
        <v>1</v>
      </c>
      <c r="BJ843">
        <v>0.2</v>
      </c>
      <c r="BK843">
        <v>1</v>
      </c>
      <c r="BL843">
        <v>76.06</v>
      </c>
      <c r="BM843">
        <v>11.41</v>
      </c>
      <c r="BN843">
        <v>87.47</v>
      </c>
      <c r="BO843">
        <v>87.47</v>
      </c>
      <c r="BQ843" t="s">
        <v>586</v>
      </c>
      <c r="BR843" t="s">
        <v>82</v>
      </c>
      <c r="BS843" t="s">
        <v>500</v>
      </c>
      <c r="BY843">
        <v>1200</v>
      </c>
      <c r="CC843" t="s">
        <v>142</v>
      </c>
      <c r="CD843">
        <v>6001</v>
      </c>
      <c r="CE843" t="s">
        <v>134</v>
      </c>
      <c r="CI843">
        <v>1</v>
      </c>
      <c r="CJ843" t="s">
        <v>500</v>
      </c>
      <c r="CK843">
        <v>21</v>
      </c>
      <c r="CL843" t="s">
        <v>87</v>
      </c>
    </row>
    <row r="844" spans="1:90" x14ac:dyDescent="0.3">
      <c r="A844" t="s">
        <v>72</v>
      </c>
      <c r="B844" t="s">
        <v>73</v>
      </c>
      <c r="C844" t="s">
        <v>74</v>
      </c>
      <c r="E844" t="str">
        <f>"080069705020"</f>
        <v>080069705020</v>
      </c>
      <c r="F844" s="3">
        <v>45996</v>
      </c>
      <c r="G844">
        <v>202609</v>
      </c>
      <c r="H844" t="s">
        <v>75</v>
      </c>
      <c r="I844" t="s">
        <v>76</v>
      </c>
      <c r="J844" t="s">
        <v>77</v>
      </c>
      <c r="K844" t="s">
        <v>78</v>
      </c>
      <c r="L844" t="s">
        <v>156</v>
      </c>
      <c r="M844" t="s">
        <v>157</v>
      </c>
      <c r="N844" t="s">
        <v>261</v>
      </c>
      <c r="O844" t="s">
        <v>89</v>
      </c>
      <c r="P844" t="str">
        <f>"4170072269                    "</f>
        <v xml:space="preserve">4170072269                    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  <c r="AD844">
        <v>0</v>
      </c>
      <c r="AE844">
        <v>0</v>
      </c>
      <c r="AF844">
        <v>0</v>
      </c>
      <c r="AG844">
        <v>0</v>
      </c>
      <c r="AH844">
        <v>0</v>
      </c>
      <c r="AI844">
        <v>0</v>
      </c>
      <c r="AJ844">
        <v>0</v>
      </c>
      <c r="AK844">
        <v>0</v>
      </c>
      <c r="AL844">
        <v>0</v>
      </c>
      <c r="AM844">
        <v>0</v>
      </c>
      <c r="AN844">
        <v>0</v>
      </c>
      <c r="AO844">
        <v>0</v>
      </c>
      <c r="AP844">
        <v>0</v>
      </c>
      <c r="AQ844">
        <v>25.52</v>
      </c>
      <c r="AR844">
        <v>0</v>
      </c>
      <c r="AS844">
        <v>0</v>
      </c>
      <c r="AT844">
        <v>0</v>
      </c>
      <c r="AU844">
        <v>0</v>
      </c>
      <c r="AV844">
        <v>0</v>
      </c>
      <c r="AW844">
        <v>0</v>
      </c>
      <c r="AX844">
        <v>0</v>
      </c>
      <c r="AY844">
        <v>0</v>
      </c>
      <c r="AZ844">
        <v>0</v>
      </c>
      <c r="BA844">
        <v>0</v>
      </c>
      <c r="BB844">
        <v>0</v>
      </c>
      <c r="BC844">
        <v>0</v>
      </c>
      <c r="BD844">
        <v>0</v>
      </c>
      <c r="BE844">
        <v>0</v>
      </c>
      <c r="BF844">
        <v>0</v>
      </c>
      <c r="BG844">
        <v>0</v>
      </c>
      <c r="BH844">
        <v>1</v>
      </c>
      <c r="BI844">
        <v>1</v>
      </c>
      <c r="BJ844">
        <v>0.2</v>
      </c>
      <c r="BK844">
        <v>1</v>
      </c>
      <c r="BL844">
        <v>76.06</v>
      </c>
      <c r="BM844">
        <v>11.41</v>
      </c>
      <c r="BN844">
        <v>87.47</v>
      </c>
      <c r="BO844">
        <v>87.47</v>
      </c>
      <c r="BQ844" t="s">
        <v>262</v>
      </c>
      <c r="BR844" t="s">
        <v>82</v>
      </c>
      <c r="BS844" t="s">
        <v>500</v>
      </c>
      <c r="BY844">
        <v>1200</v>
      </c>
      <c r="CC844" t="s">
        <v>157</v>
      </c>
      <c r="CD844">
        <v>7441</v>
      </c>
      <c r="CE844" t="s">
        <v>134</v>
      </c>
      <c r="CI844">
        <v>1</v>
      </c>
      <c r="CJ844" t="s">
        <v>500</v>
      </c>
      <c r="CK844">
        <v>21</v>
      </c>
      <c r="CL844" t="s">
        <v>87</v>
      </c>
    </row>
    <row r="845" spans="1:90" x14ac:dyDescent="0.3">
      <c r="A845" t="s">
        <v>72</v>
      </c>
      <c r="B845" t="s">
        <v>73</v>
      </c>
      <c r="C845" t="s">
        <v>74</v>
      </c>
      <c r="E845" t="str">
        <f>"080069705002"</f>
        <v>080069705002</v>
      </c>
      <c r="F845" s="3">
        <v>45996</v>
      </c>
      <c r="G845">
        <v>202609</v>
      </c>
      <c r="H845" t="s">
        <v>75</v>
      </c>
      <c r="I845" t="s">
        <v>76</v>
      </c>
      <c r="J845" t="s">
        <v>77</v>
      </c>
      <c r="K845" t="s">
        <v>78</v>
      </c>
      <c r="L845" t="s">
        <v>176</v>
      </c>
      <c r="M845" t="s">
        <v>177</v>
      </c>
      <c r="N845" t="s">
        <v>178</v>
      </c>
      <c r="O845" t="s">
        <v>89</v>
      </c>
      <c r="P845" t="str">
        <f>"4170072142                    "</f>
        <v xml:space="preserve">4170072142                    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0</v>
      </c>
      <c r="AI845">
        <v>0</v>
      </c>
      <c r="AJ845">
        <v>0</v>
      </c>
      <c r="AK845">
        <v>0</v>
      </c>
      <c r="AL845">
        <v>0</v>
      </c>
      <c r="AM845">
        <v>0</v>
      </c>
      <c r="AN845">
        <v>0</v>
      </c>
      <c r="AO845">
        <v>0</v>
      </c>
      <c r="AP845">
        <v>0</v>
      </c>
      <c r="AQ845">
        <v>19.940000000000001</v>
      </c>
      <c r="AR845">
        <v>0</v>
      </c>
      <c r="AS845">
        <v>0</v>
      </c>
      <c r="AT845">
        <v>0</v>
      </c>
      <c r="AU845">
        <v>0</v>
      </c>
      <c r="AV845">
        <v>0</v>
      </c>
      <c r="AW845">
        <v>0</v>
      </c>
      <c r="AX845">
        <v>0</v>
      </c>
      <c r="AY845">
        <v>0</v>
      </c>
      <c r="AZ845">
        <v>0</v>
      </c>
      <c r="BA845">
        <v>0</v>
      </c>
      <c r="BB845">
        <v>0</v>
      </c>
      <c r="BC845">
        <v>0</v>
      </c>
      <c r="BD845">
        <v>0</v>
      </c>
      <c r="BE845">
        <v>0</v>
      </c>
      <c r="BF845">
        <v>0</v>
      </c>
      <c r="BG845">
        <v>0</v>
      </c>
      <c r="BH845">
        <v>1</v>
      </c>
      <c r="BI845">
        <v>1</v>
      </c>
      <c r="BJ845">
        <v>0.9</v>
      </c>
      <c r="BK845">
        <v>1</v>
      </c>
      <c r="BL845">
        <v>59.42</v>
      </c>
      <c r="BM845">
        <v>8.91</v>
      </c>
      <c r="BN845">
        <v>68.33</v>
      </c>
      <c r="BO845">
        <v>68.33</v>
      </c>
      <c r="BQ845" t="s">
        <v>179</v>
      </c>
      <c r="BR845" t="s">
        <v>82</v>
      </c>
      <c r="BS845" t="s">
        <v>500</v>
      </c>
      <c r="BY845">
        <v>4500</v>
      </c>
      <c r="CC845" t="s">
        <v>177</v>
      </c>
      <c r="CD845">
        <v>2094</v>
      </c>
      <c r="CE845" t="s">
        <v>93</v>
      </c>
      <c r="CI845">
        <v>1</v>
      </c>
      <c r="CJ845" t="s">
        <v>500</v>
      </c>
      <c r="CK845">
        <v>22</v>
      </c>
      <c r="CL845" t="s">
        <v>87</v>
      </c>
    </row>
    <row r="846" spans="1:90" x14ac:dyDescent="0.3">
      <c r="A846" t="s">
        <v>72</v>
      </c>
      <c r="B846" t="s">
        <v>73</v>
      </c>
      <c r="C846" t="s">
        <v>74</v>
      </c>
      <c r="E846" t="str">
        <f>"080069705048"</f>
        <v>080069705048</v>
      </c>
      <c r="F846" s="3">
        <v>45996</v>
      </c>
      <c r="G846">
        <v>202609</v>
      </c>
      <c r="H846" t="s">
        <v>75</v>
      </c>
      <c r="I846" t="s">
        <v>76</v>
      </c>
      <c r="J846" t="s">
        <v>77</v>
      </c>
      <c r="K846" t="s">
        <v>78</v>
      </c>
      <c r="L846" t="s">
        <v>141</v>
      </c>
      <c r="M846" t="s">
        <v>142</v>
      </c>
      <c r="N846" t="s">
        <v>731</v>
      </c>
      <c r="O846" t="s">
        <v>89</v>
      </c>
      <c r="P846" t="str">
        <f>"4170072151                    "</f>
        <v xml:space="preserve">4170072151                    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  <c r="AF846">
        <v>0</v>
      </c>
      <c r="AG846">
        <v>0</v>
      </c>
      <c r="AH846">
        <v>0</v>
      </c>
      <c r="AI846">
        <v>0</v>
      </c>
      <c r="AJ846">
        <v>0</v>
      </c>
      <c r="AK846">
        <v>0</v>
      </c>
      <c r="AL846">
        <v>0</v>
      </c>
      <c r="AM846">
        <v>0</v>
      </c>
      <c r="AN846">
        <v>0</v>
      </c>
      <c r="AO846">
        <v>0</v>
      </c>
      <c r="AP846">
        <v>0</v>
      </c>
      <c r="AQ846">
        <v>25.52</v>
      </c>
      <c r="AR846">
        <v>0</v>
      </c>
      <c r="AS846">
        <v>0</v>
      </c>
      <c r="AT846">
        <v>0</v>
      </c>
      <c r="AU846">
        <v>0</v>
      </c>
      <c r="AV846">
        <v>0</v>
      </c>
      <c r="AW846">
        <v>0</v>
      </c>
      <c r="AX846">
        <v>0</v>
      </c>
      <c r="AY846">
        <v>0</v>
      </c>
      <c r="AZ846">
        <v>0</v>
      </c>
      <c r="BA846">
        <v>0</v>
      </c>
      <c r="BB846">
        <v>0</v>
      </c>
      <c r="BC846">
        <v>0</v>
      </c>
      <c r="BD846">
        <v>0</v>
      </c>
      <c r="BE846">
        <v>0</v>
      </c>
      <c r="BF846">
        <v>0</v>
      </c>
      <c r="BG846">
        <v>0</v>
      </c>
      <c r="BH846">
        <v>1</v>
      </c>
      <c r="BI846">
        <v>1</v>
      </c>
      <c r="BJ846">
        <v>1.1000000000000001</v>
      </c>
      <c r="BK846">
        <v>1.5</v>
      </c>
      <c r="BL846">
        <v>76.06</v>
      </c>
      <c r="BM846">
        <v>11.41</v>
      </c>
      <c r="BN846">
        <v>87.47</v>
      </c>
      <c r="BO846">
        <v>87.47</v>
      </c>
      <c r="BQ846" t="s">
        <v>732</v>
      </c>
      <c r="BR846" t="s">
        <v>82</v>
      </c>
      <c r="BS846" t="s">
        <v>500</v>
      </c>
      <c r="BY846">
        <v>5472</v>
      </c>
      <c r="CC846" t="s">
        <v>142</v>
      </c>
      <c r="CD846">
        <v>6001</v>
      </c>
      <c r="CE846" t="s">
        <v>93</v>
      </c>
      <c r="CI846">
        <v>1</v>
      </c>
      <c r="CJ846" t="s">
        <v>500</v>
      </c>
      <c r="CK846">
        <v>21</v>
      </c>
      <c r="CL846" t="s">
        <v>87</v>
      </c>
    </row>
    <row r="847" spans="1:90" x14ac:dyDescent="0.3">
      <c r="A847" t="s">
        <v>72</v>
      </c>
      <c r="B847" t="s">
        <v>73</v>
      </c>
      <c r="C847" t="s">
        <v>74</v>
      </c>
      <c r="E847" t="str">
        <f>"080069705123"</f>
        <v>080069705123</v>
      </c>
      <c r="F847" s="3">
        <v>45996</v>
      </c>
      <c r="G847">
        <v>202609</v>
      </c>
      <c r="H847" t="s">
        <v>75</v>
      </c>
      <c r="I847" t="s">
        <v>76</v>
      </c>
      <c r="J847" t="s">
        <v>77</v>
      </c>
      <c r="K847" t="s">
        <v>78</v>
      </c>
      <c r="L847" t="s">
        <v>351</v>
      </c>
      <c r="M847" t="s">
        <v>352</v>
      </c>
      <c r="N847" t="s">
        <v>1240</v>
      </c>
      <c r="O847" t="s">
        <v>340</v>
      </c>
      <c r="P847" t="str">
        <f>"4170072010                    "</f>
        <v xml:space="preserve">4170072010                    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>
        <v>0</v>
      </c>
      <c r="AE847">
        <v>0</v>
      </c>
      <c r="AF847">
        <v>0</v>
      </c>
      <c r="AG847">
        <v>0</v>
      </c>
      <c r="AH847">
        <v>0</v>
      </c>
      <c r="AI847">
        <v>0</v>
      </c>
      <c r="AJ847">
        <v>0</v>
      </c>
      <c r="AK847">
        <v>0</v>
      </c>
      <c r="AL847">
        <v>0</v>
      </c>
      <c r="AM847">
        <v>0</v>
      </c>
      <c r="AN847">
        <v>0</v>
      </c>
      <c r="AO847">
        <v>0</v>
      </c>
      <c r="AP847">
        <v>0</v>
      </c>
      <c r="AQ847">
        <v>175.93</v>
      </c>
      <c r="AR847">
        <v>0</v>
      </c>
      <c r="AS847">
        <v>0</v>
      </c>
      <c r="AT847">
        <v>0</v>
      </c>
      <c r="AU847">
        <v>0</v>
      </c>
      <c r="AV847">
        <v>0</v>
      </c>
      <c r="AW847">
        <v>0</v>
      </c>
      <c r="AX847">
        <v>0</v>
      </c>
      <c r="AY847">
        <v>0</v>
      </c>
      <c r="AZ847">
        <v>0</v>
      </c>
      <c r="BA847">
        <v>0</v>
      </c>
      <c r="BB847">
        <v>0</v>
      </c>
      <c r="BC847">
        <v>0</v>
      </c>
      <c r="BD847">
        <v>0</v>
      </c>
      <c r="BE847">
        <v>0</v>
      </c>
      <c r="BF847">
        <v>0</v>
      </c>
      <c r="BG847">
        <v>0</v>
      </c>
      <c r="BH847">
        <v>2</v>
      </c>
      <c r="BI847">
        <v>5</v>
      </c>
      <c r="BJ847">
        <v>8.1</v>
      </c>
      <c r="BK847">
        <v>8.5</v>
      </c>
      <c r="BL847">
        <v>524.29999999999995</v>
      </c>
      <c r="BM847">
        <v>78.650000000000006</v>
      </c>
      <c r="BN847">
        <v>602.95000000000005</v>
      </c>
      <c r="BO847">
        <v>602.95000000000005</v>
      </c>
      <c r="BQ847" t="s">
        <v>1241</v>
      </c>
      <c r="BR847" t="s">
        <v>82</v>
      </c>
      <c r="BS847" t="s">
        <v>500</v>
      </c>
      <c r="BY847">
        <v>40392</v>
      </c>
      <c r="CC847" t="s">
        <v>352</v>
      </c>
      <c r="CD847">
        <v>1438</v>
      </c>
      <c r="CE847" t="s">
        <v>134</v>
      </c>
      <c r="CI847">
        <v>1</v>
      </c>
      <c r="CJ847" t="s">
        <v>500</v>
      </c>
      <c r="CK847">
        <v>34</v>
      </c>
      <c r="CL847" t="s">
        <v>87</v>
      </c>
    </row>
    <row r="848" spans="1:90" x14ac:dyDescent="0.3">
      <c r="A848" t="s">
        <v>72</v>
      </c>
      <c r="B848" t="s">
        <v>73</v>
      </c>
      <c r="C848" t="s">
        <v>74</v>
      </c>
      <c r="E848" t="str">
        <f>"080069705128"</f>
        <v>080069705128</v>
      </c>
      <c r="F848" s="3">
        <v>45996</v>
      </c>
      <c r="G848">
        <v>202609</v>
      </c>
      <c r="H848" t="s">
        <v>75</v>
      </c>
      <c r="I848" t="s">
        <v>76</v>
      </c>
      <c r="J848" t="s">
        <v>77</v>
      </c>
      <c r="K848" t="s">
        <v>78</v>
      </c>
      <c r="L848" t="s">
        <v>176</v>
      </c>
      <c r="M848" t="s">
        <v>177</v>
      </c>
      <c r="N848" t="s">
        <v>663</v>
      </c>
      <c r="O848" t="s">
        <v>89</v>
      </c>
      <c r="P848" t="str">
        <f>"4170072179                    "</f>
        <v xml:space="preserve">4170072179                    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>
        <v>0</v>
      </c>
      <c r="AE848">
        <v>0</v>
      </c>
      <c r="AF848">
        <v>0</v>
      </c>
      <c r="AG848">
        <v>0</v>
      </c>
      <c r="AH848">
        <v>0</v>
      </c>
      <c r="AI848">
        <v>0</v>
      </c>
      <c r="AJ848">
        <v>0</v>
      </c>
      <c r="AK848">
        <v>0</v>
      </c>
      <c r="AL848">
        <v>0</v>
      </c>
      <c r="AM848">
        <v>0</v>
      </c>
      <c r="AN848">
        <v>0</v>
      </c>
      <c r="AO848">
        <v>0</v>
      </c>
      <c r="AP848">
        <v>0</v>
      </c>
      <c r="AQ848">
        <v>19.940000000000001</v>
      </c>
      <c r="AR848">
        <v>0</v>
      </c>
      <c r="AS848">
        <v>0</v>
      </c>
      <c r="AT848">
        <v>0</v>
      </c>
      <c r="AU848">
        <v>0</v>
      </c>
      <c r="AV848">
        <v>0</v>
      </c>
      <c r="AW848">
        <v>0</v>
      </c>
      <c r="AX848">
        <v>0</v>
      </c>
      <c r="AY848">
        <v>0</v>
      </c>
      <c r="AZ848">
        <v>0</v>
      </c>
      <c r="BA848">
        <v>0</v>
      </c>
      <c r="BB848">
        <v>0</v>
      </c>
      <c r="BC848">
        <v>0</v>
      </c>
      <c r="BD848">
        <v>0</v>
      </c>
      <c r="BE848">
        <v>0</v>
      </c>
      <c r="BF848">
        <v>0</v>
      </c>
      <c r="BG848">
        <v>0</v>
      </c>
      <c r="BH848">
        <v>1</v>
      </c>
      <c r="BI848">
        <v>1</v>
      </c>
      <c r="BJ848">
        <v>0.2</v>
      </c>
      <c r="BK848">
        <v>1</v>
      </c>
      <c r="BL848">
        <v>59.42</v>
      </c>
      <c r="BM848">
        <v>8.91</v>
      </c>
      <c r="BN848">
        <v>68.33</v>
      </c>
      <c r="BO848">
        <v>68.33</v>
      </c>
      <c r="BQ848" t="s">
        <v>1528</v>
      </c>
      <c r="BR848" t="s">
        <v>82</v>
      </c>
      <c r="BS848" t="s">
        <v>500</v>
      </c>
      <c r="BY848">
        <v>1200</v>
      </c>
      <c r="CC848" t="s">
        <v>177</v>
      </c>
      <c r="CD848">
        <v>2013</v>
      </c>
      <c r="CE848" t="s">
        <v>134</v>
      </c>
      <c r="CI848">
        <v>1</v>
      </c>
      <c r="CJ848" t="s">
        <v>500</v>
      </c>
      <c r="CK848">
        <v>22</v>
      </c>
      <c r="CL848" t="s">
        <v>87</v>
      </c>
    </row>
    <row r="849" spans="1:90" x14ac:dyDescent="0.3">
      <c r="A849" t="s">
        <v>72</v>
      </c>
      <c r="B849" t="s">
        <v>73</v>
      </c>
      <c r="C849" t="s">
        <v>74</v>
      </c>
      <c r="E849" t="str">
        <f>"080069705163"</f>
        <v>080069705163</v>
      </c>
      <c r="F849" s="3">
        <v>45996</v>
      </c>
      <c r="G849">
        <v>202609</v>
      </c>
      <c r="H849" t="s">
        <v>75</v>
      </c>
      <c r="I849" t="s">
        <v>76</v>
      </c>
      <c r="J849" t="s">
        <v>77</v>
      </c>
      <c r="K849" t="s">
        <v>78</v>
      </c>
      <c r="L849" t="s">
        <v>156</v>
      </c>
      <c r="M849" t="s">
        <v>157</v>
      </c>
      <c r="N849" t="s">
        <v>943</v>
      </c>
      <c r="O849" t="s">
        <v>89</v>
      </c>
      <c r="P849" t="str">
        <f>"4170072228                    "</f>
        <v xml:space="preserve">4170072228                    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>
        <v>0</v>
      </c>
      <c r="AE849">
        <v>0</v>
      </c>
      <c r="AF849">
        <v>0</v>
      </c>
      <c r="AG849">
        <v>0</v>
      </c>
      <c r="AH849">
        <v>0</v>
      </c>
      <c r="AI849">
        <v>0</v>
      </c>
      <c r="AJ849">
        <v>0</v>
      </c>
      <c r="AK849">
        <v>0</v>
      </c>
      <c r="AL849">
        <v>0</v>
      </c>
      <c r="AM849">
        <v>0</v>
      </c>
      <c r="AN849">
        <v>0</v>
      </c>
      <c r="AO849">
        <v>0</v>
      </c>
      <c r="AP849">
        <v>0</v>
      </c>
      <c r="AQ849">
        <v>25.52</v>
      </c>
      <c r="AR849">
        <v>0</v>
      </c>
      <c r="AS849">
        <v>0</v>
      </c>
      <c r="AT849">
        <v>0</v>
      </c>
      <c r="AU849">
        <v>0</v>
      </c>
      <c r="AV849">
        <v>0</v>
      </c>
      <c r="AW849">
        <v>0</v>
      </c>
      <c r="AX849">
        <v>0</v>
      </c>
      <c r="AY849">
        <v>0</v>
      </c>
      <c r="AZ849">
        <v>0</v>
      </c>
      <c r="BA849">
        <v>0</v>
      </c>
      <c r="BB849">
        <v>0</v>
      </c>
      <c r="BC849">
        <v>0</v>
      </c>
      <c r="BD849">
        <v>0</v>
      </c>
      <c r="BE849">
        <v>0</v>
      </c>
      <c r="BF849">
        <v>0</v>
      </c>
      <c r="BG849">
        <v>0</v>
      </c>
      <c r="BH849">
        <v>1</v>
      </c>
      <c r="BI849">
        <v>1</v>
      </c>
      <c r="BJ849">
        <v>0.2</v>
      </c>
      <c r="BK849">
        <v>1</v>
      </c>
      <c r="BL849">
        <v>76.06</v>
      </c>
      <c r="BM849">
        <v>11.41</v>
      </c>
      <c r="BN849">
        <v>87.47</v>
      </c>
      <c r="BO849">
        <v>87.47</v>
      </c>
      <c r="BQ849" t="s">
        <v>944</v>
      </c>
      <c r="BR849" t="s">
        <v>82</v>
      </c>
      <c r="BS849" t="s">
        <v>500</v>
      </c>
      <c r="BY849">
        <v>1200</v>
      </c>
      <c r="CC849" t="s">
        <v>157</v>
      </c>
      <c r="CD849">
        <v>7530</v>
      </c>
      <c r="CE849" t="s">
        <v>134</v>
      </c>
      <c r="CI849">
        <v>1</v>
      </c>
      <c r="CJ849" t="s">
        <v>500</v>
      </c>
      <c r="CK849">
        <v>21</v>
      </c>
      <c r="CL849" t="s">
        <v>87</v>
      </c>
    </row>
    <row r="850" spans="1:90" x14ac:dyDescent="0.3">
      <c r="A850" t="s">
        <v>72</v>
      </c>
      <c r="B850" t="s">
        <v>73</v>
      </c>
      <c r="C850" t="s">
        <v>74</v>
      </c>
      <c r="E850" t="str">
        <f>"080069705215"</f>
        <v>080069705215</v>
      </c>
      <c r="F850" s="3">
        <v>45996</v>
      </c>
      <c r="G850">
        <v>202609</v>
      </c>
      <c r="H850" t="s">
        <v>75</v>
      </c>
      <c r="I850" t="s">
        <v>76</v>
      </c>
      <c r="J850" t="s">
        <v>77</v>
      </c>
      <c r="K850" t="s">
        <v>78</v>
      </c>
      <c r="L850" t="s">
        <v>141</v>
      </c>
      <c r="M850" t="s">
        <v>142</v>
      </c>
      <c r="N850" t="s">
        <v>1529</v>
      </c>
      <c r="O850" t="s">
        <v>89</v>
      </c>
      <c r="P850" t="str">
        <f>"4170072265                    "</f>
        <v xml:space="preserve">4170072265                    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>
        <v>0</v>
      </c>
      <c r="AE850">
        <v>0</v>
      </c>
      <c r="AF850">
        <v>0</v>
      </c>
      <c r="AG850">
        <v>0</v>
      </c>
      <c r="AH850">
        <v>0</v>
      </c>
      <c r="AI850">
        <v>0</v>
      </c>
      <c r="AJ850">
        <v>0</v>
      </c>
      <c r="AK850">
        <v>0</v>
      </c>
      <c r="AL850">
        <v>0</v>
      </c>
      <c r="AM850">
        <v>0</v>
      </c>
      <c r="AN850">
        <v>0</v>
      </c>
      <c r="AO850">
        <v>0</v>
      </c>
      <c r="AP850">
        <v>0</v>
      </c>
      <c r="AQ850">
        <v>25.52</v>
      </c>
      <c r="AR850">
        <v>0</v>
      </c>
      <c r="AS850">
        <v>0</v>
      </c>
      <c r="AT850">
        <v>0</v>
      </c>
      <c r="AU850">
        <v>0</v>
      </c>
      <c r="AV850">
        <v>0</v>
      </c>
      <c r="AW850">
        <v>0</v>
      </c>
      <c r="AX850">
        <v>0</v>
      </c>
      <c r="AY850">
        <v>0</v>
      </c>
      <c r="AZ850">
        <v>0</v>
      </c>
      <c r="BA850">
        <v>0</v>
      </c>
      <c r="BB850">
        <v>0</v>
      </c>
      <c r="BC850">
        <v>0</v>
      </c>
      <c r="BD850">
        <v>0</v>
      </c>
      <c r="BE850">
        <v>0</v>
      </c>
      <c r="BF850">
        <v>0</v>
      </c>
      <c r="BG850">
        <v>0</v>
      </c>
      <c r="BH850">
        <v>1</v>
      </c>
      <c r="BI850">
        <v>1</v>
      </c>
      <c r="BJ850">
        <v>0.2</v>
      </c>
      <c r="BK850">
        <v>1</v>
      </c>
      <c r="BL850">
        <v>76.06</v>
      </c>
      <c r="BM850">
        <v>11.41</v>
      </c>
      <c r="BN850">
        <v>87.47</v>
      </c>
      <c r="BO850">
        <v>87.47</v>
      </c>
      <c r="BQ850" t="s">
        <v>1530</v>
      </c>
      <c r="BR850" t="s">
        <v>82</v>
      </c>
      <c r="BS850" t="s">
        <v>500</v>
      </c>
      <c r="BY850">
        <v>1200</v>
      </c>
      <c r="CC850" t="s">
        <v>142</v>
      </c>
      <c r="CD850">
        <v>6100</v>
      </c>
      <c r="CE850" t="s">
        <v>134</v>
      </c>
      <c r="CI850">
        <v>1</v>
      </c>
      <c r="CJ850" t="s">
        <v>500</v>
      </c>
      <c r="CK850">
        <v>21</v>
      </c>
      <c r="CL850" t="s">
        <v>87</v>
      </c>
    </row>
    <row r="851" spans="1:90" x14ac:dyDescent="0.3">
      <c r="A851" t="s">
        <v>72</v>
      </c>
      <c r="B851" t="s">
        <v>73</v>
      </c>
      <c r="C851" t="s">
        <v>74</v>
      </c>
      <c r="E851" t="str">
        <f>"080069705254"</f>
        <v>080069705254</v>
      </c>
      <c r="F851" s="3">
        <v>45996</v>
      </c>
      <c r="G851">
        <v>202609</v>
      </c>
      <c r="H851" t="s">
        <v>75</v>
      </c>
      <c r="I851" t="s">
        <v>76</v>
      </c>
      <c r="J851" t="s">
        <v>77</v>
      </c>
      <c r="K851" t="s">
        <v>78</v>
      </c>
      <c r="L851" t="s">
        <v>156</v>
      </c>
      <c r="M851" t="s">
        <v>157</v>
      </c>
      <c r="N851" t="s">
        <v>261</v>
      </c>
      <c r="O851" t="s">
        <v>89</v>
      </c>
      <c r="P851" t="str">
        <f>"4170072278                    "</f>
        <v xml:space="preserve">4170072278                    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>
        <v>0</v>
      </c>
      <c r="AE851">
        <v>0</v>
      </c>
      <c r="AF851">
        <v>0</v>
      </c>
      <c r="AG851">
        <v>0</v>
      </c>
      <c r="AH851">
        <v>0</v>
      </c>
      <c r="AI851">
        <v>0</v>
      </c>
      <c r="AJ851">
        <v>0</v>
      </c>
      <c r="AK851">
        <v>0</v>
      </c>
      <c r="AL851">
        <v>0</v>
      </c>
      <c r="AM851">
        <v>0</v>
      </c>
      <c r="AN851">
        <v>0</v>
      </c>
      <c r="AO851">
        <v>0</v>
      </c>
      <c r="AP851">
        <v>0</v>
      </c>
      <c r="AQ851">
        <v>25.52</v>
      </c>
      <c r="AR851">
        <v>0</v>
      </c>
      <c r="AS851">
        <v>0</v>
      </c>
      <c r="AT851">
        <v>0</v>
      </c>
      <c r="AU851">
        <v>0</v>
      </c>
      <c r="AV851">
        <v>0</v>
      </c>
      <c r="AW851">
        <v>0</v>
      </c>
      <c r="AX851">
        <v>0</v>
      </c>
      <c r="AY851">
        <v>0</v>
      </c>
      <c r="AZ851">
        <v>0</v>
      </c>
      <c r="BA851">
        <v>0</v>
      </c>
      <c r="BB851">
        <v>0</v>
      </c>
      <c r="BC851">
        <v>0</v>
      </c>
      <c r="BD851">
        <v>0</v>
      </c>
      <c r="BE851">
        <v>0</v>
      </c>
      <c r="BF851">
        <v>0</v>
      </c>
      <c r="BG851">
        <v>0</v>
      </c>
      <c r="BH851">
        <v>1</v>
      </c>
      <c r="BI851">
        <v>1</v>
      </c>
      <c r="BJ851">
        <v>0.2</v>
      </c>
      <c r="BK851">
        <v>1</v>
      </c>
      <c r="BL851">
        <v>76.06</v>
      </c>
      <c r="BM851">
        <v>11.41</v>
      </c>
      <c r="BN851">
        <v>87.47</v>
      </c>
      <c r="BO851">
        <v>87.47</v>
      </c>
      <c r="BQ851" t="s">
        <v>262</v>
      </c>
      <c r="BR851" t="s">
        <v>82</v>
      </c>
      <c r="BS851" t="s">
        <v>500</v>
      </c>
      <c r="BY851">
        <v>1200</v>
      </c>
      <c r="CC851" t="s">
        <v>157</v>
      </c>
      <c r="CD851">
        <v>7441</v>
      </c>
      <c r="CE851" t="s">
        <v>134</v>
      </c>
      <c r="CI851">
        <v>1</v>
      </c>
      <c r="CJ851" t="s">
        <v>500</v>
      </c>
      <c r="CK851">
        <v>21</v>
      </c>
      <c r="CL851" t="s">
        <v>87</v>
      </c>
    </row>
    <row r="852" spans="1:90" x14ac:dyDescent="0.3">
      <c r="A852" t="s">
        <v>72</v>
      </c>
      <c r="B852" t="s">
        <v>73</v>
      </c>
      <c r="C852" t="s">
        <v>74</v>
      </c>
      <c r="E852" t="str">
        <f>"080069705308"</f>
        <v>080069705308</v>
      </c>
      <c r="F852" s="3">
        <v>45996</v>
      </c>
      <c r="G852">
        <v>202609</v>
      </c>
      <c r="H852" t="s">
        <v>75</v>
      </c>
      <c r="I852" t="s">
        <v>76</v>
      </c>
      <c r="J852" t="s">
        <v>77</v>
      </c>
      <c r="K852" t="s">
        <v>78</v>
      </c>
      <c r="L852" t="s">
        <v>302</v>
      </c>
      <c r="M852" t="s">
        <v>303</v>
      </c>
      <c r="N852" t="s">
        <v>1114</v>
      </c>
      <c r="O852" t="s">
        <v>89</v>
      </c>
      <c r="P852" t="str">
        <f>"4170072046                    "</f>
        <v xml:space="preserve">4170072046                    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>
        <v>0</v>
      </c>
      <c r="AE852">
        <v>0</v>
      </c>
      <c r="AF852">
        <v>0</v>
      </c>
      <c r="AG852">
        <v>0</v>
      </c>
      <c r="AH852">
        <v>0</v>
      </c>
      <c r="AI852">
        <v>0</v>
      </c>
      <c r="AJ852">
        <v>0</v>
      </c>
      <c r="AK852">
        <v>0</v>
      </c>
      <c r="AL852">
        <v>0</v>
      </c>
      <c r="AM852">
        <v>0</v>
      </c>
      <c r="AN852">
        <v>0</v>
      </c>
      <c r="AO852">
        <v>0</v>
      </c>
      <c r="AP852">
        <v>0</v>
      </c>
      <c r="AQ852">
        <v>25.52</v>
      </c>
      <c r="AR852">
        <v>0</v>
      </c>
      <c r="AS852">
        <v>0</v>
      </c>
      <c r="AT852">
        <v>0</v>
      </c>
      <c r="AU852">
        <v>0</v>
      </c>
      <c r="AV852">
        <v>0</v>
      </c>
      <c r="AW852">
        <v>0</v>
      </c>
      <c r="AX852">
        <v>0</v>
      </c>
      <c r="AY852">
        <v>0</v>
      </c>
      <c r="AZ852">
        <v>0</v>
      </c>
      <c r="BA852">
        <v>0</v>
      </c>
      <c r="BB852">
        <v>0</v>
      </c>
      <c r="BC852">
        <v>0</v>
      </c>
      <c r="BD852">
        <v>0</v>
      </c>
      <c r="BE852">
        <v>0</v>
      </c>
      <c r="BF852">
        <v>0</v>
      </c>
      <c r="BG852">
        <v>0</v>
      </c>
      <c r="BH852">
        <v>1</v>
      </c>
      <c r="BI852">
        <v>1</v>
      </c>
      <c r="BJ852">
        <v>0.2</v>
      </c>
      <c r="BK852">
        <v>1</v>
      </c>
      <c r="BL852">
        <v>76.06</v>
      </c>
      <c r="BM852">
        <v>11.41</v>
      </c>
      <c r="BN852">
        <v>87.47</v>
      </c>
      <c r="BO852">
        <v>87.47</v>
      </c>
      <c r="BQ852" t="s">
        <v>1115</v>
      </c>
      <c r="BR852" t="s">
        <v>82</v>
      </c>
      <c r="BS852" t="s">
        <v>500</v>
      </c>
      <c r="BY852">
        <v>1200</v>
      </c>
      <c r="CC852" t="s">
        <v>303</v>
      </c>
      <c r="CD852" s="5" t="s">
        <v>433</v>
      </c>
      <c r="CE852" t="s">
        <v>134</v>
      </c>
      <c r="CI852">
        <v>1</v>
      </c>
      <c r="CJ852" t="s">
        <v>500</v>
      </c>
      <c r="CK852">
        <v>21</v>
      </c>
      <c r="CL852" t="s">
        <v>87</v>
      </c>
    </row>
    <row r="853" spans="1:90" x14ac:dyDescent="0.3">
      <c r="A853" t="s">
        <v>72</v>
      </c>
      <c r="B853" t="s">
        <v>73</v>
      </c>
      <c r="C853" t="s">
        <v>74</v>
      </c>
      <c r="E853" t="str">
        <f>"080069705279"</f>
        <v>080069705279</v>
      </c>
      <c r="F853" s="3">
        <v>45996</v>
      </c>
      <c r="G853">
        <v>202609</v>
      </c>
      <c r="H853" t="s">
        <v>75</v>
      </c>
      <c r="I853" t="s">
        <v>76</v>
      </c>
      <c r="J853" t="s">
        <v>77</v>
      </c>
      <c r="K853" t="s">
        <v>78</v>
      </c>
      <c r="L853" t="s">
        <v>513</v>
      </c>
      <c r="M853" t="s">
        <v>514</v>
      </c>
      <c r="N853" t="s">
        <v>515</v>
      </c>
      <c r="O853" t="s">
        <v>89</v>
      </c>
      <c r="P853" t="str">
        <f>"4170072268                    "</f>
        <v xml:space="preserve">4170072268                    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>
        <v>0</v>
      </c>
      <c r="AE853">
        <v>0</v>
      </c>
      <c r="AF853">
        <v>0</v>
      </c>
      <c r="AG853">
        <v>0</v>
      </c>
      <c r="AH853">
        <v>0</v>
      </c>
      <c r="AI853">
        <v>0</v>
      </c>
      <c r="AJ853">
        <v>0</v>
      </c>
      <c r="AK853">
        <v>0</v>
      </c>
      <c r="AL853">
        <v>0</v>
      </c>
      <c r="AM853">
        <v>0</v>
      </c>
      <c r="AN853">
        <v>0</v>
      </c>
      <c r="AO853">
        <v>0</v>
      </c>
      <c r="AP853">
        <v>0</v>
      </c>
      <c r="AQ853">
        <v>49.45</v>
      </c>
      <c r="AR853">
        <v>0</v>
      </c>
      <c r="AS853">
        <v>0</v>
      </c>
      <c r="AT853">
        <v>0</v>
      </c>
      <c r="AU853">
        <v>0</v>
      </c>
      <c r="AV853">
        <v>0</v>
      </c>
      <c r="AW853">
        <v>0</v>
      </c>
      <c r="AX853">
        <v>0</v>
      </c>
      <c r="AY853">
        <v>0</v>
      </c>
      <c r="AZ853">
        <v>0</v>
      </c>
      <c r="BA853">
        <v>0</v>
      </c>
      <c r="BB853">
        <v>0</v>
      </c>
      <c r="BC853">
        <v>0</v>
      </c>
      <c r="BD853">
        <v>0</v>
      </c>
      <c r="BE853">
        <v>0</v>
      </c>
      <c r="BF853">
        <v>0</v>
      </c>
      <c r="BG853">
        <v>0</v>
      </c>
      <c r="BH853">
        <v>1</v>
      </c>
      <c r="BI853">
        <v>1</v>
      </c>
      <c r="BJ853">
        <v>0.2</v>
      </c>
      <c r="BK853">
        <v>1</v>
      </c>
      <c r="BL853">
        <v>147.38</v>
      </c>
      <c r="BM853">
        <v>22.11</v>
      </c>
      <c r="BN853">
        <v>169.49</v>
      </c>
      <c r="BO853">
        <v>169.49</v>
      </c>
      <c r="BQ853" t="s">
        <v>516</v>
      </c>
      <c r="BR853" t="s">
        <v>82</v>
      </c>
      <c r="BS853" t="s">
        <v>500</v>
      </c>
      <c r="BY853">
        <v>1200</v>
      </c>
      <c r="CC853" t="s">
        <v>514</v>
      </c>
      <c r="CD853">
        <v>6300</v>
      </c>
      <c r="CE853" t="s">
        <v>134</v>
      </c>
      <c r="CI853">
        <v>2</v>
      </c>
      <c r="CJ853" t="s">
        <v>500</v>
      </c>
      <c r="CK853">
        <v>23</v>
      </c>
      <c r="CL853" t="s">
        <v>87</v>
      </c>
    </row>
    <row r="854" spans="1:90" x14ac:dyDescent="0.3">
      <c r="A854" t="s">
        <v>72</v>
      </c>
      <c r="B854" t="s">
        <v>73</v>
      </c>
      <c r="C854" t="s">
        <v>74</v>
      </c>
      <c r="E854" t="str">
        <f>"080069705336"</f>
        <v>080069705336</v>
      </c>
      <c r="F854" s="3">
        <v>45996</v>
      </c>
      <c r="G854">
        <v>202609</v>
      </c>
      <c r="H854" t="s">
        <v>75</v>
      </c>
      <c r="I854" t="s">
        <v>76</v>
      </c>
      <c r="J854" t="s">
        <v>77</v>
      </c>
      <c r="K854" t="s">
        <v>78</v>
      </c>
      <c r="L854" t="s">
        <v>176</v>
      </c>
      <c r="M854" t="s">
        <v>177</v>
      </c>
      <c r="N854" t="s">
        <v>1531</v>
      </c>
      <c r="O854" t="s">
        <v>89</v>
      </c>
      <c r="P854" t="str">
        <f>"4170072276                    "</f>
        <v xml:space="preserve">4170072276                    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>
        <v>0</v>
      </c>
      <c r="AE854">
        <v>0</v>
      </c>
      <c r="AF854">
        <v>0</v>
      </c>
      <c r="AG854">
        <v>0</v>
      </c>
      <c r="AH854">
        <v>0</v>
      </c>
      <c r="AI854">
        <v>0</v>
      </c>
      <c r="AJ854">
        <v>0</v>
      </c>
      <c r="AK854">
        <v>0</v>
      </c>
      <c r="AL854">
        <v>0</v>
      </c>
      <c r="AM854">
        <v>0</v>
      </c>
      <c r="AN854">
        <v>0</v>
      </c>
      <c r="AO854">
        <v>0</v>
      </c>
      <c r="AP854">
        <v>0</v>
      </c>
      <c r="AQ854">
        <v>19.940000000000001</v>
      </c>
      <c r="AR854">
        <v>0</v>
      </c>
      <c r="AS854">
        <v>0</v>
      </c>
      <c r="AT854">
        <v>0</v>
      </c>
      <c r="AU854">
        <v>0</v>
      </c>
      <c r="AV854">
        <v>0</v>
      </c>
      <c r="AW854">
        <v>0</v>
      </c>
      <c r="AX854">
        <v>0</v>
      </c>
      <c r="AY854">
        <v>0</v>
      </c>
      <c r="AZ854">
        <v>0</v>
      </c>
      <c r="BA854">
        <v>0</v>
      </c>
      <c r="BB854">
        <v>0</v>
      </c>
      <c r="BC854">
        <v>0</v>
      </c>
      <c r="BD854">
        <v>0</v>
      </c>
      <c r="BE854">
        <v>0</v>
      </c>
      <c r="BF854">
        <v>0</v>
      </c>
      <c r="BG854">
        <v>0</v>
      </c>
      <c r="BH854">
        <v>1</v>
      </c>
      <c r="BI854">
        <v>1</v>
      </c>
      <c r="BJ854">
        <v>0.2</v>
      </c>
      <c r="BK854">
        <v>1</v>
      </c>
      <c r="BL854">
        <v>59.42</v>
      </c>
      <c r="BM854">
        <v>8.91</v>
      </c>
      <c r="BN854">
        <v>68.33</v>
      </c>
      <c r="BO854">
        <v>68.33</v>
      </c>
      <c r="BQ854" t="s">
        <v>1532</v>
      </c>
      <c r="BR854" t="s">
        <v>82</v>
      </c>
      <c r="BS854" t="s">
        <v>500</v>
      </c>
      <c r="BY854">
        <v>1200</v>
      </c>
      <c r="CC854" t="s">
        <v>177</v>
      </c>
      <c r="CD854">
        <v>2094</v>
      </c>
      <c r="CE854" t="s">
        <v>134</v>
      </c>
      <c r="CI854">
        <v>1</v>
      </c>
      <c r="CJ854" t="s">
        <v>500</v>
      </c>
      <c r="CK854">
        <v>22</v>
      </c>
      <c r="CL854" t="s">
        <v>87</v>
      </c>
    </row>
    <row r="855" spans="1:90" x14ac:dyDescent="0.3">
      <c r="A855" t="s">
        <v>72</v>
      </c>
      <c r="B855" t="s">
        <v>73</v>
      </c>
      <c r="C855" t="s">
        <v>74</v>
      </c>
      <c r="E855" t="str">
        <f>"080069705585"</f>
        <v>080069705585</v>
      </c>
      <c r="F855" s="3">
        <v>45996</v>
      </c>
      <c r="G855">
        <v>202609</v>
      </c>
      <c r="H855" t="s">
        <v>75</v>
      </c>
      <c r="I855" t="s">
        <v>76</v>
      </c>
      <c r="J855" t="s">
        <v>77</v>
      </c>
      <c r="K855" t="s">
        <v>78</v>
      </c>
      <c r="L855" t="s">
        <v>156</v>
      </c>
      <c r="M855" t="s">
        <v>157</v>
      </c>
      <c r="N855" t="s">
        <v>1181</v>
      </c>
      <c r="O855" t="s">
        <v>89</v>
      </c>
      <c r="P855" t="str">
        <f>"4170072183                    "</f>
        <v xml:space="preserve">4170072183                    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0</v>
      </c>
      <c r="AH855">
        <v>0</v>
      </c>
      <c r="AI855">
        <v>0</v>
      </c>
      <c r="AJ855">
        <v>0</v>
      </c>
      <c r="AK855">
        <v>0</v>
      </c>
      <c r="AL855">
        <v>0</v>
      </c>
      <c r="AM855">
        <v>0</v>
      </c>
      <c r="AN855">
        <v>0</v>
      </c>
      <c r="AO855">
        <v>0</v>
      </c>
      <c r="AP855">
        <v>0</v>
      </c>
      <c r="AQ855">
        <v>25.52</v>
      </c>
      <c r="AR855">
        <v>0</v>
      </c>
      <c r="AS855">
        <v>0</v>
      </c>
      <c r="AT855">
        <v>0</v>
      </c>
      <c r="AU855">
        <v>0</v>
      </c>
      <c r="AV855">
        <v>0</v>
      </c>
      <c r="AW855">
        <v>0</v>
      </c>
      <c r="AX855">
        <v>0</v>
      </c>
      <c r="AY855">
        <v>0</v>
      </c>
      <c r="AZ855">
        <v>0</v>
      </c>
      <c r="BA855">
        <v>0</v>
      </c>
      <c r="BB855">
        <v>0</v>
      </c>
      <c r="BC855">
        <v>0</v>
      </c>
      <c r="BD855">
        <v>0</v>
      </c>
      <c r="BE855">
        <v>0</v>
      </c>
      <c r="BF855">
        <v>0</v>
      </c>
      <c r="BG855">
        <v>0</v>
      </c>
      <c r="BH855">
        <v>1</v>
      </c>
      <c r="BI855">
        <v>1</v>
      </c>
      <c r="BJ855">
        <v>0.2</v>
      </c>
      <c r="BK855">
        <v>1</v>
      </c>
      <c r="BL855">
        <v>76.06</v>
      </c>
      <c r="BM855">
        <v>11.41</v>
      </c>
      <c r="BN855">
        <v>87.47</v>
      </c>
      <c r="BO855">
        <v>87.47</v>
      </c>
      <c r="BQ855" t="s">
        <v>1182</v>
      </c>
      <c r="BR855" t="s">
        <v>82</v>
      </c>
      <c r="BS855" t="s">
        <v>500</v>
      </c>
      <c r="BY855">
        <v>1200</v>
      </c>
      <c r="CC855" t="s">
        <v>157</v>
      </c>
      <c r="CD855">
        <v>7945</v>
      </c>
      <c r="CE855" t="s">
        <v>134</v>
      </c>
      <c r="CI855">
        <v>1</v>
      </c>
      <c r="CJ855" t="s">
        <v>500</v>
      </c>
      <c r="CK855">
        <v>21</v>
      </c>
      <c r="CL855" t="s">
        <v>87</v>
      </c>
    </row>
    <row r="856" spans="1:90" x14ac:dyDescent="0.3">
      <c r="A856" t="s">
        <v>72</v>
      </c>
      <c r="B856" t="s">
        <v>73</v>
      </c>
      <c r="C856" t="s">
        <v>74</v>
      </c>
      <c r="E856" t="str">
        <f>"080069705614"</f>
        <v>080069705614</v>
      </c>
      <c r="F856" s="3">
        <v>45996</v>
      </c>
      <c r="G856">
        <v>202609</v>
      </c>
      <c r="H856" t="s">
        <v>75</v>
      </c>
      <c r="I856" t="s">
        <v>76</v>
      </c>
      <c r="J856" t="s">
        <v>77</v>
      </c>
      <c r="K856" t="s">
        <v>78</v>
      </c>
      <c r="L856" t="s">
        <v>109</v>
      </c>
      <c r="M856" t="s">
        <v>110</v>
      </c>
      <c r="N856" t="s">
        <v>111</v>
      </c>
      <c r="O856" t="s">
        <v>89</v>
      </c>
      <c r="P856" t="str">
        <f>"4170072176                    "</f>
        <v xml:space="preserve">4170072176                    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>
        <v>0</v>
      </c>
      <c r="AE856">
        <v>0</v>
      </c>
      <c r="AF856">
        <v>0</v>
      </c>
      <c r="AG856">
        <v>0</v>
      </c>
      <c r="AH856">
        <v>0</v>
      </c>
      <c r="AI856">
        <v>0</v>
      </c>
      <c r="AJ856">
        <v>0</v>
      </c>
      <c r="AK856">
        <v>0</v>
      </c>
      <c r="AL856">
        <v>0</v>
      </c>
      <c r="AM856">
        <v>0</v>
      </c>
      <c r="AN856">
        <v>0</v>
      </c>
      <c r="AO856">
        <v>0</v>
      </c>
      <c r="AP856">
        <v>0</v>
      </c>
      <c r="AQ856">
        <v>35.9</v>
      </c>
      <c r="AR856">
        <v>0</v>
      </c>
      <c r="AS856">
        <v>0</v>
      </c>
      <c r="AT856">
        <v>0</v>
      </c>
      <c r="AU856">
        <v>0</v>
      </c>
      <c r="AV856">
        <v>0</v>
      </c>
      <c r="AW856">
        <v>0</v>
      </c>
      <c r="AX856">
        <v>0</v>
      </c>
      <c r="AY856">
        <v>0</v>
      </c>
      <c r="AZ856">
        <v>0</v>
      </c>
      <c r="BA856">
        <v>0</v>
      </c>
      <c r="BB856">
        <v>0</v>
      </c>
      <c r="BC856">
        <v>0</v>
      </c>
      <c r="BD856">
        <v>0</v>
      </c>
      <c r="BE856">
        <v>0</v>
      </c>
      <c r="BF856">
        <v>0</v>
      </c>
      <c r="BG856">
        <v>0</v>
      </c>
      <c r="BH856">
        <v>1</v>
      </c>
      <c r="BI856">
        <v>1</v>
      </c>
      <c r="BJ856">
        <v>0.2</v>
      </c>
      <c r="BK856">
        <v>1</v>
      </c>
      <c r="BL856">
        <v>106.98</v>
      </c>
      <c r="BM856">
        <v>16.05</v>
      </c>
      <c r="BN856">
        <v>123.03</v>
      </c>
      <c r="BO856">
        <v>123.03</v>
      </c>
      <c r="BQ856" t="s">
        <v>112</v>
      </c>
      <c r="BR856" t="s">
        <v>82</v>
      </c>
      <c r="BS856" t="s">
        <v>500</v>
      </c>
      <c r="BY856">
        <v>1200</v>
      </c>
      <c r="CC856" t="s">
        <v>110</v>
      </c>
      <c r="CD856">
        <v>1748</v>
      </c>
      <c r="CE856" t="s">
        <v>134</v>
      </c>
      <c r="CI856">
        <v>1</v>
      </c>
      <c r="CJ856" t="s">
        <v>500</v>
      </c>
      <c r="CK856">
        <v>24</v>
      </c>
      <c r="CL856" t="s">
        <v>87</v>
      </c>
    </row>
    <row r="857" spans="1:90" x14ac:dyDescent="0.3">
      <c r="A857" t="s">
        <v>72</v>
      </c>
      <c r="B857" t="s">
        <v>73</v>
      </c>
      <c r="C857" t="s">
        <v>74</v>
      </c>
      <c r="E857" t="str">
        <f>"080069705650"</f>
        <v>080069705650</v>
      </c>
      <c r="F857" s="3">
        <v>45996</v>
      </c>
      <c r="G857">
        <v>202609</v>
      </c>
      <c r="H857" t="s">
        <v>75</v>
      </c>
      <c r="I857" t="s">
        <v>76</v>
      </c>
      <c r="J857" t="s">
        <v>77</v>
      </c>
      <c r="K857" t="s">
        <v>78</v>
      </c>
      <c r="L857" t="s">
        <v>100</v>
      </c>
      <c r="M857" t="s">
        <v>101</v>
      </c>
      <c r="N857" t="s">
        <v>102</v>
      </c>
      <c r="O857" t="s">
        <v>89</v>
      </c>
      <c r="P857" t="str">
        <f>"4170072200                    "</f>
        <v xml:space="preserve">4170072200                    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0</v>
      </c>
      <c r="AF857">
        <v>0</v>
      </c>
      <c r="AG857">
        <v>0</v>
      </c>
      <c r="AH857">
        <v>0</v>
      </c>
      <c r="AI857">
        <v>0</v>
      </c>
      <c r="AJ857">
        <v>0</v>
      </c>
      <c r="AK857">
        <v>0</v>
      </c>
      <c r="AL857">
        <v>0</v>
      </c>
      <c r="AM857">
        <v>0</v>
      </c>
      <c r="AN857">
        <v>0</v>
      </c>
      <c r="AO857">
        <v>0</v>
      </c>
      <c r="AP857">
        <v>0</v>
      </c>
      <c r="AQ857">
        <v>25.52</v>
      </c>
      <c r="AR857">
        <v>0</v>
      </c>
      <c r="AS857">
        <v>0</v>
      </c>
      <c r="AT857">
        <v>0</v>
      </c>
      <c r="AU857">
        <v>0</v>
      </c>
      <c r="AV857">
        <v>0</v>
      </c>
      <c r="AW857">
        <v>0</v>
      </c>
      <c r="AX857">
        <v>0</v>
      </c>
      <c r="AY857">
        <v>0</v>
      </c>
      <c r="AZ857">
        <v>0</v>
      </c>
      <c r="BA857">
        <v>0</v>
      </c>
      <c r="BB857">
        <v>0</v>
      </c>
      <c r="BC857">
        <v>0</v>
      </c>
      <c r="BD857">
        <v>0</v>
      </c>
      <c r="BE857">
        <v>0</v>
      </c>
      <c r="BF857">
        <v>0</v>
      </c>
      <c r="BG857">
        <v>0</v>
      </c>
      <c r="BH857">
        <v>1</v>
      </c>
      <c r="BI857">
        <v>1</v>
      </c>
      <c r="BJ857">
        <v>0.2</v>
      </c>
      <c r="BK857">
        <v>1</v>
      </c>
      <c r="BL857">
        <v>76.06</v>
      </c>
      <c r="BM857">
        <v>11.41</v>
      </c>
      <c r="BN857">
        <v>87.47</v>
      </c>
      <c r="BO857">
        <v>87.47</v>
      </c>
      <c r="BQ857" t="s">
        <v>103</v>
      </c>
      <c r="BR857" t="s">
        <v>82</v>
      </c>
      <c r="BS857" s="3">
        <v>45999</v>
      </c>
      <c r="BT857" s="4">
        <v>0.33541666666666664</v>
      </c>
      <c r="BU857" t="s">
        <v>1479</v>
      </c>
      <c r="BV857" t="s">
        <v>84</v>
      </c>
      <c r="BY857">
        <v>1200</v>
      </c>
      <c r="CA857" t="s">
        <v>107</v>
      </c>
      <c r="CC857" t="s">
        <v>101</v>
      </c>
      <c r="CD857">
        <v>4051</v>
      </c>
      <c r="CE857" t="s">
        <v>134</v>
      </c>
      <c r="CI857">
        <v>1</v>
      </c>
      <c r="CJ857">
        <v>1</v>
      </c>
      <c r="CK857">
        <v>21</v>
      </c>
      <c r="CL857" t="s">
        <v>87</v>
      </c>
    </row>
    <row r="858" spans="1:90" x14ac:dyDescent="0.3">
      <c r="A858" t="s">
        <v>72</v>
      </c>
      <c r="B858" t="s">
        <v>73</v>
      </c>
      <c r="C858" t="s">
        <v>74</v>
      </c>
      <c r="E858" t="str">
        <f>"080069705697"</f>
        <v>080069705697</v>
      </c>
      <c r="F858" s="3">
        <v>45996</v>
      </c>
      <c r="G858">
        <v>202609</v>
      </c>
      <c r="H858" t="s">
        <v>75</v>
      </c>
      <c r="I858" t="s">
        <v>76</v>
      </c>
      <c r="J858" t="s">
        <v>77</v>
      </c>
      <c r="K858" t="s">
        <v>78</v>
      </c>
      <c r="L858" t="s">
        <v>465</v>
      </c>
      <c r="M858" t="s">
        <v>466</v>
      </c>
      <c r="N858" t="s">
        <v>717</v>
      </c>
      <c r="O858" t="s">
        <v>89</v>
      </c>
      <c r="P858" t="str">
        <f>"4170072089                    "</f>
        <v xml:space="preserve">4170072089                    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0</v>
      </c>
      <c r="AF858">
        <v>0</v>
      </c>
      <c r="AG858">
        <v>0</v>
      </c>
      <c r="AH858">
        <v>0</v>
      </c>
      <c r="AI858">
        <v>0</v>
      </c>
      <c r="AJ858">
        <v>0</v>
      </c>
      <c r="AK858">
        <v>0</v>
      </c>
      <c r="AL858">
        <v>0</v>
      </c>
      <c r="AM858">
        <v>0</v>
      </c>
      <c r="AN858">
        <v>0</v>
      </c>
      <c r="AO858">
        <v>0</v>
      </c>
      <c r="AP858">
        <v>0</v>
      </c>
      <c r="AQ858">
        <v>19.940000000000001</v>
      </c>
      <c r="AR858">
        <v>0</v>
      </c>
      <c r="AS858">
        <v>0</v>
      </c>
      <c r="AT858">
        <v>0</v>
      </c>
      <c r="AU858">
        <v>0</v>
      </c>
      <c r="AV858">
        <v>0</v>
      </c>
      <c r="AW858">
        <v>0</v>
      </c>
      <c r="AX858">
        <v>0</v>
      </c>
      <c r="AY858">
        <v>0</v>
      </c>
      <c r="AZ858">
        <v>0</v>
      </c>
      <c r="BA858">
        <v>0</v>
      </c>
      <c r="BB858">
        <v>0</v>
      </c>
      <c r="BC858">
        <v>0</v>
      </c>
      <c r="BD858">
        <v>0</v>
      </c>
      <c r="BE858">
        <v>0</v>
      </c>
      <c r="BF858">
        <v>0</v>
      </c>
      <c r="BG858">
        <v>0</v>
      </c>
      <c r="BH858">
        <v>1</v>
      </c>
      <c r="BI858">
        <v>1</v>
      </c>
      <c r="BJ858">
        <v>0.2</v>
      </c>
      <c r="BK858">
        <v>1</v>
      </c>
      <c r="BL858">
        <v>59.42</v>
      </c>
      <c r="BM858">
        <v>8.91</v>
      </c>
      <c r="BN858">
        <v>68.33</v>
      </c>
      <c r="BO858">
        <v>68.33</v>
      </c>
      <c r="BQ858" t="s">
        <v>718</v>
      </c>
      <c r="BR858" t="s">
        <v>82</v>
      </c>
      <c r="BS858" t="s">
        <v>500</v>
      </c>
      <c r="BY858">
        <v>1200</v>
      </c>
      <c r="CC858" t="s">
        <v>466</v>
      </c>
      <c r="CD858">
        <v>1422</v>
      </c>
      <c r="CE858" t="s">
        <v>134</v>
      </c>
      <c r="CI858">
        <v>1</v>
      </c>
      <c r="CJ858" t="s">
        <v>500</v>
      </c>
      <c r="CK858">
        <v>22</v>
      </c>
      <c r="CL858" t="s">
        <v>87</v>
      </c>
    </row>
    <row r="859" spans="1:90" x14ac:dyDescent="0.3">
      <c r="A859" t="s">
        <v>72</v>
      </c>
      <c r="B859" t="s">
        <v>73</v>
      </c>
      <c r="C859" t="s">
        <v>74</v>
      </c>
      <c r="E859" t="str">
        <f>"080069705723"</f>
        <v>080069705723</v>
      </c>
      <c r="F859" s="3">
        <v>45996</v>
      </c>
      <c r="G859">
        <v>202609</v>
      </c>
      <c r="H859" t="s">
        <v>75</v>
      </c>
      <c r="I859" t="s">
        <v>76</v>
      </c>
      <c r="J859" t="s">
        <v>77</v>
      </c>
      <c r="K859" t="s">
        <v>78</v>
      </c>
      <c r="L859" t="s">
        <v>156</v>
      </c>
      <c r="M859" t="s">
        <v>157</v>
      </c>
      <c r="N859" t="s">
        <v>863</v>
      </c>
      <c r="O859" t="s">
        <v>89</v>
      </c>
      <c r="P859" t="str">
        <f>"4170072207                    "</f>
        <v xml:space="preserve">4170072207                    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  <c r="AD859">
        <v>0</v>
      </c>
      <c r="AE859">
        <v>0</v>
      </c>
      <c r="AF859">
        <v>0</v>
      </c>
      <c r="AG859">
        <v>0</v>
      </c>
      <c r="AH859">
        <v>0</v>
      </c>
      <c r="AI859">
        <v>0</v>
      </c>
      <c r="AJ859">
        <v>0</v>
      </c>
      <c r="AK859">
        <v>0</v>
      </c>
      <c r="AL859">
        <v>0</v>
      </c>
      <c r="AM859">
        <v>0</v>
      </c>
      <c r="AN859">
        <v>0</v>
      </c>
      <c r="AO859">
        <v>0</v>
      </c>
      <c r="AP859">
        <v>0</v>
      </c>
      <c r="AQ859">
        <v>25.52</v>
      </c>
      <c r="AR859">
        <v>0</v>
      </c>
      <c r="AS859">
        <v>0</v>
      </c>
      <c r="AT859">
        <v>0</v>
      </c>
      <c r="AU859">
        <v>0</v>
      </c>
      <c r="AV859">
        <v>0</v>
      </c>
      <c r="AW859">
        <v>0</v>
      </c>
      <c r="AX859">
        <v>0</v>
      </c>
      <c r="AY859">
        <v>0</v>
      </c>
      <c r="AZ859">
        <v>0</v>
      </c>
      <c r="BA859">
        <v>0</v>
      </c>
      <c r="BB859">
        <v>0</v>
      </c>
      <c r="BC859">
        <v>0</v>
      </c>
      <c r="BD859">
        <v>0</v>
      </c>
      <c r="BE859">
        <v>0</v>
      </c>
      <c r="BF859">
        <v>0</v>
      </c>
      <c r="BG859">
        <v>0</v>
      </c>
      <c r="BH859">
        <v>1</v>
      </c>
      <c r="BI859">
        <v>1</v>
      </c>
      <c r="BJ859">
        <v>0.2</v>
      </c>
      <c r="BK859">
        <v>1</v>
      </c>
      <c r="BL859">
        <v>76.06</v>
      </c>
      <c r="BM859">
        <v>11.41</v>
      </c>
      <c r="BN859">
        <v>87.47</v>
      </c>
      <c r="BO859">
        <v>87.47</v>
      </c>
      <c r="BQ859" t="s">
        <v>864</v>
      </c>
      <c r="BR859" t="s">
        <v>82</v>
      </c>
      <c r="BS859" t="s">
        <v>500</v>
      </c>
      <c r="BY859">
        <v>1200</v>
      </c>
      <c r="CC859" t="s">
        <v>157</v>
      </c>
      <c r="CD859">
        <v>7550</v>
      </c>
      <c r="CE859" t="s">
        <v>134</v>
      </c>
      <c r="CI859">
        <v>1</v>
      </c>
      <c r="CJ859" t="s">
        <v>500</v>
      </c>
      <c r="CK859">
        <v>21</v>
      </c>
      <c r="CL859" t="s">
        <v>87</v>
      </c>
    </row>
    <row r="860" spans="1:90" x14ac:dyDescent="0.3">
      <c r="A860" t="s">
        <v>72</v>
      </c>
      <c r="B860" t="s">
        <v>73</v>
      </c>
      <c r="C860" t="s">
        <v>74</v>
      </c>
      <c r="E860" t="str">
        <f>"080069705747"</f>
        <v>080069705747</v>
      </c>
      <c r="F860" s="3">
        <v>45996</v>
      </c>
      <c r="G860">
        <v>202609</v>
      </c>
      <c r="H860" t="s">
        <v>75</v>
      </c>
      <c r="I860" t="s">
        <v>76</v>
      </c>
      <c r="J860" t="s">
        <v>77</v>
      </c>
      <c r="K860" t="s">
        <v>78</v>
      </c>
      <c r="L860" t="s">
        <v>75</v>
      </c>
      <c r="M860" t="s">
        <v>76</v>
      </c>
      <c r="N860" t="s">
        <v>195</v>
      </c>
      <c r="O860" t="s">
        <v>89</v>
      </c>
      <c r="P860" t="str">
        <f>"4170072117                    "</f>
        <v xml:space="preserve">4170072117                    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0</v>
      </c>
      <c r="AE860">
        <v>0</v>
      </c>
      <c r="AF860">
        <v>0</v>
      </c>
      <c r="AG860">
        <v>0</v>
      </c>
      <c r="AH860">
        <v>0</v>
      </c>
      <c r="AI860">
        <v>0</v>
      </c>
      <c r="AJ860">
        <v>0</v>
      </c>
      <c r="AK860">
        <v>0</v>
      </c>
      <c r="AL860">
        <v>0</v>
      </c>
      <c r="AM860">
        <v>0</v>
      </c>
      <c r="AN860">
        <v>0</v>
      </c>
      <c r="AO860">
        <v>0</v>
      </c>
      <c r="AP860">
        <v>0</v>
      </c>
      <c r="AQ860">
        <v>19.940000000000001</v>
      </c>
      <c r="AR860">
        <v>0</v>
      </c>
      <c r="AS860">
        <v>0</v>
      </c>
      <c r="AT860">
        <v>0</v>
      </c>
      <c r="AU860">
        <v>0</v>
      </c>
      <c r="AV860">
        <v>0</v>
      </c>
      <c r="AW860">
        <v>0</v>
      </c>
      <c r="AX860">
        <v>0</v>
      </c>
      <c r="AY860">
        <v>0</v>
      </c>
      <c r="AZ860">
        <v>0</v>
      </c>
      <c r="BA860">
        <v>0</v>
      </c>
      <c r="BB860">
        <v>0</v>
      </c>
      <c r="BC860">
        <v>0</v>
      </c>
      <c r="BD860">
        <v>0</v>
      </c>
      <c r="BE860">
        <v>0</v>
      </c>
      <c r="BF860">
        <v>0</v>
      </c>
      <c r="BG860">
        <v>0</v>
      </c>
      <c r="BH860">
        <v>1</v>
      </c>
      <c r="BI860">
        <v>1</v>
      </c>
      <c r="BJ860">
        <v>0.2</v>
      </c>
      <c r="BK860">
        <v>1</v>
      </c>
      <c r="BL860">
        <v>59.42</v>
      </c>
      <c r="BM860">
        <v>8.91</v>
      </c>
      <c r="BN860">
        <v>68.33</v>
      </c>
      <c r="BO860">
        <v>68.33</v>
      </c>
      <c r="BQ860" t="s">
        <v>196</v>
      </c>
      <c r="BR860" t="s">
        <v>82</v>
      </c>
      <c r="BS860" s="3">
        <v>45999</v>
      </c>
      <c r="BT860" s="4">
        <v>0.32013888888888886</v>
      </c>
      <c r="BU860" t="s">
        <v>83</v>
      </c>
      <c r="BV860" t="s">
        <v>84</v>
      </c>
      <c r="BY860">
        <v>1200</v>
      </c>
      <c r="CA860" t="s">
        <v>92</v>
      </c>
      <c r="CC860" t="s">
        <v>76</v>
      </c>
      <c r="CD860">
        <v>1600</v>
      </c>
      <c r="CE860" t="s">
        <v>134</v>
      </c>
      <c r="CI860">
        <v>1</v>
      </c>
      <c r="CJ860">
        <v>1</v>
      </c>
      <c r="CK860">
        <v>22</v>
      </c>
      <c r="CL860" t="s">
        <v>87</v>
      </c>
    </row>
    <row r="861" spans="1:90" x14ac:dyDescent="0.3">
      <c r="A861" t="s">
        <v>72</v>
      </c>
      <c r="B861" t="s">
        <v>73</v>
      </c>
      <c r="C861" t="s">
        <v>74</v>
      </c>
      <c r="E861" t="str">
        <f>"080069705758"</f>
        <v>080069705758</v>
      </c>
      <c r="F861" s="3">
        <v>45996</v>
      </c>
      <c r="G861">
        <v>202609</v>
      </c>
      <c r="H861" t="s">
        <v>75</v>
      </c>
      <c r="I861" t="s">
        <v>76</v>
      </c>
      <c r="J861" t="s">
        <v>77</v>
      </c>
      <c r="K861" t="s">
        <v>78</v>
      </c>
      <c r="L861" t="s">
        <v>302</v>
      </c>
      <c r="M861" t="s">
        <v>303</v>
      </c>
      <c r="N861" t="s">
        <v>425</v>
      </c>
      <c r="O861" t="s">
        <v>89</v>
      </c>
      <c r="P861" t="str">
        <f>"4170072056                    "</f>
        <v xml:space="preserve">4170072056                    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0</v>
      </c>
      <c r="AD861">
        <v>0</v>
      </c>
      <c r="AE861">
        <v>0</v>
      </c>
      <c r="AF861">
        <v>0</v>
      </c>
      <c r="AG861">
        <v>0</v>
      </c>
      <c r="AH861">
        <v>0</v>
      </c>
      <c r="AI861">
        <v>0</v>
      </c>
      <c r="AJ861">
        <v>0</v>
      </c>
      <c r="AK861">
        <v>0</v>
      </c>
      <c r="AL861">
        <v>0</v>
      </c>
      <c r="AM861">
        <v>0</v>
      </c>
      <c r="AN861">
        <v>0</v>
      </c>
      <c r="AO861">
        <v>0</v>
      </c>
      <c r="AP861">
        <v>0</v>
      </c>
      <c r="AQ861">
        <v>25.52</v>
      </c>
      <c r="AR861">
        <v>0</v>
      </c>
      <c r="AS861">
        <v>0</v>
      </c>
      <c r="AT861">
        <v>0</v>
      </c>
      <c r="AU861">
        <v>0</v>
      </c>
      <c r="AV861">
        <v>0</v>
      </c>
      <c r="AW861">
        <v>0</v>
      </c>
      <c r="AX861">
        <v>0</v>
      </c>
      <c r="AY861">
        <v>0</v>
      </c>
      <c r="AZ861">
        <v>0</v>
      </c>
      <c r="BA861">
        <v>0</v>
      </c>
      <c r="BB861">
        <v>0</v>
      </c>
      <c r="BC861">
        <v>0</v>
      </c>
      <c r="BD861">
        <v>0</v>
      </c>
      <c r="BE861">
        <v>0</v>
      </c>
      <c r="BF861">
        <v>0</v>
      </c>
      <c r="BG861">
        <v>0</v>
      </c>
      <c r="BH861">
        <v>1</v>
      </c>
      <c r="BI861">
        <v>1</v>
      </c>
      <c r="BJ861">
        <v>0</v>
      </c>
      <c r="BK861">
        <v>1</v>
      </c>
      <c r="BL861">
        <v>76.06</v>
      </c>
      <c r="BM861">
        <v>11.41</v>
      </c>
      <c r="BN861">
        <v>87.47</v>
      </c>
      <c r="BO861">
        <v>87.47</v>
      </c>
      <c r="BQ861" t="s">
        <v>426</v>
      </c>
      <c r="BR861" t="s">
        <v>82</v>
      </c>
      <c r="BS861" s="3">
        <v>45999</v>
      </c>
      <c r="BT861" s="4">
        <v>0.30208333333333331</v>
      </c>
      <c r="BU861" t="s">
        <v>522</v>
      </c>
      <c r="BV861" t="s">
        <v>84</v>
      </c>
      <c r="BY861">
        <v>120</v>
      </c>
      <c r="CA861">
        <v>7712195338085</v>
      </c>
      <c r="CC861" t="s">
        <v>303</v>
      </c>
      <c r="CD861" s="5" t="s">
        <v>350</v>
      </c>
      <c r="CE861" t="s">
        <v>134</v>
      </c>
      <c r="CI861">
        <v>1</v>
      </c>
      <c r="CJ861">
        <v>1</v>
      </c>
      <c r="CK861">
        <v>21</v>
      </c>
      <c r="CL861" t="s">
        <v>87</v>
      </c>
    </row>
    <row r="862" spans="1:90" x14ac:dyDescent="0.3">
      <c r="A862" t="s">
        <v>72</v>
      </c>
      <c r="B862" t="s">
        <v>73</v>
      </c>
      <c r="C862" t="s">
        <v>74</v>
      </c>
      <c r="E862" t="str">
        <f>"080069705805"</f>
        <v>080069705805</v>
      </c>
      <c r="F862" s="3">
        <v>45996</v>
      </c>
      <c r="G862">
        <v>202609</v>
      </c>
      <c r="H862" t="s">
        <v>75</v>
      </c>
      <c r="I862" t="s">
        <v>76</v>
      </c>
      <c r="J862" t="s">
        <v>77</v>
      </c>
      <c r="K862" t="s">
        <v>78</v>
      </c>
      <c r="L862" t="s">
        <v>100</v>
      </c>
      <c r="M862" t="s">
        <v>101</v>
      </c>
      <c r="N862" t="s">
        <v>498</v>
      </c>
      <c r="O862" t="s">
        <v>89</v>
      </c>
      <c r="P862" t="str">
        <f>"4170072232                    "</f>
        <v xml:space="preserve">4170072232                    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0</v>
      </c>
      <c r="AC862">
        <v>0</v>
      </c>
      <c r="AD862">
        <v>0</v>
      </c>
      <c r="AE862">
        <v>0</v>
      </c>
      <c r="AF862">
        <v>0</v>
      </c>
      <c r="AG862">
        <v>0</v>
      </c>
      <c r="AH862">
        <v>0</v>
      </c>
      <c r="AI862">
        <v>0</v>
      </c>
      <c r="AJ862">
        <v>0</v>
      </c>
      <c r="AK862">
        <v>0</v>
      </c>
      <c r="AL862">
        <v>0</v>
      </c>
      <c r="AM862">
        <v>0</v>
      </c>
      <c r="AN862">
        <v>0</v>
      </c>
      <c r="AO862">
        <v>0</v>
      </c>
      <c r="AP862">
        <v>0</v>
      </c>
      <c r="AQ862">
        <v>25.52</v>
      </c>
      <c r="AR862">
        <v>0</v>
      </c>
      <c r="AS862">
        <v>0</v>
      </c>
      <c r="AT862">
        <v>0</v>
      </c>
      <c r="AU862">
        <v>0</v>
      </c>
      <c r="AV862">
        <v>0</v>
      </c>
      <c r="AW862">
        <v>0</v>
      </c>
      <c r="AX862">
        <v>0</v>
      </c>
      <c r="AY862">
        <v>0</v>
      </c>
      <c r="AZ862">
        <v>0</v>
      </c>
      <c r="BA862">
        <v>0</v>
      </c>
      <c r="BB862">
        <v>0</v>
      </c>
      <c r="BC862">
        <v>0</v>
      </c>
      <c r="BD862">
        <v>0</v>
      </c>
      <c r="BE862">
        <v>0</v>
      </c>
      <c r="BF862">
        <v>0</v>
      </c>
      <c r="BG862">
        <v>0</v>
      </c>
      <c r="BH862">
        <v>1</v>
      </c>
      <c r="BI862">
        <v>1</v>
      </c>
      <c r="BJ862">
        <v>0.2</v>
      </c>
      <c r="BK862">
        <v>1</v>
      </c>
      <c r="BL862">
        <v>76.06</v>
      </c>
      <c r="BM862">
        <v>11.41</v>
      </c>
      <c r="BN862">
        <v>87.47</v>
      </c>
      <c r="BO862">
        <v>87.47</v>
      </c>
      <c r="BQ862" t="s">
        <v>499</v>
      </c>
      <c r="BR862" t="s">
        <v>82</v>
      </c>
      <c r="BS862" t="s">
        <v>500</v>
      </c>
      <c r="BY862">
        <v>1200</v>
      </c>
      <c r="CC862" t="s">
        <v>101</v>
      </c>
      <c r="CD862">
        <v>4052</v>
      </c>
      <c r="CE862" t="s">
        <v>134</v>
      </c>
      <c r="CI862">
        <v>1</v>
      </c>
      <c r="CJ862" t="s">
        <v>500</v>
      </c>
      <c r="CK862">
        <v>21</v>
      </c>
      <c r="CL862" t="s">
        <v>87</v>
      </c>
    </row>
    <row r="863" spans="1:90" x14ac:dyDescent="0.3">
      <c r="A863" t="s">
        <v>72</v>
      </c>
      <c r="B863" t="s">
        <v>73</v>
      </c>
      <c r="C863" t="s">
        <v>74</v>
      </c>
      <c r="E863" t="str">
        <f>"080069705800"</f>
        <v>080069705800</v>
      </c>
      <c r="F863" s="3">
        <v>45996</v>
      </c>
      <c r="G863">
        <v>202609</v>
      </c>
      <c r="H863" t="s">
        <v>75</v>
      </c>
      <c r="I863" t="s">
        <v>76</v>
      </c>
      <c r="J863" t="s">
        <v>77</v>
      </c>
      <c r="K863" t="s">
        <v>78</v>
      </c>
      <c r="L863" t="s">
        <v>465</v>
      </c>
      <c r="M863" t="s">
        <v>466</v>
      </c>
      <c r="N863" t="s">
        <v>1533</v>
      </c>
      <c r="O863" t="s">
        <v>89</v>
      </c>
      <c r="P863" t="str">
        <f>"4170072121                    "</f>
        <v xml:space="preserve">4170072121                    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0</v>
      </c>
      <c r="AG863">
        <v>0</v>
      </c>
      <c r="AH863">
        <v>0</v>
      </c>
      <c r="AI863">
        <v>0</v>
      </c>
      <c r="AJ863">
        <v>0</v>
      </c>
      <c r="AK863">
        <v>0</v>
      </c>
      <c r="AL863">
        <v>0</v>
      </c>
      <c r="AM863">
        <v>0</v>
      </c>
      <c r="AN863">
        <v>0</v>
      </c>
      <c r="AO863">
        <v>0</v>
      </c>
      <c r="AP863">
        <v>0</v>
      </c>
      <c r="AQ863">
        <v>19.940000000000001</v>
      </c>
      <c r="AR863">
        <v>0</v>
      </c>
      <c r="AS863">
        <v>0</v>
      </c>
      <c r="AT863">
        <v>0</v>
      </c>
      <c r="AU863">
        <v>0</v>
      </c>
      <c r="AV863">
        <v>0</v>
      </c>
      <c r="AW863">
        <v>0</v>
      </c>
      <c r="AX863">
        <v>0</v>
      </c>
      <c r="AY863">
        <v>0</v>
      </c>
      <c r="AZ863">
        <v>0</v>
      </c>
      <c r="BA863">
        <v>0</v>
      </c>
      <c r="BB863">
        <v>0</v>
      </c>
      <c r="BC863">
        <v>0</v>
      </c>
      <c r="BD863">
        <v>0</v>
      </c>
      <c r="BE863">
        <v>0</v>
      </c>
      <c r="BF863">
        <v>0</v>
      </c>
      <c r="BG863">
        <v>0</v>
      </c>
      <c r="BH863">
        <v>1</v>
      </c>
      <c r="BI863">
        <v>1</v>
      </c>
      <c r="BJ863">
        <v>0.2</v>
      </c>
      <c r="BK863">
        <v>1</v>
      </c>
      <c r="BL863">
        <v>59.42</v>
      </c>
      <c r="BM863">
        <v>8.91</v>
      </c>
      <c r="BN863">
        <v>68.33</v>
      </c>
      <c r="BO863">
        <v>68.33</v>
      </c>
      <c r="BQ863" t="s">
        <v>1534</v>
      </c>
      <c r="BR863" t="s">
        <v>82</v>
      </c>
      <c r="BS863" t="s">
        <v>500</v>
      </c>
      <c r="BY863">
        <v>1200</v>
      </c>
      <c r="CC863" t="s">
        <v>466</v>
      </c>
      <c r="CD863">
        <v>1401</v>
      </c>
      <c r="CE863" t="s">
        <v>134</v>
      </c>
      <c r="CI863">
        <v>1</v>
      </c>
      <c r="CJ863" t="s">
        <v>500</v>
      </c>
      <c r="CK863">
        <v>22</v>
      </c>
      <c r="CL863" t="s">
        <v>87</v>
      </c>
    </row>
    <row r="864" spans="1:90" x14ac:dyDescent="0.3">
      <c r="A864" t="s">
        <v>72</v>
      </c>
      <c r="B864" t="s">
        <v>73</v>
      </c>
      <c r="C864" t="s">
        <v>74</v>
      </c>
      <c r="E864" t="str">
        <f>"080069705786"</f>
        <v>080069705786</v>
      </c>
      <c r="F864" s="3">
        <v>45996</v>
      </c>
      <c r="G864">
        <v>202609</v>
      </c>
      <c r="H864" t="s">
        <v>75</v>
      </c>
      <c r="I864" t="s">
        <v>76</v>
      </c>
      <c r="J864" t="s">
        <v>77</v>
      </c>
      <c r="K864" t="s">
        <v>78</v>
      </c>
      <c r="L864" t="s">
        <v>156</v>
      </c>
      <c r="M864" t="s">
        <v>157</v>
      </c>
      <c r="N864" t="s">
        <v>1535</v>
      </c>
      <c r="O864" t="s">
        <v>89</v>
      </c>
      <c r="P864" t="str">
        <f>"4170072064                    "</f>
        <v xml:space="preserve">4170072064                    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0</v>
      </c>
      <c r="AF864">
        <v>0</v>
      </c>
      <c r="AG864">
        <v>0</v>
      </c>
      <c r="AH864">
        <v>0</v>
      </c>
      <c r="AI864">
        <v>0</v>
      </c>
      <c r="AJ864">
        <v>0</v>
      </c>
      <c r="AK864">
        <v>0</v>
      </c>
      <c r="AL864">
        <v>0</v>
      </c>
      <c r="AM864">
        <v>0</v>
      </c>
      <c r="AN864">
        <v>0</v>
      </c>
      <c r="AO864">
        <v>0</v>
      </c>
      <c r="AP864">
        <v>0</v>
      </c>
      <c r="AQ864">
        <v>25.52</v>
      </c>
      <c r="AR864">
        <v>0</v>
      </c>
      <c r="AS864">
        <v>0</v>
      </c>
      <c r="AT864">
        <v>0</v>
      </c>
      <c r="AU864">
        <v>0</v>
      </c>
      <c r="AV864">
        <v>0</v>
      </c>
      <c r="AW864">
        <v>0</v>
      </c>
      <c r="AX864">
        <v>0</v>
      </c>
      <c r="AY864">
        <v>0</v>
      </c>
      <c r="AZ864">
        <v>0</v>
      </c>
      <c r="BA864">
        <v>0</v>
      </c>
      <c r="BB864">
        <v>0</v>
      </c>
      <c r="BC864">
        <v>0</v>
      </c>
      <c r="BD864">
        <v>0</v>
      </c>
      <c r="BE864">
        <v>0</v>
      </c>
      <c r="BF864">
        <v>0</v>
      </c>
      <c r="BG864">
        <v>0</v>
      </c>
      <c r="BH864">
        <v>1</v>
      </c>
      <c r="BI864">
        <v>1</v>
      </c>
      <c r="BJ864">
        <v>0.2</v>
      </c>
      <c r="BK864">
        <v>1</v>
      </c>
      <c r="BL864">
        <v>76.06</v>
      </c>
      <c r="BM864">
        <v>11.41</v>
      </c>
      <c r="BN864">
        <v>87.47</v>
      </c>
      <c r="BO864">
        <v>87.47</v>
      </c>
      <c r="BQ864" t="s">
        <v>1536</v>
      </c>
      <c r="BR864" t="s">
        <v>82</v>
      </c>
      <c r="BS864" t="s">
        <v>500</v>
      </c>
      <c r="BY864">
        <v>1200</v>
      </c>
      <c r="CC864" t="s">
        <v>157</v>
      </c>
      <c r="CD864">
        <v>7480</v>
      </c>
      <c r="CE864" t="s">
        <v>134</v>
      </c>
      <c r="CI864">
        <v>1</v>
      </c>
      <c r="CJ864" t="s">
        <v>500</v>
      </c>
      <c r="CK864">
        <v>21</v>
      </c>
      <c r="CL864" t="s">
        <v>87</v>
      </c>
    </row>
    <row r="865" spans="1:90" x14ac:dyDescent="0.3">
      <c r="A865" t="s">
        <v>72</v>
      </c>
      <c r="B865" t="s">
        <v>73</v>
      </c>
      <c r="C865" t="s">
        <v>74</v>
      </c>
      <c r="E865" t="str">
        <f>"080069705821"</f>
        <v>080069705821</v>
      </c>
      <c r="F865" s="3">
        <v>45996</v>
      </c>
      <c r="G865">
        <v>202609</v>
      </c>
      <c r="H865" t="s">
        <v>75</v>
      </c>
      <c r="I865" t="s">
        <v>76</v>
      </c>
      <c r="J865" t="s">
        <v>77</v>
      </c>
      <c r="K865" t="s">
        <v>78</v>
      </c>
      <c r="L865" t="s">
        <v>75</v>
      </c>
      <c r="M865" t="s">
        <v>76</v>
      </c>
      <c r="N865" t="s">
        <v>328</v>
      </c>
      <c r="O865" t="s">
        <v>89</v>
      </c>
      <c r="P865" t="str">
        <f>"4170072051                    "</f>
        <v xml:space="preserve">4170072051                    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  <c r="AD865">
        <v>0</v>
      </c>
      <c r="AE865">
        <v>0</v>
      </c>
      <c r="AF865">
        <v>0</v>
      </c>
      <c r="AG865">
        <v>0</v>
      </c>
      <c r="AH865">
        <v>0</v>
      </c>
      <c r="AI865">
        <v>0</v>
      </c>
      <c r="AJ865">
        <v>0</v>
      </c>
      <c r="AK865">
        <v>0</v>
      </c>
      <c r="AL865">
        <v>0</v>
      </c>
      <c r="AM865">
        <v>0</v>
      </c>
      <c r="AN865">
        <v>0</v>
      </c>
      <c r="AO865">
        <v>0</v>
      </c>
      <c r="AP865">
        <v>0</v>
      </c>
      <c r="AQ865">
        <v>19.940000000000001</v>
      </c>
      <c r="AR865">
        <v>0</v>
      </c>
      <c r="AS865">
        <v>0</v>
      </c>
      <c r="AT865">
        <v>0</v>
      </c>
      <c r="AU865">
        <v>0</v>
      </c>
      <c r="AV865">
        <v>0</v>
      </c>
      <c r="AW865">
        <v>0</v>
      </c>
      <c r="AX865">
        <v>0</v>
      </c>
      <c r="AY865">
        <v>0</v>
      </c>
      <c r="AZ865">
        <v>0</v>
      </c>
      <c r="BA865">
        <v>0</v>
      </c>
      <c r="BB865">
        <v>0</v>
      </c>
      <c r="BC865">
        <v>0</v>
      </c>
      <c r="BD865">
        <v>0</v>
      </c>
      <c r="BE865">
        <v>0</v>
      </c>
      <c r="BF865">
        <v>0</v>
      </c>
      <c r="BG865">
        <v>0</v>
      </c>
      <c r="BH865">
        <v>1</v>
      </c>
      <c r="BI865">
        <v>1</v>
      </c>
      <c r="BJ865">
        <v>0.2</v>
      </c>
      <c r="BK865">
        <v>1</v>
      </c>
      <c r="BL865">
        <v>59.42</v>
      </c>
      <c r="BM865">
        <v>8.91</v>
      </c>
      <c r="BN865">
        <v>68.33</v>
      </c>
      <c r="BO865">
        <v>68.33</v>
      </c>
      <c r="BQ865" t="s">
        <v>329</v>
      </c>
      <c r="BR865" t="s">
        <v>82</v>
      </c>
      <c r="BS865" t="s">
        <v>500</v>
      </c>
      <c r="BY865">
        <v>1200</v>
      </c>
      <c r="CC865" t="s">
        <v>76</v>
      </c>
      <c r="CD865">
        <v>1645</v>
      </c>
      <c r="CE865" t="s">
        <v>134</v>
      </c>
      <c r="CI865">
        <v>1</v>
      </c>
      <c r="CJ865" t="s">
        <v>500</v>
      </c>
      <c r="CK865">
        <v>22</v>
      </c>
      <c r="CL865" t="s">
        <v>87</v>
      </c>
    </row>
    <row r="866" spans="1:90" x14ac:dyDescent="0.3">
      <c r="A866" t="s">
        <v>72</v>
      </c>
      <c r="B866" t="s">
        <v>73</v>
      </c>
      <c r="C866" t="s">
        <v>74</v>
      </c>
      <c r="E866" t="str">
        <f>"080069705829"</f>
        <v>080069705829</v>
      </c>
      <c r="F866" s="3">
        <v>45996</v>
      </c>
      <c r="G866">
        <v>202609</v>
      </c>
      <c r="H866" t="s">
        <v>75</v>
      </c>
      <c r="I866" t="s">
        <v>76</v>
      </c>
      <c r="J866" t="s">
        <v>77</v>
      </c>
      <c r="K866" t="s">
        <v>78</v>
      </c>
      <c r="L866" t="s">
        <v>533</v>
      </c>
      <c r="M866" t="s">
        <v>533</v>
      </c>
      <c r="N866" t="s">
        <v>554</v>
      </c>
      <c r="O866" t="s">
        <v>89</v>
      </c>
      <c r="P866" t="str">
        <f>"4170072180                    "</f>
        <v xml:space="preserve">4170072180                    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  <c r="AF866">
        <v>0</v>
      </c>
      <c r="AG866">
        <v>0</v>
      </c>
      <c r="AH866">
        <v>0</v>
      </c>
      <c r="AI866">
        <v>0</v>
      </c>
      <c r="AJ866">
        <v>0</v>
      </c>
      <c r="AK866">
        <v>0</v>
      </c>
      <c r="AL866">
        <v>0</v>
      </c>
      <c r="AM866">
        <v>0</v>
      </c>
      <c r="AN866">
        <v>0</v>
      </c>
      <c r="AO866">
        <v>0</v>
      </c>
      <c r="AP866">
        <v>0</v>
      </c>
      <c r="AQ866">
        <v>49.45</v>
      </c>
      <c r="AR866">
        <v>0</v>
      </c>
      <c r="AS866">
        <v>0</v>
      </c>
      <c r="AT866">
        <v>0</v>
      </c>
      <c r="AU866">
        <v>0</v>
      </c>
      <c r="AV866">
        <v>0</v>
      </c>
      <c r="AW866">
        <v>0</v>
      </c>
      <c r="AX866">
        <v>0</v>
      </c>
      <c r="AY866">
        <v>0</v>
      </c>
      <c r="AZ866">
        <v>0</v>
      </c>
      <c r="BA866">
        <v>0</v>
      </c>
      <c r="BB866">
        <v>0</v>
      </c>
      <c r="BC866">
        <v>0</v>
      </c>
      <c r="BD866">
        <v>0</v>
      </c>
      <c r="BE866">
        <v>0</v>
      </c>
      <c r="BF866">
        <v>0</v>
      </c>
      <c r="BG866">
        <v>0</v>
      </c>
      <c r="BH866">
        <v>1</v>
      </c>
      <c r="BI866">
        <v>1</v>
      </c>
      <c r="BJ866">
        <v>1.1000000000000001</v>
      </c>
      <c r="BK866">
        <v>1.5</v>
      </c>
      <c r="BL866">
        <v>147.38</v>
      </c>
      <c r="BM866">
        <v>22.11</v>
      </c>
      <c r="BN866">
        <v>169.49</v>
      </c>
      <c r="BO866">
        <v>169.49</v>
      </c>
      <c r="BQ866" t="s">
        <v>1213</v>
      </c>
      <c r="BR866" t="s">
        <v>82</v>
      </c>
      <c r="BS866" t="s">
        <v>500</v>
      </c>
      <c r="BY866">
        <v>5320</v>
      </c>
      <c r="CC866" t="s">
        <v>533</v>
      </c>
      <c r="CD866">
        <v>7646</v>
      </c>
      <c r="CE866" t="s">
        <v>86</v>
      </c>
      <c r="CI866">
        <v>1</v>
      </c>
      <c r="CJ866" t="s">
        <v>500</v>
      </c>
      <c r="CK866">
        <v>23</v>
      </c>
      <c r="CL866" t="s">
        <v>87</v>
      </c>
    </row>
    <row r="867" spans="1:90" x14ac:dyDescent="0.3">
      <c r="A867" t="s">
        <v>72</v>
      </c>
      <c r="B867" t="s">
        <v>73</v>
      </c>
      <c r="C867" t="s">
        <v>74</v>
      </c>
      <c r="E867" t="str">
        <f>"080069705849"</f>
        <v>080069705849</v>
      </c>
      <c r="F867" s="3">
        <v>45996</v>
      </c>
      <c r="G867">
        <v>202609</v>
      </c>
      <c r="H867" t="s">
        <v>75</v>
      </c>
      <c r="I867" t="s">
        <v>76</v>
      </c>
      <c r="J867" t="s">
        <v>77</v>
      </c>
      <c r="K867" t="s">
        <v>78</v>
      </c>
      <c r="L867" t="s">
        <v>283</v>
      </c>
      <c r="M867" t="s">
        <v>284</v>
      </c>
      <c r="N867" t="s">
        <v>285</v>
      </c>
      <c r="O867" t="s">
        <v>89</v>
      </c>
      <c r="P867" t="str">
        <f>"4170072234                    "</f>
        <v xml:space="preserve">4170072234                    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  <c r="AD867">
        <v>0</v>
      </c>
      <c r="AE867">
        <v>0</v>
      </c>
      <c r="AF867">
        <v>0</v>
      </c>
      <c r="AG867">
        <v>0</v>
      </c>
      <c r="AH867">
        <v>0</v>
      </c>
      <c r="AI867">
        <v>0</v>
      </c>
      <c r="AJ867">
        <v>0</v>
      </c>
      <c r="AK867">
        <v>0</v>
      </c>
      <c r="AL867">
        <v>0</v>
      </c>
      <c r="AM867">
        <v>0</v>
      </c>
      <c r="AN867">
        <v>0</v>
      </c>
      <c r="AO867">
        <v>0</v>
      </c>
      <c r="AP867">
        <v>0</v>
      </c>
      <c r="AQ867">
        <v>49.45</v>
      </c>
      <c r="AR867">
        <v>0</v>
      </c>
      <c r="AS867">
        <v>0</v>
      </c>
      <c r="AT867">
        <v>0</v>
      </c>
      <c r="AU867">
        <v>0</v>
      </c>
      <c r="AV867">
        <v>0</v>
      </c>
      <c r="AW867">
        <v>0</v>
      </c>
      <c r="AX867">
        <v>0</v>
      </c>
      <c r="AY867">
        <v>0</v>
      </c>
      <c r="AZ867">
        <v>0</v>
      </c>
      <c r="BA867">
        <v>0</v>
      </c>
      <c r="BB867">
        <v>0</v>
      </c>
      <c r="BC867">
        <v>0</v>
      </c>
      <c r="BD867">
        <v>0</v>
      </c>
      <c r="BE867">
        <v>0</v>
      </c>
      <c r="BF867">
        <v>0</v>
      </c>
      <c r="BG867">
        <v>0</v>
      </c>
      <c r="BH867">
        <v>1</v>
      </c>
      <c r="BI867">
        <v>1</v>
      </c>
      <c r="BJ867">
        <v>1.1000000000000001</v>
      </c>
      <c r="BK867">
        <v>1.5</v>
      </c>
      <c r="BL867">
        <v>147.38</v>
      </c>
      <c r="BM867">
        <v>22.11</v>
      </c>
      <c r="BN867">
        <v>169.49</v>
      </c>
      <c r="BO867">
        <v>169.49</v>
      </c>
      <c r="BQ867" t="s">
        <v>286</v>
      </c>
      <c r="BR867" t="s">
        <v>82</v>
      </c>
      <c r="BS867" t="s">
        <v>500</v>
      </c>
      <c r="BY867">
        <v>5320</v>
      </c>
      <c r="CC867" t="s">
        <v>284</v>
      </c>
      <c r="CD867">
        <v>1947</v>
      </c>
      <c r="CE867" t="s">
        <v>86</v>
      </c>
      <c r="CI867">
        <v>1</v>
      </c>
      <c r="CJ867" t="s">
        <v>500</v>
      </c>
      <c r="CK867">
        <v>23</v>
      </c>
      <c r="CL867" t="s">
        <v>87</v>
      </c>
    </row>
    <row r="868" spans="1:90" x14ac:dyDescent="0.3">
      <c r="A868" t="s">
        <v>72</v>
      </c>
      <c r="B868" t="s">
        <v>73</v>
      </c>
      <c r="C868" t="s">
        <v>74</v>
      </c>
      <c r="E868" t="str">
        <f>"080069705846"</f>
        <v>080069705846</v>
      </c>
      <c r="F868" s="3">
        <v>45996</v>
      </c>
      <c r="G868">
        <v>202609</v>
      </c>
      <c r="H868" t="s">
        <v>75</v>
      </c>
      <c r="I868" t="s">
        <v>76</v>
      </c>
      <c r="J868" t="s">
        <v>77</v>
      </c>
      <c r="K868" t="s">
        <v>78</v>
      </c>
      <c r="L868" t="s">
        <v>302</v>
      </c>
      <c r="M868" t="s">
        <v>303</v>
      </c>
      <c r="N868" t="s">
        <v>870</v>
      </c>
      <c r="O868" t="s">
        <v>89</v>
      </c>
      <c r="P868" t="str">
        <f>"4170072192                    "</f>
        <v xml:space="preserve">4170072192                    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0</v>
      </c>
      <c r="AC868">
        <v>0</v>
      </c>
      <c r="AD868">
        <v>0</v>
      </c>
      <c r="AE868">
        <v>0</v>
      </c>
      <c r="AF868">
        <v>0</v>
      </c>
      <c r="AG868">
        <v>0</v>
      </c>
      <c r="AH868">
        <v>0</v>
      </c>
      <c r="AI868">
        <v>0</v>
      </c>
      <c r="AJ868">
        <v>0</v>
      </c>
      <c r="AK868">
        <v>0</v>
      </c>
      <c r="AL868">
        <v>0</v>
      </c>
      <c r="AM868">
        <v>0</v>
      </c>
      <c r="AN868">
        <v>0</v>
      </c>
      <c r="AO868">
        <v>0</v>
      </c>
      <c r="AP868">
        <v>0</v>
      </c>
      <c r="AQ868">
        <v>25.52</v>
      </c>
      <c r="AR868">
        <v>0</v>
      </c>
      <c r="AS868">
        <v>0</v>
      </c>
      <c r="AT868">
        <v>0</v>
      </c>
      <c r="AU868">
        <v>0</v>
      </c>
      <c r="AV868">
        <v>0</v>
      </c>
      <c r="AW868">
        <v>0</v>
      </c>
      <c r="AX868">
        <v>0</v>
      </c>
      <c r="AY868">
        <v>0</v>
      </c>
      <c r="AZ868">
        <v>0</v>
      </c>
      <c r="BA868">
        <v>0</v>
      </c>
      <c r="BB868">
        <v>0</v>
      </c>
      <c r="BC868">
        <v>0</v>
      </c>
      <c r="BD868">
        <v>0</v>
      </c>
      <c r="BE868">
        <v>0</v>
      </c>
      <c r="BF868">
        <v>0</v>
      </c>
      <c r="BG868">
        <v>0</v>
      </c>
      <c r="BH868">
        <v>1</v>
      </c>
      <c r="BI868">
        <v>1</v>
      </c>
      <c r="BJ868">
        <v>0.2</v>
      </c>
      <c r="BK868">
        <v>1</v>
      </c>
      <c r="BL868">
        <v>76.06</v>
      </c>
      <c r="BM868">
        <v>11.41</v>
      </c>
      <c r="BN868">
        <v>87.47</v>
      </c>
      <c r="BO868">
        <v>87.47</v>
      </c>
      <c r="BQ868" t="s">
        <v>871</v>
      </c>
      <c r="BR868" t="s">
        <v>82</v>
      </c>
      <c r="BS868" t="s">
        <v>500</v>
      </c>
      <c r="BY868">
        <v>1200</v>
      </c>
      <c r="CC868" t="s">
        <v>303</v>
      </c>
      <c r="CD868" s="5" t="s">
        <v>826</v>
      </c>
      <c r="CE868" t="s">
        <v>134</v>
      </c>
      <c r="CI868">
        <v>1</v>
      </c>
      <c r="CJ868" t="s">
        <v>500</v>
      </c>
      <c r="CK868">
        <v>21</v>
      </c>
      <c r="CL868" t="s">
        <v>87</v>
      </c>
    </row>
    <row r="869" spans="1:90" x14ac:dyDescent="0.3">
      <c r="A869" t="s">
        <v>72</v>
      </c>
      <c r="B869" t="s">
        <v>73</v>
      </c>
      <c r="C869" t="s">
        <v>74</v>
      </c>
      <c r="E869" t="str">
        <f>"080069705879"</f>
        <v>080069705879</v>
      </c>
      <c r="F869" s="3">
        <v>45996</v>
      </c>
      <c r="G869">
        <v>202609</v>
      </c>
      <c r="H869" t="s">
        <v>75</v>
      </c>
      <c r="I869" t="s">
        <v>76</v>
      </c>
      <c r="J869" t="s">
        <v>77</v>
      </c>
      <c r="K869" t="s">
        <v>78</v>
      </c>
      <c r="L869" t="s">
        <v>772</v>
      </c>
      <c r="M869" t="s">
        <v>773</v>
      </c>
      <c r="N869" t="s">
        <v>870</v>
      </c>
      <c r="O869" t="s">
        <v>89</v>
      </c>
      <c r="P869" t="str">
        <f>"4170072185                    "</f>
        <v xml:space="preserve">4170072185                    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0</v>
      </c>
      <c r="AG869">
        <v>0</v>
      </c>
      <c r="AH869">
        <v>0</v>
      </c>
      <c r="AI869">
        <v>0</v>
      </c>
      <c r="AJ869">
        <v>0</v>
      </c>
      <c r="AK869">
        <v>0</v>
      </c>
      <c r="AL869">
        <v>0</v>
      </c>
      <c r="AM869">
        <v>0</v>
      </c>
      <c r="AN869">
        <v>0</v>
      </c>
      <c r="AO869">
        <v>0</v>
      </c>
      <c r="AP869">
        <v>0</v>
      </c>
      <c r="AQ869">
        <v>25.52</v>
      </c>
      <c r="AR869">
        <v>0</v>
      </c>
      <c r="AS869">
        <v>0</v>
      </c>
      <c r="AT869">
        <v>0</v>
      </c>
      <c r="AU869">
        <v>0</v>
      </c>
      <c r="AV869">
        <v>0</v>
      </c>
      <c r="AW869">
        <v>0</v>
      </c>
      <c r="AX869">
        <v>0</v>
      </c>
      <c r="AY869">
        <v>0</v>
      </c>
      <c r="AZ869">
        <v>0</v>
      </c>
      <c r="BA869">
        <v>0</v>
      </c>
      <c r="BB869">
        <v>0</v>
      </c>
      <c r="BC869">
        <v>0</v>
      </c>
      <c r="BD869">
        <v>0</v>
      </c>
      <c r="BE869">
        <v>0</v>
      </c>
      <c r="BF869">
        <v>0</v>
      </c>
      <c r="BG869">
        <v>0</v>
      </c>
      <c r="BH869">
        <v>1</v>
      </c>
      <c r="BI869">
        <v>1</v>
      </c>
      <c r="BJ869">
        <v>0.2</v>
      </c>
      <c r="BK869">
        <v>1</v>
      </c>
      <c r="BL869">
        <v>76.06</v>
      </c>
      <c r="BM869">
        <v>11.41</v>
      </c>
      <c r="BN869">
        <v>87.47</v>
      </c>
      <c r="BO869">
        <v>87.47</v>
      </c>
      <c r="BQ869" t="s">
        <v>871</v>
      </c>
      <c r="BR869" t="s">
        <v>82</v>
      </c>
      <c r="BS869" t="s">
        <v>500</v>
      </c>
      <c r="BY869">
        <v>1200</v>
      </c>
      <c r="CC869" t="s">
        <v>773</v>
      </c>
      <c r="CD869">
        <v>4133</v>
      </c>
      <c r="CE869" t="s">
        <v>134</v>
      </c>
      <c r="CI869">
        <v>1</v>
      </c>
      <c r="CJ869" t="s">
        <v>500</v>
      </c>
      <c r="CK869">
        <v>21</v>
      </c>
      <c r="CL869" t="s">
        <v>87</v>
      </c>
    </row>
    <row r="870" spans="1:90" x14ac:dyDescent="0.3">
      <c r="A870" t="s">
        <v>72</v>
      </c>
      <c r="B870" t="s">
        <v>73</v>
      </c>
      <c r="C870" t="s">
        <v>74</v>
      </c>
      <c r="E870" t="str">
        <f>"080069705900"</f>
        <v>080069705900</v>
      </c>
      <c r="F870" s="3">
        <v>45996</v>
      </c>
      <c r="G870">
        <v>202609</v>
      </c>
      <c r="H870" t="s">
        <v>75</v>
      </c>
      <c r="I870" t="s">
        <v>76</v>
      </c>
      <c r="J870" t="s">
        <v>77</v>
      </c>
      <c r="K870" t="s">
        <v>78</v>
      </c>
      <c r="L870" t="s">
        <v>100</v>
      </c>
      <c r="M870" t="s">
        <v>101</v>
      </c>
      <c r="N870" t="s">
        <v>102</v>
      </c>
      <c r="O870" t="s">
        <v>89</v>
      </c>
      <c r="P870" t="str">
        <f>"4170072146                    "</f>
        <v xml:space="preserve">4170072146                    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  <c r="AF870">
        <v>0</v>
      </c>
      <c r="AG870">
        <v>0</v>
      </c>
      <c r="AH870">
        <v>0</v>
      </c>
      <c r="AI870">
        <v>0</v>
      </c>
      <c r="AJ870">
        <v>0</v>
      </c>
      <c r="AK870">
        <v>0</v>
      </c>
      <c r="AL870">
        <v>0</v>
      </c>
      <c r="AM870">
        <v>0</v>
      </c>
      <c r="AN870">
        <v>0</v>
      </c>
      <c r="AO870">
        <v>0</v>
      </c>
      <c r="AP870">
        <v>0</v>
      </c>
      <c r="AQ870">
        <v>25.52</v>
      </c>
      <c r="AR870">
        <v>0</v>
      </c>
      <c r="AS870">
        <v>0</v>
      </c>
      <c r="AT870">
        <v>0</v>
      </c>
      <c r="AU870">
        <v>0</v>
      </c>
      <c r="AV870">
        <v>0</v>
      </c>
      <c r="AW870">
        <v>0</v>
      </c>
      <c r="AX870">
        <v>0</v>
      </c>
      <c r="AY870">
        <v>0</v>
      </c>
      <c r="AZ870">
        <v>0</v>
      </c>
      <c r="BA870">
        <v>0</v>
      </c>
      <c r="BB870">
        <v>0</v>
      </c>
      <c r="BC870">
        <v>0</v>
      </c>
      <c r="BD870">
        <v>0</v>
      </c>
      <c r="BE870">
        <v>0</v>
      </c>
      <c r="BF870">
        <v>0</v>
      </c>
      <c r="BG870">
        <v>0</v>
      </c>
      <c r="BH870">
        <v>1</v>
      </c>
      <c r="BI870">
        <v>1</v>
      </c>
      <c r="BJ870">
        <v>0.2</v>
      </c>
      <c r="BK870">
        <v>1</v>
      </c>
      <c r="BL870">
        <v>76.06</v>
      </c>
      <c r="BM870">
        <v>11.41</v>
      </c>
      <c r="BN870">
        <v>87.47</v>
      </c>
      <c r="BO870">
        <v>87.47</v>
      </c>
      <c r="BQ870" t="s">
        <v>103</v>
      </c>
      <c r="BR870" t="s">
        <v>82</v>
      </c>
      <c r="BS870" s="3">
        <v>45999</v>
      </c>
      <c r="BT870" s="4">
        <v>0.33541666666666664</v>
      </c>
      <c r="BU870" t="s">
        <v>1479</v>
      </c>
      <c r="BV870" t="s">
        <v>84</v>
      </c>
      <c r="BY870">
        <v>1200</v>
      </c>
      <c r="CA870" t="s">
        <v>107</v>
      </c>
      <c r="CC870" t="s">
        <v>101</v>
      </c>
      <c r="CD870">
        <v>4051</v>
      </c>
      <c r="CE870" t="s">
        <v>134</v>
      </c>
      <c r="CI870">
        <v>1</v>
      </c>
      <c r="CJ870">
        <v>1</v>
      </c>
      <c r="CK870">
        <v>21</v>
      </c>
      <c r="CL870" t="s">
        <v>87</v>
      </c>
    </row>
    <row r="871" spans="1:90" x14ac:dyDescent="0.3">
      <c r="A871" t="s">
        <v>72</v>
      </c>
      <c r="B871" t="s">
        <v>73</v>
      </c>
      <c r="C871" t="s">
        <v>74</v>
      </c>
      <c r="E871" t="str">
        <f>"080069705923"</f>
        <v>080069705923</v>
      </c>
      <c r="F871" s="3">
        <v>45996</v>
      </c>
      <c r="G871">
        <v>202609</v>
      </c>
      <c r="H871" t="s">
        <v>75</v>
      </c>
      <c r="I871" t="s">
        <v>76</v>
      </c>
      <c r="J871" t="s">
        <v>77</v>
      </c>
      <c r="K871" t="s">
        <v>78</v>
      </c>
      <c r="L871" t="s">
        <v>176</v>
      </c>
      <c r="M871" t="s">
        <v>177</v>
      </c>
      <c r="N871" t="s">
        <v>1135</v>
      </c>
      <c r="O871" t="s">
        <v>89</v>
      </c>
      <c r="P871" t="str">
        <f>"4170072163                    "</f>
        <v xml:space="preserve">4170072163                    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0</v>
      </c>
      <c r="AB871">
        <v>0</v>
      </c>
      <c r="AC871">
        <v>0</v>
      </c>
      <c r="AD871">
        <v>0</v>
      </c>
      <c r="AE871">
        <v>0</v>
      </c>
      <c r="AF871">
        <v>0</v>
      </c>
      <c r="AG871">
        <v>0</v>
      </c>
      <c r="AH871">
        <v>0</v>
      </c>
      <c r="AI871">
        <v>0</v>
      </c>
      <c r="AJ871">
        <v>0</v>
      </c>
      <c r="AK871">
        <v>0</v>
      </c>
      <c r="AL871">
        <v>0</v>
      </c>
      <c r="AM871">
        <v>0</v>
      </c>
      <c r="AN871">
        <v>0</v>
      </c>
      <c r="AO871">
        <v>0</v>
      </c>
      <c r="AP871">
        <v>0</v>
      </c>
      <c r="AQ871">
        <v>19.940000000000001</v>
      </c>
      <c r="AR871">
        <v>0</v>
      </c>
      <c r="AS871">
        <v>0</v>
      </c>
      <c r="AT871">
        <v>0</v>
      </c>
      <c r="AU871">
        <v>0</v>
      </c>
      <c r="AV871">
        <v>0</v>
      </c>
      <c r="AW871">
        <v>0</v>
      </c>
      <c r="AX871">
        <v>0</v>
      </c>
      <c r="AY871">
        <v>0</v>
      </c>
      <c r="AZ871">
        <v>0</v>
      </c>
      <c r="BA871">
        <v>0</v>
      </c>
      <c r="BB871">
        <v>0</v>
      </c>
      <c r="BC871">
        <v>0</v>
      </c>
      <c r="BD871">
        <v>0</v>
      </c>
      <c r="BE871">
        <v>0</v>
      </c>
      <c r="BF871">
        <v>0</v>
      </c>
      <c r="BG871">
        <v>0</v>
      </c>
      <c r="BH871">
        <v>1</v>
      </c>
      <c r="BI871">
        <v>1</v>
      </c>
      <c r="BJ871">
        <v>0.2</v>
      </c>
      <c r="BK871">
        <v>1</v>
      </c>
      <c r="BL871">
        <v>59.42</v>
      </c>
      <c r="BM871">
        <v>8.91</v>
      </c>
      <c r="BN871">
        <v>68.33</v>
      </c>
      <c r="BO871">
        <v>68.33</v>
      </c>
      <c r="BQ871" t="s">
        <v>1136</v>
      </c>
      <c r="BR871" t="s">
        <v>82</v>
      </c>
      <c r="BS871" s="3">
        <v>45999</v>
      </c>
      <c r="BT871" s="4">
        <v>0.33750000000000002</v>
      </c>
      <c r="BU871" t="s">
        <v>1537</v>
      </c>
      <c r="BV871" t="s">
        <v>84</v>
      </c>
      <c r="BY871">
        <v>1200</v>
      </c>
      <c r="CA871" t="s">
        <v>1538</v>
      </c>
      <c r="CC871" t="s">
        <v>177</v>
      </c>
      <c r="CD871">
        <v>2040</v>
      </c>
      <c r="CE871" t="s">
        <v>134</v>
      </c>
      <c r="CI871">
        <v>1</v>
      </c>
      <c r="CJ871">
        <v>1</v>
      </c>
      <c r="CK871">
        <v>22</v>
      </c>
      <c r="CL871" t="s">
        <v>87</v>
      </c>
    </row>
    <row r="872" spans="1:90" x14ac:dyDescent="0.3">
      <c r="A872" t="s">
        <v>72</v>
      </c>
      <c r="B872" t="s">
        <v>73</v>
      </c>
      <c r="C872" t="s">
        <v>74</v>
      </c>
      <c r="E872" t="str">
        <f>"080069705951"</f>
        <v>080069705951</v>
      </c>
      <c r="F872" s="3">
        <v>45996</v>
      </c>
      <c r="G872">
        <v>202609</v>
      </c>
      <c r="H872" t="s">
        <v>75</v>
      </c>
      <c r="I872" t="s">
        <v>76</v>
      </c>
      <c r="J872" t="s">
        <v>77</v>
      </c>
      <c r="K872" t="s">
        <v>78</v>
      </c>
      <c r="L872" t="s">
        <v>465</v>
      </c>
      <c r="M872" t="s">
        <v>466</v>
      </c>
      <c r="N872" t="s">
        <v>731</v>
      </c>
      <c r="O872" t="s">
        <v>89</v>
      </c>
      <c r="P872" t="str">
        <f>"4170072154                    "</f>
        <v xml:space="preserve">4170072154                    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0</v>
      </c>
      <c r="AC872">
        <v>0</v>
      </c>
      <c r="AD872">
        <v>0</v>
      </c>
      <c r="AE872">
        <v>0</v>
      </c>
      <c r="AF872">
        <v>0</v>
      </c>
      <c r="AG872">
        <v>0</v>
      </c>
      <c r="AH872">
        <v>0</v>
      </c>
      <c r="AI872">
        <v>0</v>
      </c>
      <c r="AJ872">
        <v>0</v>
      </c>
      <c r="AK872">
        <v>0</v>
      </c>
      <c r="AL872">
        <v>0</v>
      </c>
      <c r="AM872">
        <v>0</v>
      </c>
      <c r="AN872">
        <v>0</v>
      </c>
      <c r="AO872">
        <v>0</v>
      </c>
      <c r="AP872">
        <v>0</v>
      </c>
      <c r="AQ872">
        <v>19.940000000000001</v>
      </c>
      <c r="AR872">
        <v>0</v>
      </c>
      <c r="AS872">
        <v>0</v>
      </c>
      <c r="AT872">
        <v>0</v>
      </c>
      <c r="AU872">
        <v>0</v>
      </c>
      <c r="AV872">
        <v>0</v>
      </c>
      <c r="AW872">
        <v>0</v>
      </c>
      <c r="AX872">
        <v>0</v>
      </c>
      <c r="AY872">
        <v>0</v>
      </c>
      <c r="AZ872">
        <v>0</v>
      </c>
      <c r="BA872">
        <v>0</v>
      </c>
      <c r="BB872">
        <v>0</v>
      </c>
      <c r="BC872">
        <v>0</v>
      </c>
      <c r="BD872">
        <v>0</v>
      </c>
      <c r="BE872">
        <v>0</v>
      </c>
      <c r="BF872">
        <v>0</v>
      </c>
      <c r="BG872">
        <v>0</v>
      </c>
      <c r="BH872">
        <v>1</v>
      </c>
      <c r="BI872">
        <v>1</v>
      </c>
      <c r="BJ872">
        <v>0.2</v>
      </c>
      <c r="BK872">
        <v>1</v>
      </c>
      <c r="BL872">
        <v>59.42</v>
      </c>
      <c r="BM872">
        <v>8.91</v>
      </c>
      <c r="BN872">
        <v>68.33</v>
      </c>
      <c r="BO872">
        <v>68.33</v>
      </c>
      <c r="BQ872" t="s">
        <v>732</v>
      </c>
      <c r="BR872" t="s">
        <v>82</v>
      </c>
      <c r="BS872" t="s">
        <v>500</v>
      </c>
      <c r="BY872">
        <v>1200</v>
      </c>
      <c r="CC872" t="s">
        <v>466</v>
      </c>
      <c r="CD872">
        <v>1428</v>
      </c>
      <c r="CE872" t="s">
        <v>134</v>
      </c>
      <c r="CI872">
        <v>1</v>
      </c>
      <c r="CJ872" t="s">
        <v>500</v>
      </c>
      <c r="CK872">
        <v>22</v>
      </c>
      <c r="CL872" t="s">
        <v>87</v>
      </c>
    </row>
    <row r="873" spans="1:90" x14ac:dyDescent="0.3">
      <c r="A873" t="s">
        <v>72</v>
      </c>
      <c r="B873" t="s">
        <v>73</v>
      </c>
      <c r="C873" t="s">
        <v>74</v>
      </c>
      <c r="E873" t="str">
        <f>"080069705973"</f>
        <v>080069705973</v>
      </c>
      <c r="F873" s="3">
        <v>45996</v>
      </c>
      <c r="G873">
        <v>202609</v>
      </c>
      <c r="H873" t="s">
        <v>75</v>
      </c>
      <c r="I873" t="s">
        <v>76</v>
      </c>
      <c r="J873" t="s">
        <v>77</v>
      </c>
      <c r="K873" t="s">
        <v>78</v>
      </c>
      <c r="L873" t="s">
        <v>1509</v>
      </c>
      <c r="M873" t="s">
        <v>1510</v>
      </c>
      <c r="N873" t="s">
        <v>249</v>
      </c>
      <c r="O873" t="s">
        <v>89</v>
      </c>
      <c r="P873" t="str">
        <f>"4170072055                    "</f>
        <v xml:space="preserve">4170072055                    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0</v>
      </c>
      <c r="AF873">
        <v>0</v>
      </c>
      <c r="AG873">
        <v>0</v>
      </c>
      <c r="AH873">
        <v>0</v>
      </c>
      <c r="AI873">
        <v>0</v>
      </c>
      <c r="AJ873">
        <v>0</v>
      </c>
      <c r="AK873">
        <v>0</v>
      </c>
      <c r="AL873">
        <v>0</v>
      </c>
      <c r="AM873">
        <v>0</v>
      </c>
      <c r="AN873">
        <v>0</v>
      </c>
      <c r="AO873">
        <v>0</v>
      </c>
      <c r="AP873">
        <v>0</v>
      </c>
      <c r="AQ873">
        <v>25.52</v>
      </c>
      <c r="AR873">
        <v>0</v>
      </c>
      <c r="AS873">
        <v>0</v>
      </c>
      <c r="AT873">
        <v>0</v>
      </c>
      <c r="AU873">
        <v>0</v>
      </c>
      <c r="AV873">
        <v>0</v>
      </c>
      <c r="AW873">
        <v>0</v>
      </c>
      <c r="AX873">
        <v>0</v>
      </c>
      <c r="AY873">
        <v>0</v>
      </c>
      <c r="AZ873">
        <v>0</v>
      </c>
      <c r="BA873">
        <v>0</v>
      </c>
      <c r="BB873">
        <v>0</v>
      </c>
      <c r="BC873">
        <v>0</v>
      </c>
      <c r="BD873">
        <v>0</v>
      </c>
      <c r="BE873">
        <v>0</v>
      </c>
      <c r="BF873">
        <v>0</v>
      </c>
      <c r="BG873">
        <v>0</v>
      </c>
      <c r="BH873">
        <v>1</v>
      </c>
      <c r="BI873">
        <v>1.2</v>
      </c>
      <c r="BJ873">
        <v>1.3</v>
      </c>
      <c r="BK873">
        <v>1.5</v>
      </c>
      <c r="BL873">
        <v>76.06</v>
      </c>
      <c r="BM873">
        <v>11.41</v>
      </c>
      <c r="BN873">
        <v>87.47</v>
      </c>
      <c r="BO873">
        <v>87.47</v>
      </c>
      <c r="BQ873" t="s">
        <v>250</v>
      </c>
      <c r="BR873" t="s">
        <v>82</v>
      </c>
      <c r="BS873" t="s">
        <v>500</v>
      </c>
      <c r="BY873">
        <v>6262.2</v>
      </c>
      <c r="CC873" t="s">
        <v>1510</v>
      </c>
      <c r="CD873" s="5" t="s">
        <v>1511</v>
      </c>
      <c r="CE873" t="s">
        <v>86</v>
      </c>
      <c r="CI873">
        <v>1</v>
      </c>
      <c r="CJ873" t="s">
        <v>500</v>
      </c>
      <c r="CK873">
        <v>21</v>
      </c>
      <c r="CL873" t="s">
        <v>87</v>
      </c>
    </row>
    <row r="874" spans="1:90" x14ac:dyDescent="0.3">
      <c r="A874" t="s">
        <v>72</v>
      </c>
      <c r="B874" t="s">
        <v>73</v>
      </c>
      <c r="C874" t="s">
        <v>74</v>
      </c>
      <c r="E874" t="str">
        <f>"080069706010"</f>
        <v>080069706010</v>
      </c>
      <c r="F874" s="3">
        <v>45996</v>
      </c>
      <c r="G874">
        <v>202609</v>
      </c>
      <c r="H874" t="s">
        <v>75</v>
      </c>
      <c r="I874" t="s">
        <v>76</v>
      </c>
      <c r="J874" t="s">
        <v>77</v>
      </c>
      <c r="K874" t="s">
        <v>78</v>
      </c>
      <c r="L874" t="s">
        <v>1116</v>
      </c>
      <c r="M874" t="s">
        <v>1283</v>
      </c>
      <c r="N874" t="s">
        <v>1284</v>
      </c>
      <c r="O874" t="s">
        <v>89</v>
      </c>
      <c r="P874" t="str">
        <f>"4170072106                    "</f>
        <v xml:space="preserve">4170072106                    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v>0</v>
      </c>
      <c r="AE874">
        <v>0</v>
      </c>
      <c r="AF874">
        <v>0</v>
      </c>
      <c r="AG874">
        <v>0</v>
      </c>
      <c r="AH874">
        <v>0</v>
      </c>
      <c r="AI874">
        <v>0</v>
      </c>
      <c r="AJ874">
        <v>0</v>
      </c>
      <c r="AK874">
        <v>0</v>
      </c>
      <c r="AL874">
        <v>0</v>
      </c>
      <c r="AM874">
        <v>0</v>
      </c>
      <c r="AN874">
        <v>0</v>
      </c>
      <c r="AO874">
        <v>0</v>
      </c>
      <c r="AP874">
        <v>0</v>
      </c>
      <c r="AQ874">
        <v>49.45</v>
      </c>
      <c r="AR874">
        <v>0</v>
      </c>
      <c r="AS874">
        <v>0</v>
      </c>
      <c r="AT874">
        <v>0</v>
      </c>
      <c r="AU874">
        <v>0</v>
      </c>
      <c r="AV874">
        <v>0</v>
      </c>
      <c r="AW874">
        <v>0</v>
      </c>
      <c r="AX874">
        <v>0</v>
      </c>
      <c r="AY874">
        <v>0</v>
      </c>
      <c r="AZ874">
        <v>0</v>
      </c>
      <c r="BA874">
        <v>0</v>
      </c>
      <c r="BB874">
        <v>0</v>
      </c>
      <c r="BC874">
        <v>0</v>
      </c>
      <c r="BD874">
        <v>0</v>
      </c>
      <c r="BE874">
        <v>0</v>
      </c>
      <c r="BF874">
        <v>0</v>
      </c>
      <c r="BG874">
        <v>0</v>
      </c>
      <c r="BH874">
        <v>1</v>
      </c>
      <c r="BI874">
        <v>1.8</v>
      </c>
      <c r="BJ874">
        <v>0.9</v>
      </c>
      <c r="BK874">
        <v>2</v>
      </c>
      <c r="BL874">
        <v>147.38</v>
      </c>
      <c r="BM874">
        <v>22.11</v>
      </c>
      <c r="BN874">
        <v>169.49</v>
      </c>
      <c r="BO874">
        <v>169.49</v>
      </c>
      <c r="BQ874" t="s">
        <v>1285</v>
      </c>
      <c r="BR874" t="s">
        <v>82</v>
      </c>
      <c r="BS874" t="s">
        <v>500</v>
      </c>
      <c r="BY874">
        <v>4719</v>
      </c>
      <c r="CC874" t="s">
        <v>1283</v>
      </c>
      <c r="CD874">
        <v>8405</v>
      </c>
      <c r="CE874" t="s">
        <v>86</v>
      </c>
      <c r="CI874">
        <v>5</v>
      </c>
      <c r="CJ874" t="s">
        <v>500</v>
      </c>
      <c r="CK874">
        <v>23</v>
      </c>
      <c r="CL874" t="s">
        <v>87</v>
      </c>
    </row>
    <row r="875" spans="1:90" x14ac:dyDescent="0.3">
      <c r="A875" t="s">
        <v>72</v>
      </c>
      <c r="B875" t="s">
        <v>73</v>
      </c>
      <c r="C875" t="s">
        <v>74</v>
      </c>
      <c r="E875" t="str">
        <f>"080069706041"</f>
        <v>080069706041</v>
      </c>
      <c r="F875" s="3">
        <v>45996</v>
      </c>
      <c r="G875">
        <v>202609</v>
      </c>
      <c r="H875" t="s">
        <v>75</v>
      </c>
      <c r="I875" t="s">
        <v>76</v>
      </c>
      <c r="J875" t="s">
        <v>77</v>
      </c>
      <c r="K875" t="s">
        <v>78</v>
      </c>
      <c r="L875" t="s">
        <v>94</v>
      </c>
      <c r="M875" t="s">
        <v>95</v>
      </c>
      <c r="N875" t="s">
        <v>96</v>
      </c>
      <c r="O875" t="s">
        <v>89</v>
      </c>
      <c r="P875" t="str">
        <f>"4170072167                    "</f>
        <v xml:space="preserve">4170072167                    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0</v>
      </c>
      <c r="AD875">
        <v>0</v>
      </c>
      <c r="AE875">
        <v>0</v>
      </c>
      <c r="AF875">
        <v>0</v>
      </c>
      <c r="AG875">
        <v>0</v>
      </c>
      <c r="AH875">
        <v>0</v>
      </c>
      <c r="AI875">
        <v>0</v>
      </c>
      <c r="AJ875">
        <v>0</v>
      </c>
      <c r="AK875">
        <v>0</v>
      </c>
      <c r="AL875">
        <v>0</v>
      </c>
      <c r="AM875">
        <v>0</v>
      </c>
      <c r="AN875">
        <v>0</v>
      </c>
      <c r="AO875">
        <v>0</v>
      </c>
      <c r="AP875">
        <v>0</v>
      </c>
      <c r="AQ875">
        <v>25.52</v>
      </c>
      <c r="AR875">
        <v>0</v>
      </c>
      <c r="AS875">
        <v>0</v>
      </c>
      <c r="AT875">
        <v>0</v>
      </c>
      <c r="AU875">
        <v>0</v>
      </c>
      <c r="AV875">
        <v>0</v>
      </c>
      <c r="AW875">
        <v>0</v>
      </c>
      <c r="AX875">
        <v>0</v>
      </c>
      <c r="AY875">
        <v>0</v>
      </c>
      <c r="AZ875">
        <v>0</v>
      </c>
      <c r="BA875">
        <v>0</v>
      </c>
      <c r="BB875">
        <v>0</v>
      </c>
      <c r="BC875">
        <v>0</v>
      </c>
      <c r="BD875">
        <v>0</v>
      </c>
      <c r="BE875">
        <v>0</v>
      </c>
      <c r="BF875">
        <v>0</v>
      </c>
      <c r="BG875">
        <v>0</v>
      </c>
      <c r="BH875">
        <v>1</v>
      </c>
      <c r="BI875">
        <v>1.5</v>
      </c>
      <c r="BJ875">
        <v>1.3</v>
      </c>
      <c r="BK875">
        <v>1.5</v>
      </c>
      <c r="BL875">
        <v>76.06</v>
      </c>
      <c r="BM875">
        <v>11.41</v>
      </c>
      <c r="BN875">
        <v>87.47</v>
      </c>
      <c r="BO875">
        <v>87.47</v>
      </c>
      <c r="BQ875" t="s">
        <v>998</v>
      </c>
      <c r="BR875" t="s">
        <v>82</v>
      </c>
      <c r="BS875" t="s">
        <v>500</v>
      </c>
      <c r="BY875">
        <v>6732.27</v>
      </c>
      <c r="CC875" t="s">
        <v>95</v>
      </c>
      <c r="CD875">
        <v>3610</v>
      </c>
      <c r="CE875" t="s">
        <v>86</v>
      </c>
      <c r="CI875">
        <v>1</v>
      </c>
      <c r="CJ875" t="s">
        <v>500</v>
      </c>
      <c r="CK875">
        <v>21</v>
      </c>
      <c r="CL875" t="s">
        <v>87</v>
      </c>
    </row>
    <row r="876" spans="1:90" x14ac:dyDescent="0.3">
      <c r="A876" t="s">
        <v>72</v>
      </c>
      <c r="B876" t="s">
        <v>73</v>
      </c>
      <c r="C876" t="s">
        <v>74</v>
      </c>
      <c r="E876" t="str">
        <f>"080069706055"</f>
        <v>080069706055</v>
      </c>
      <c r="F876" s="3">
        <v>45996</v>
      </c>
      <c r="G876">
        <v>202609</v>
      </c>
      <c r="H876" t="s">
        <v>75</v>
      </c>
      <c r="I876" t="s">
        <v>76</v>
      </c>
      <c r="J876" t="s">
        <v>77</v>
      </c>
      <c r="K876" t="s">
        <v>78</v>
      </c>
      <c r="L876" t="s">
        <v>94</v>
      </c>
      <c r="M876" t="s">
        <v>95</v>
      </c>
      <c r="N876" t="s">
        <v>238</v>
      </c>
      <c r="O876" t="s">
        <v>89</v>
      </c>
      <c r="P876" t="str">
        <f>"4170072223                    "</f>
        <v xml:space="preserve">4170072223                    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  <c r="AF876">
        <v>0</v>
      </c>
      <c r="AG876">
        <v>0</v>
      </c>
      <c r="AH876">
        <v>0</v>
      </c>
      <c r="AI876">
        <v>0</v>
      </c>
      <c r="AJ876">
        <v>0</v>
      </c>
      <c r="AK876">
        <v>0</v>
      </c>
      <c r="AL876">
        <v>0</v>
      </c>
      <c r="AM876">
        <v>0</v>
      </c>
      <c r="AN876">
        <v>0</v>
      </c>
      <c r="AO876">
        <v>0</v>
      </c>
      <c r="AP876">
        <v>0</v>
      </c>
      <c r="AQ876">
        <v>25.52</v>
      </c>
      <c r="AR876">
        <v>0</v>
      </c>
      <c r="AS876">
        <v>0</v>
      </c>
      <c r="AT876">
        <v>0</v>
      </c>
      <c r="AU876">
        <v>0</v>
      </c>
      <c r="AV876">
        <v>0</v>
      </c>
      <c r="AW876">
        <v>0</v>
      </c>
      <c r="AX876">
        <v>0</v>
      </c>
      <c r="AY876">
        <v>0</v>
      </c>
      <c r="AZ876">
        <v>0</v>
      </c>
      <c r="BA876">
        <v>0</v>
      </c>
      <c r="BB876">
        <v>0</v>
      </c>
      <c r="BC876">
        <v>0</v>
      </c>
      <c r="BD876">
        <v>0</v>
      </c>
      <c r="BE876">
        <v>0</v>
      </c>
      <c r="BF876">
        <v>0</v>
      </c>
      <c r="BG876">
        <v>0</v>
      </c>
      <c r="BH876">
        <v>1</v>
      </c>
      <c r="BI876">
        <v>1</v>
      </c>
      <c r="BJ876">
        <v>0.2</v>
      </c>
      <c r="BK876">
        <v>1</v>
      </c>
      <c r="BL876">
        <v>76.06</v>
      </c>
      <c r="BM876">
        <v>11.41</v>
      </c>
      <c r="BN876">
        <v>87.47</v>
      </c>
      <c r="BO876">
        <v>87.47</v>
      </c>
      <c r="BQ876" t="s">
        <v>239</v>
      </c>
      <c r="BR876" t="s">
        <v>82</v>
      </c>
      <c r="BS876" t="s">
        <v>500</v>
      </c>
      <c r="BY876">
        <v>1200</v>
      </c>
      <c r="CC876" t="s">
        <v>95</v>
      </c>
      <c r="CD876">
        <v>3600</v>
      </c>
      <c r="CE876" t="s">
        <v>134</v>
      </c>
      <c r="CI876">
        <v>1</v>
      </c>
      <c r="CJ876" t="s">
        <v>500</v>
      </c>
      <c r="CK876">
        <v>21</v>
      </c>
      <c r="CL876" t="s">
        <v>87</v>
      </c>
    </row>
    <row r="877" spans="1:90" x14ac:dyDescent="0.3">
      <c r="A877" t="s">
        <v>72</v>
      </c>
      <c r="B877" t="s">
        <v>73</v>
      </c>
      <c r="C877" t="s">
        <v>74</v>
      </c>
      <c r="E877" t="str">
        <f>"080069706090"</f>
        <v>080069706090</v>
      </c>
      <c r="F877" s="3">
        <v>45996</v>
      </c>
      <c r="G877">
        <v>202609</v>
      </c>
      <c r="H877" t="s">
        <v>75</v>
      </c>
      <c r="I877" t="s">
        <v>76</v>
      </c>
      <c r="J877" t="s">
        <v>77</v>
      </c>
      <c r="K877" t="s">
        <v>78</v>
      </c>
      <c r="L877" t="s">
        <v>94</v>
      </c>
      <c r="M877" t="s">
        <v>95</v>
      </c>
      <c r="N877" t="s">
        <v>96</v>
      </c>
      <c r="O877" t="s">
        <v>89</v>
      </c>
      <c r="P877" t="str">
        <f>"4170072103                    "</f>
        <v xml:space="preserve">4170072103                    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0</v>
      </c>
      <c r="AF877">
        <v>0</v>
      </c>
      <c r="AG877">
        <v>0</v>
      </c>
      <c r="AH877">
        <v>0</v>
      </c>
      <c r="AI877">
        <v>0</v>
      </c>
      <c r="AJ877">
        <v>0</v>
      </c>
      <c r="AK877">
        <v>0</v>
      </c>
      <c r="AL877">
        <v>0</v>
      </c>
      <c r="AM877">
        <v>0</v>
      </c>
      <c r="AN877">
        <v>0</v>
      </c>
      <c r="AO877">
        <v>0</v>
      </c>
      <c r="AP877">
        <v>0</v>
      </c>
      <c r="AQ877">
        <v>25.52</v>
      </c>
      <c r="AR877">
        <v>0</v>
      </c>
      <c r="AS877">
        <v>0</v>
      </c>
      <c r="AT877">
        <v>0</v>
      </c>
      <c r="AU877">
        <v>0</v>
      </c>
      <c r="AV877">
        <v>0</v>
      </c>
      <c r="AW877">
        <v>0</v>
      </c>
      <c r="AX877">
        <v>0</v>
      </c>
      <c r="AY877">
        <v>0</v>
      </c>
      <c r="AZ877">
        <v>0</v>
      </c>
      <c r="BA877">
        <v>0</v>
      </c>
      <c r="BB877">
        <v>0</v>
      </c>
      <c r="BC877">
        <v>0</v>
      </c>
      <c r="BD877">
        <v>0</v>
      </c>
      <c r="BE877">
        <v>0</v>
      </c>
      <c r="BF877">
        <v>0</v>
      </c>
      <c r="BG877">
        <v>0</v>
      </c>
      <c r="BH877">
        <v>1</v>
      </c>
      <c r="BI877">
        <v>1</v>
      </c>
      <c r="BJ877">
        <v>0.2</v>
      </c>
      <c r="BK877">
        <v>1</v>
      </c>
      <c r="BL877">
        <v>76.06</v>
      </c>
      <c r="BM877">
        <v>11.41</v>
      </c>
      <c r="BN877">
        <v>87.47</v>
      </c>
      <c r="BO877">
        <v>87.47</v>
      </c>
      <c r="BQ877" t="s">
        <v>97</v>
      </c>
      <c r="BR877" t="s">
        <v>82</v>
      </c>
      <c r="BS877" t="s">
        <v>500</v>
      </c>
      <c r="BY877">
        <v>1200</v>
      </c>
      <c r="CC877" t="s">
        <v>95</v>
      </c>
      <c r="CD877">
        <v>3610</v>
      </c>
      <c r="CE877" t="s">
        <v>134</v>
      </c>
      <c r="CI877">
        <v>1</v>
      </c>
      <c r="CJ877" t="s">
        <v>500</v>
      </c>
      <c r="CK877">
        <v>21</v>
      </c>
      <c r="CL877" t="s">
        <v>87</v>
      </c>
    </row>
    <row r="878" spans="1:90" x14ac:dyDescent="0.3">
      <c r="A878" t="s">
        <v>72</v>
      </c>
      <c r="B878" t="s">
        <v>73</v>
      </c>
      <c r="C878" t="s">
        <v>74</v>
      </c>
      <c r="E878" t="str">
        <f>"080069706087"</f>
        <v>080069706087</v>
      </c>
      <c r="F878" s="3">
        <v>45996</v>
      </c>
      <c r="G878">
        <v>202609</v>
      </c>
      <c r="H878" t="s">
        <v>75</v>
      </c>
      <c r="I878" t="s">
        <v>76</v>
      </c>
      <c r="J878" t="s">
        <v>77</v>
      </c>
      <c r="K878" t="s">
        <v>78</v>
      </c>
      <c r="L878" t="s">
        <v>241</v>
      </c>
      <c r="M878" t="s">
        <v>242</v>
      </c>
      <c r="N878" t="s">
        <v>243</v>
      </c>
      <c r="O878" t="s">
        <v>89</v>
      </c>
      <c r="P878" t="str">
        <f>"4170072175                    "</f>
        <v xml:space="preserve">4170072175                    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0</v>
      </c>
      <c r="AC878">
        <v>0</v>
      </c>
      <c r="AD878">
        <v>0</v>
      </c>
      <c r="AE878">
        <v>0</v>
      </c>
      <c r="AF878">
        <v>0</v>
      </c>
      <c r="AG878">
        <v>0</v>
      </c>
      <c r="AH878">
        <v>0</v>
      </c>
      <c r="AI878">
        <v>0</v>
      </c>
      <c r="AJ878">
        <v>0</v>
      </c>
      <c r="AK878">
        <v>0</v>
      </c>
      <c r="AL878">
        <v>0</v>
      </c>
      <c r="AM878">
        <v>0</v>
      </c>
      <c r="AN878">
        <v>0</v>
      </c>
      <c r="AO878">
        <v>0</v>
      </c>
      <c r="AP878">
        <v>0</v>
      </c>
      <c r="AQ878">
        <v>25.52</v>
      </c>
      <c r="AR878">
        <v>0</v>
      </c>
      <c r="AS878">
        <v>0</v>
      </c>
      <c r="AT878">
        <v>0</v>
      </c>
      <c r="AU878">
        <v>0</v>
      </c>
      <c r="AV878">
        <v>0</v>
      </c>
      <c r="AW878">
        <v>0</v>
      </c>
      <c r="AX878">
        <v>0</v>
      </c>
      <c r="AY878">
        <v>0</v>
      </c>
      <c r="AZ878">
        <v>0</v>
      </c>
      <c r="BA878">
        <v>0</v>
      </c>
      <c r="BB878">
        <v>0</v>
      </c>
      <c r="BC878">
        <v>0</v>
      </c>
      <c r="BD878">
        <v>0</v>
      </c>
      <c r="BE878">
        <v>0</v>
      </c>
      <c r="BF878">
        <v>0</v>
      </c>
      <c r="BG878">
        <v>0</v>
      </c>
      <c r="BH878">
        <v>1</v>
      </c>
      <c r="BI878">
        <v>1</v>
      </c>
      <c r="BJ878">
        <v>1.1000000000000001</v>
      </c>
      <c r="BK878">
        <v>1.5</v>
      </c>
      <c r="BL878">
        <v>76.06</v>
      </c>
      <c r="BM878">
        <v>11.41</v>
      </c>
      <c r="BN878">
        <v>87.47</v>
      </c>
      <c r="BO878">
        <v>87.47</v>
      </c>
      <c r="BQ878" t="s">
        <v>244</v>
      </c>
      <c r="BR878" t="s">
        <v>82</v>
      </c>
      <c r="BS878" t="s">
        <v>500</v>
      </c>
      <c r="BY878">
        <v>5510</v>
      </c>
      <c r="CC878" t="s">
        <v>242</v>
      </c>
      <c r="CD878">
        <v>4300</v>
      </c>
      <c r="CE878" t="s">
        <v>86</v>
      </c>
      <c r="CI878">
        <v>1</v>
      </c>
      <c r="CJ878" t="s">
        <v>500</v>
      </c>
      <c r="CK878">
        <v>21</v>
      </c>
      <c r="CL878" t="s">
        <v>87</v>
      </c>
    </row>
    <row r="879" spans="1:90" x14ac:dyDescent="0.3">
      <c r="A879" t="s">
        <v>72</v>
      </c>
      <c r="B879" t="s">
        <v>73</v>
      </c>
      <c r="C879" t="s">
        <v>74</v>
      </c>
      <c r="E879" t="str">
        <f>"080069706131"</f>
        <v>080069706131</v>
      </c>
      <c r="F879" s="3">
        <v>45996</v>
      </c>
      <c r="G879">
        <v>202609</v>
      </c>
      <c r="H879" t="s">
        <v>75</v>
      </c>
      <c r="I879" t="s">
        <v>76</v>
      </c>
      <c r="J879" t="s">
        <v>77</v>
      </c>
      <c r="K879" t="s">
        <v>78</v>
      </c>
      <c r="L879" t="s">
        <v>302</v>
      </c>
      <c r="M879" t="s">
        <v>303</v>
      </c>
      <c r="N879" t="s">
        <v>1038</v>
      </c>
      <c r="O879" t="s">
        <v>89</v>
      </c>
      <c r="P879" t="str">
        <f>"4170072202                    "</f>
        <v xml:space="preserve">4170072202                    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0</v>
      </c>
      <c r="AD879">
        <v>0</v>
      </c>
      <c r="AE879">
        <v>0</v>
      </c>
      <c r="AF879">
        <v>0</v>
      </c>
      <c r="AG879">
        <v>0</v>
      </c>
      <c r="AH879">
        <v>0</v>
      </c>
      <c r="AI879">
        <v>0</v>
      </c>
      <c r="AJ879">
        <v>0</v>
      </c>
      <c r="AK879">
        <v>0</v>
      </c>
      <c r="AL879">
        <v>0</v>
      </c>
      <c r="AM879">
        <v>0</v>
      </c>
      <c r="AN879">
        <v>0</v>
      </c>
      <c r="AO879">
        <v>0</v>
      </c>
      <c r="AP879">
        <v>0</v>
      </c>
      <c r="AQ879">
        <v>51.04</v>
      </c>
      <c r="AR879">
        <v>0</v>
      </c>
      <c r="AS879">
        <v>0</v>
      </c>
      <c r="AT879">
        <v>0</v>
      </c>
      <c r="AU879">
        <v>0</v>
      </c>
      <c r="AV879">
        <v>0</v>
      </c>
      <c r="AW879">
        <v>0</v>
      </c>
      <c r="AX879">
        <v>0</v>
      </c>
      <c r="AY879">
        <v>0</v>
      </c>
      <c r="AZ879">
        <v>0</v>
      </c>
      <c r="BA879">
        <v>0</v>
      </c>
      <c r="BB879">
        <v>0</v>
      </c>
      <c r="BC879">
        <v>0</v>
      </c>
      <c r="BD879">
        <v>0</v>
      </c>
      <c r="BE879">
        <v>0</v>
      </c>
      <c r="BF879">
        <v>0</v>
      </c>
      <c r="BG879">
        <v>0</v>
      </c>
      <c r="BH879">
        <v>1</v>
      </c>
      <c r="BI879">
        <v>1.3</v>
      </c>
      <c r="BJ879">
        <v>3.8</v>
      </c>
      <c r="BK879">
        <v>4</v>
      </c>
      <c r="BL879">
        <v>152.1</v>
      </c>
      <c r="BM879">
        <v>22.82</v>
      </c>
      <c r="BN879">
        <v>174.92</v>
      </c>
      <c r="BO879">
        <v>174.92</v>
      </c>
      <c r="BQ879" t="s">
        <v>1039</v>
      </c>
      <c r="BR879" t="s">
        <v>82</v>
      </c>
      <c r="BS879" t="s">
        <v>500</v>
      </c>
      <c r="BY879">
        <v>19029.36</v>
      </c>
      <c r="CC879" t="s">
        <v>303</v>
      </c>
      <c r="CD879" s="5" t="s">
        <v>916</v>
      </c>
      <c r="CE879" t="s">
        <v>86</v>
      </c>
      <c r="CI879">
        <v>1</v>
      </c>
      <c r="CJ879" t="s">
        <v>500</v>
      </c>
      <c r="CK879">
        <v>21</v>
      </c>
      <c r="CL879" t="s">
        <v>87</v>
      </c>
    </row>
    <row r="880" spans="1:90" x14ac:dyDescent="0.3">
      <c r="A880" t="s">
        <v>72</v>
      </c>
      <c r="B880" t="s">
        <v>73</v>
      </c>
      <c r="C880" t="s">
        <v>74</v>
      </c>
      <c r="E880" t="str">
        <f>"080069706144"</f>
        <v>080069706144</v>
      </c>
      <c r="F880" s="3">
        <v>45996</v>
      </c>
      <c r="G880">
        <v>202609</v>
      </c>
      <c r="H880" t="s">
        <v>75</v>
      </c>
      <c r="I880" t="s">
        <v>76</v>
      </c>
      <c r="J880" t="s">
        <v>77</v>
      </c>
      <c r="K880" t="s">
        <v>78</v>
      </c>
      <c r="L880" t="s">
        <v>202</v>
      </c>
      <c r="M880" t="s">
        <v>203</v>
      </c>
      <c r="N880" t="s">
        <v>204</v>
      </c>
      <c r="O880" t="s">
        <v>89</v>
      </c>
      <c r="P880" t="str">
        <f>"4170072279                    "</f>
        <v xml:space="preserve">4170072279                    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0</v>
      </c>
      <c r="AE880">
        <v>0</v>
      </c>
      <c r="AF880">
        <v>0</v>
      </c>
      <c r="AG880">
        <v>0</v>
      </c>
      <c r="AH880">
        <v>0</v>
      </c>
      <c r="AI880">
        <v>0</v>
      </c>
      <c r="AJ880">
        <v>0</v>
      </c>
      <c r="AK880">
        <v>0</v>
      </c>
      <c r="AL880">
        <v>0</v>
      </c>
      <c r="AM880">
        <v>0</v>
      </c>
      <c r="AN880">
        <v>0</v>
      </c>
      <c r="AO880">
        <v>0</v>
      </c>
      <c r="AP880">
        <v>0</v>
      </c>
      <c r="AQ880">
        <v>317.43</v>
      </c>
      <c r="AR880">
        <v>0</v>
      </c>
      <c r="AS880">
        <v>0</v>
      </c>
      <c r="AT880">
        <v>0</v>
      </c>
      <c r="AU880">
        <v>0</v>
      </c>
      <c r="AV880">
        <v>0</v>
      </c>
      <c r="AW880">
        <v>0</v>
      </c>
      <c r="AX880">
        <v>0</v>
      </c>
      <c r="AY880">
        <v>0</v>
      </c>
      <c r="AZ880">
        <v>0</v>
      </c>
      <c r="BA880">
        <v>0</v>
      </c>
      <c r="BB880">
        <v>0</v>
      </c>
      <c r="BC880">
        <v>0</v>
      </c>
      <c r="BD880">
        <v>0</v>
      </c>
      <c r="BE880">
        <v>0</v>
      </c>
      <c r="BF880">
        <v>0</v>
      </c>
      <c r="BG880">
        <v>0</v>
      </c>
      <c r="BH880">
        <v>2</v>
      </c>
      <c r="BI880">
        <v>14</v>
      </c>
      <c r="BJ880">
        <v>8.1</v>
      </c>
      <c r="BK880">
        <v>14</v>
      </c>
      <c r="BL880">
        <v>946</v>
      </c>
      <c r="BM880">
        <v>141.9</v>
      </c>
      <c r="BN880">
        <v>1087.9000000000001</v>
      </c>
      <c r="BO880">
        <v>1087.9000000000001</v>
      </c>
      <c r="BQ880" t="s">
        <v>205</v>
      </c>
      <c r="BR880" t="s">
        <v>82</v>
      </c>
      <c r="BS880" t="s">
        <v>500</v>
      </c>
      <c r="BY880">
        <v>20358</v>
      </c>
      <c r="CC880" t="s">
        <v>203</v>
      </c>
      <c r="CD880">
        <v>2531</v>
      </c>
      <c r="CE880" t="s">
        <v>86</v>
      </c>
      <c r="CI880">
        <v>1</v>
      </c>
      <c r="CJ880" t="s">
        <v>500</v>
      </c>
      <c r="CK880">
        <v>23</v>
      </c>
      <c r="CL880" t="s">
        <v>87</v>
      </c>
    </row>
    <row r="881" spans="1:90" x14ac:dyDescent="0.3">
      <c r="A881" t="s">
        <v>72</v>
      </c>
      <c r="B881" t="s">
        <v>73</v>
      </c>
      <c r="C881" t="s">
        <v>74</v>
      </c>
      <c r="E881" t="str">
        <f>"080069706158"</f>
        <v>080069706158</v>
      </c>
      <c r="F881" s="3">
        <v>45996</v>
      </c>
      <c r="G881">
        <v>202609</v>
      </c>
      <c r="H881" t="s">
        <v>75</v>
      </c>
      <c r="I881" t="s">
        <v>76</v>
      </c>
      <c r="J881" t="s">
        <v>77</v>
      </c>
      <c r="K881" t="s">
        <v>78</v>
      </c>
      <c r="L881" t="s">
        <v>265</v>
      </c>
      <c r="M881" t="s">
        <v>266</v>
      </c>
      <c r="N881" t="s">
        <v>414</v>
      </c>
      <c r="O881" t="s">
        <v>89</v>
      </c>
      <c r="P881" t="str">
        <f>"4170072068                    "</f>
        <v xml:space="preserve">4170072068                    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>
        <v>0</v>
      </c>
      <c r="AG881">
        <v>0</v>
      </c>
      <c r="AH881">
        <v>0</v>
      </c>
      <c r="AI881">
        <v>0</v>
      </c>
      <c r="AJ881">
        <v>0</v>
      </c>
      <c r="AK881">
        <v>0</v>
      </c>
      <c r="AL881">
        <v>0</v>
      </c>
      <c r="AM881">
        <v>0</v>
      </c>
      <c r="AN881">
        <v>0</v>
      </c>
      <c r="AO881">
        <v>0</v>
      </c>
      <c r="AP881">
        <v>0</v>
      </c>
      <c r="AQ881">
        <v>19.940000000000001</v>
      </c>
      <c r="AR881">
        <v>0</v>
      </c>
      <c r="AS881">
        <v>0</v>
      </c>
      <c r="AT881">
        <v>0</v>
      </c>
      <c r="AU881">
        <v>0</v>
      </c>
      <c r="AV881">
        <v>0</v>
      </c>
      <c r="AW881">
        <v>0</v>
      </c>
      <c r="AX881">
        <v>0</v>
      </c>
      <c r="AY881">
        <v>0</v>
      </c>
      <c r="AZ881">
        <v>0</v>
      </c>
      <c r="BA881">
        <v>0</v>
      </c>
      <c r="BB881">
        <v>0</v>
      </c>
      <c r="BC881">
        <v>0</v>
      </c>
      <c r="BD881">
        <v>0</v>
      </c>
      <c r="BE881">
        <v>0</v>
      </c>
      <c r="BF881">
        <v>0</v>
      </c>
      <c r="BG881">
        <v>0</v>
      </c>
      <c r="BH881">
        <v>1</v>
      </c>
      <c r="BI881">
        <v>1.2</v>
      </c>
      <c r="BJ881">
        <v>3.7</v>
      </c>
      <c r="BK881">
        <v>4</v>
      </c>
      <c r="BL881">
        <v>59.42</v>
      </c>
      <c r="BM881">
        <v>8.91</v>
      </c>
      <c r="BN881">
        <v>68.33</v>
      </c>
      <c r="BO881">
        <v>68.33</v>
      </c>
      <c r="BQ881" t="s">
        <v>415</v>
      </c>
      <c r="BR881" t="s">
        <v>82</v>
      </c>
      <c r="BS881" s="3">
        <v>45999</v>
      </c>
      <c r="BT881" s="4">
        <v>0.32222222222222224</v>
      </c>
      <c r="BU881" t="s">
        <v>416</v>
      </c>
      <c r="BV881" t="s">
        <v>84</v>
      </c>
      <c r="BY881">
        <v>18324.810000000001</v>
      </c>
      <c r="CA881" t="s">
        <v>417</v>
      </c>
      <c r="CC881" t="s">
        <v>266</v>
      </c>
      <c r="CD881">
        <v>1459</v>
      </c>
      <c r="CE881" t="s">
        <v>86</v>
      </c>
      <c r="CI881">
        <v>1</v>
      </c>
      <c r="CJ881">
        <v>1</v>
      </c>
      <c r="CK881">
        <v>22</v>
      </c>
      <c r="CL881" t="s">
        <v>87</v>
      </c>
    </row>
    <row r="882" spans="1:90" x14ac:dyDescent="0.3">
      <c r="A882" t="s">
        <v>72</v>
      </c>
      <c r="B882" t="s">
        <v>73</v>
      </c>
      <c r="C882" t="s">
        <v>74</v>
      </c>
      <c r="E882" t="str">
        <f>"080069706194"</f>
        <v>080069706194</v>
      </c>
      <c r="F882" s="3">
        <v>45996</v>
      </c>
      <c r="G882">
        <v>202609</v>
      </c>
      <c r="H882" t="s">
        <v>75</v>
      </c>
      <c r="I882" t="s">
        <v>76</v>
      </c>
      <c r="J882" t="s">
        <v>77</v>
      </c>
      <c r="K882" t="s">
        <v>78</v>
      </c>
      <c r="L882" t="s">
        <v>218</v>
      </c>
      <c r="M882" t="s">
        <v>219</v>
      </c>
      <c r="N882" t="s">
        <v>220</v>
      </c>
      <c r="O882" t="s">
        <v>89</v>
      </c>
      <c r="P882" t="str">
        <f>"4170072047                    "</f>
        <v xml:space="preserve">4170072047                    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0</v>
      </c>
      <c r="AF882">
        <v>0</v>
      </c>
      <c r="AG882">
        <v>0</v>
      </c>
      <c r="AH882">
        <v>0</v>
      </c>
      <c r="AI882">
        <v>0</v>
      </c>
      <c r="AJ882">
        <v>0</v>
      </c>
      <c r="AK882">
        <v>0</v>
      </c>
      <c r="AL882">
        <v>0</v>
      </c>
      <c r="AM882">
        <v>0</v>
      </c>
      <c r="AN882">
        <v>0</v>
      </c>
      <c r="AO882">
        <v>0</v>
      </c>
      <c r="AP882">
        <v>0</v>
      </c>
      <c r="AQ882">
        <v>127.61</v>
      </c>
      <c r="AR882">
        <v>0</v>
      </c>
      <c r="AS882">
        <v>0</v>
      </c>
      <c r="AT882">
        <v>0</v>
      </c>
      <c r="AU882">
        <v>0</v>
      </c>
      <c r="AV882">
        <v>0</v>
      </c>
      <c r="AW882">
        <v>0</v>
      </c>
      <c r="AX882">
        <v>0</v>
      </c>
      <c r="AY882">
        <v>0</v>
      </c>
      <c r="AZ882">
        <v>0</v>
      </c>
      <c r="BA882">
        <v>0</v>
      </c>
      <c r="BB882">
        <v>0</v>
      </c>
      <c r="BC882">
        <v>0</v>
      </c>
      <c r="BD882">
        <v>0</v>
      </c>
      <c r="BE882">
        <v>0</v>
      </c>
      <c r="BF882">
        <v>0</v>
      </c>
      <c r="BG882">
        <v>0</v>
      </c>
      <c r="BH882">
        <v>1</v>
      </c>
      <c r="BI882">
        <v>2.9</v>
      </c>
      <c r="BJ882">
        <v>5.2</v>
      </c>
      <c r="BK882">
        <v>5.5</v>
      </c>
      <c r="BL882">
        <v>380.31</v>
      </c>
      <c r="BM882">
        <v>57.05</v>
      </c>
      <c r="BN882">
        <v>437.36</v>
      </c>
      <c r="BO882">
        <v>437.36</v>
      </c>
      <c r="BQ882" t="s">
        <v>221</v>
      </c>
      <c r="BR882" t="s">
        <v>82</v>
      </c>
      <c r="BS882" t="s">
        <v>500</v>
      </c>
      <c r="BY882">
        <v>25956.45</v>
      </c>
      <c r="CC882" t="s">
        <v>219</v>
      </c>
      <c r="CD882">
        <v>2740</v>
      </c>
      <c r="CE882" t="s">
        <v>93</v>
      </c>
      <c r="CI882">
        <v>1</v>
      </c>
      <c r="CJ882" t="s">
        <v>500</v>
      </c>
      <c r="CK882">
        <v>23</v>
      </c>
      <c r="CL882" t="s">
        <v>87</v>
      </c>
    </row>
    <row r="883" spans="1:90" x14ac:dyDescent="0.3">
      <c r="A883" t="s">
        <v>72</v>
      </c>
      <c r="B883" t="s">
        <v>73</v>
      </c>
      <c r="C883" t="s">
        <v>74</v>
      </c>
      <c r="E883" t="str">
        <f>"080069706222"</f>
        <v>080069706222</v>
      </c>
      <c r="F883" s="3">
        <v>45996</v>
      </c>
      <c r="G883">
        <v>202609</v>
      </c>
      <c r="H883" t="s">
        <v>75</v>
      </c>
      <c r="I883" t="s">
        <v>76</v>
      </c>
      <c r="J883" t="s">
        <v>77</v>
      </c>
      <c r="K883" t="s">
        <v>78</v>
      </c>
      <c r="L883" t="s">
        <v>302</v>
      </c>
      <c r="M883" t="s">
        <v>303</v>
      </c>
      <c r="N883" t="s">
        <v>1520</v>
      </c>
      <c r="O883" t="s">
        <v>80</v>
      </c>
      <c r="P883" t="str">
        <f>"4170072222                    "</f>
        <v xml:space="preserve">4170072222                    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  <c r="AD883">
        <v>0</v>
      </c>
      <c r="AE883">
        <v>0</v>
      </c>
      <c r="AF883">
        <v>0</v>
      </c>
      <c r="AG883">
        <v>0</v>
      </c>
      <c r="AH883">
        <v>0</v>
      </c>
      <c r="AI883">
        <v>0</v>
      </c>
      <c r="AJ883">
        <v>0</v>
      </c>
      <c r="AK883">
        <v>0</v>
      </c>
      <c r="AL883">
        <v>0</v>
      </c>
      <c r="AM883">
        <v>0</v>
      </c>
      <c r="AN883">
        <v>0</v>
      </c>
      <c r="AO883">
        <v>0</v>
      </c>
      <c r="AP883">
        <v>0</v>
      </c>
      <c r="AQ883">
        <v>49.36</v>
      </c>
      <c r="AR883">
        <v>0</v>
      </c>
      <c r="AS883">
        <v>0</v>
      </c>
      <c r="AT883">
        <v>0</v>
      </c>
      <c r="AU883">
        <v>0</v>
      </c>
      <c r="AV883">
        <v>0</v>
      </c>
      <c r="AW883">
        <v>0</v>
      </c>
      <c r="AX883">
        <v>0</v>
      </c>
      <c r="AY883">
        <v>0</v>
      </c>
      <c r="AZ883">
        <v>0</v>
      </c>
      <c r="BA883">
        <v>0</v>
      </c>
      <c r="BB883">
        <v>0</v>
      </c>
      <c r="BC883">
        <v>0</v>
      </c>
      <c r="BD883">
        <v>0</v>
      </c>
      <c r="BE883">
        <v>0</v>
      </c>
      <c r="BF883">
        <v>0</v>
      </c>
      <c r="BG883">
        <v>0</v>
      </c>
      <c r="BH883">
        <v>2</v>
      </c>
      <c r="BI883">
        <v>8.3000000000000007</v>
      </c>
      <c r="BJ883">
        <v>9.5</v>
      </c>
      <c r="BK883">
        <v>10</v>
      </c>
      <c r="BL883">
        <v>153.19999999999999</v>
      </c>
      <c r="BM883">
        <v>22.98</v>
      </c>
      <c r="BN883">
        <v>176.18</v>
      </c>
      <c r="BO883">
        <v>176.18</v>
      </c>
      <c r="BQ883" t="s">
        <v>1521</v>
      </c>
      <c r="BR883" t="s">
        <v>82</v>
      </c>
      <c r="BS883" t="s">
        <v>500</v>
      </c>
      <c r="BY883">
        <v>47525.27</v>
      </c>
      <c r="CC883" t="s">
        <v>303</v>
      </c>
      <c r="CD883" s="5" t="s">
        <v>433</v>
      </c>
      <c r="CE883" t="s">
        <v>86</v>
      </c>
      <c r="CI883">
        <v>1</v>
      </c>
      <c r="CJ883" t="s">
        <v>500</v>
      </c>
      <c r="CK883">
        <v>41</v>
      </c>
      <c r="CL883" t="s">
        <v>87</v>
      </c>
    </row>
    <row r="884" spans="1:90" x14ac:dyDescent="0.3">
      <c r="A884" t="s">
        <v>72</v>
      </c>
      <c r="B884" t="s">
        <v>73</v>
      </c>
      <c r="C884" t="s">
        <v>74</v>
      </c>
      <c r="E884" t="str">
        <f>"080069706208"</f>
        <v>080069706208</v>
      </c>
      <c r="F884" s="3">
        <v>45996</v>
      </c>
      <c r="G884">
        <v>202609</v>
      </c>
      <c r="H884" t="s">
        <v>75</v>
      </c>
      <c r="I884" t="s">
        <v>76</v>
      </c>
      <c r="J884" t="s">
        <v>77</v>
      </c>
      <c r="K884" t="s">
        <v>78</v>
      </c>
      <c r="L884" t="s">
        <v>1539</v>
      </c>
      <c r="M884" t="s">
        <v>1540</v>
      </c>
      <c r="N884" t="s">
        <v>1541</v>
      </c>
      <c r="O884" t="s">
        <v>89</v>
      </c>
      <c r="P884" t="str">
        <f>"4170072069                    "</f>
        <v xml:space="preserve">4170072069                    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  <c r="AF884">
        <v>0</v>
      </c>
      <c r="AG884">
        <v>0</v>
      </c>
      <c r="AH884">
        <v>0</v>
      </c>
      <c r="AI884">
        <v>0</v>
      </c>
      <c r="AJ884">
        <v>0</v>
      </c>
      <c r="AK884">
        <v>0</v>
      </c>
      <c r="AL884">
        <v>0</v>
      </c>
      <c r="AM884">
        <v>0</v>
      </c>
      <c r="AN884">
        <v>0</v>
      </c>
      <c r="AO884">
        <v>0</v>
      </c>
      <c r="AP884">
        <v>0</v>
      </c>
      <c r="AQ884">
        <v>49.45</v>
      </c>
      <c r="AR884">
        <v>0</v>
      </c>
      <c r="AS884">
        <v>0</v>
      </c>
      <c r="AT884">
        <v>0</v>
      </c>
      <c r="AU884">
        <v>0</v>
      </c>
      <c r="AV884">
        <v>0</v>
      </c>
      <c r="AW884">
        <v>0</v>
      </c>
      <c r="AX884">
        <v>0</v>
      </c>
      <c r="AY884">
        <v>0</v>
      </c>
      <c r="AZ884">
        <v>0</v>
      </c>
      <c r="BA884">
        <v>0</v>
      </c>
      <c r="BB884">
        <v>0</v>
      </c>
      <c r="BC884">
        <v>0</v>
      </c>
      <c r="BD884">
        <v>0</v>
      </c>
      <c r="BE884">
        <v>0</v>
      </c>
      <c r="BF884">
        <v>0</v>
      </c>
      <c r="BG884">
        <v>0</v>
      </c>
      <c r="BH884">
        <v>1</v>
      </c>
      <c r="BI884">
        <v>1</v>
      </c>
      <c r="BJ884">
        <v>1.8</v>
      </c>
      <c r="BK884">
        <v>2</v>
      </c>
      <c r="BL884">
        <v>147.38</v>
      </c>
      <c r="BM884">
        <v>22.11</v>
      </c>
      <c r="BN884">
        <v>169.49</v>
      </c>
      <c r="BO884">
        <v>169.49</v>
      </c>
      <c r="BQ884" t="s">
        <v>1542</v>
      </c>
      <c r="BR884" t="s">
        <v>82</v>
      </c>
      <c r="BS884" t="s">
        <v>500</v>
      </c>
      <c r="BY884">
        <v>8775</v>
      </c>
      <c r="CC884" t="s">
        <v>1540</v>
      </c>
      <c r="CD884">
        <v>3310</v>
      </c>
      <c r="CE884" t="s">
        <v>86</v>
      </c>
      <c r="CI884">
        <v>1</v>
      </c>
      <c r="CJ884" t="s">
        <v>500</v>
      </c>
      <c r="CK884">
        <v>23</v>
      </c>
      <c r="CL884" t="s">
        <v>87</v>
      </c>
    </row>
    <row r="885" spans="1:90" x14ac:dyDescent="0.3">
      <c r="A885" t="s">
        <v>72</v>
      </c>
      <c r="B885" t="s">
        <v>73</v>
      </c>
      <c r="C885" t="s">
        <v>74</v>
      </c>
      <c r="E885" t="str">
        <f>"080069706230"</f>
        <v>080069706230</v>
      </c>
      <c r="F885" s="3">
        <v>45996</v>
      </c>
      <c r="G885">
        <v>202609</v>
      </c>
      <c r="H885" t="s">
        <v>75</v>
      </c>
      <c r="I885" t="s">
        <v>76</v>
      </c>
      <c r="J885" t="s">
        <v>77</v>
      </c>
      <c r="K885" t="s">
        <v>78</v>
      </c>
      <c r="L885" t="s">
        <v>75</v>
      </c>
      <c r="M885" t="s">
        <v>76</v>
      </c>
      <c r="N885" t="s">
        <v>494</v>
      </c>
      <c r="O885" t="s">
        <v>89</v>
      </c>
      <c r="P885" t="str">
        <f>"4170072131                    "</f>
        <v xml:space="preserve">4170072131                    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  <c r="AF885">
        <v>0</v>
      </c>
      <c r="AG885">
        <v>0</v>
      </c>
      <c r="AH885">
        <v>0</v>
      </c>
      <c r="AI885">
        <v>0</v>
      </c>
      <c r="AJ885">
        <v>0</v>
      </c>
      <c r="AK885">
        <v>0</v>
      </c>
      <c r="AL885">
        <v>0</v>
      </c>
      <c r="AM885">
        <v>0</v>
      </c>
      <c r="AN885">
        <v>0</v>
      </c>
      <c r="AO885">
        <v>0</v>
      </c>
      <c r="AP885">
        <v>0</v>
      </c>
      <c r="AQ885">
        <v>19.940000000000001</v>
      </c>
      <c r="AR885">
        <v>0</v>
      </c>
      <c r="AS885">
        <v>0</v>
      </c>
      <c r="AT885">
        <v>0</v>
      </c>
      <c r="AU885">
        <v>0</v>
      </c>
      <c r="AV885">
        <v>0</v>
      </c>
      <c r="AW885">
        <v>0</v>
      </c>
      <c r="AX885">
        <v>0</v>
      </c>
      <c r="AY885">
        <v>0</v>
      </c>
      <c r="AZ885">
        <v>0</v>
      </c>
      <c r="BA885">
        <v>0</v>
      </c>
      <c r="BB885">
        <v>0</v>
      </c>
      <c r="BC885">
        <v>0</v>
      </c>
      <c r="BD885">
        <v>0</v>
      </c>
      <c r="BE885">
        <v>0</v>
      </c>
      <c r="BF885">
        <v>0</v>
      </c>
      <c r="BG885">
        <v>0</v>
      </c>
      <c r="BH885">
        <v>1</v>
      </c>
      <c r="BI885">
        <v>6</v>
      </c>
      <c r="BJ885">
        <v>4.0999999999999996</v>
      </c>
      <c r="BK885">
        <v>6</v>
      </c>
      <c r="BL885">
        <v>59.42</v>
      </c>
      <c r="BM885">
        <v>8.91</v>
      </c>
      <c r="BN885">
        <v>68.33</v>
      </c>
      <c r="BO885">
        <v>68.33</v>
      </c>
      <c r="BQ885" t="s">
        <v>495</v>
      </c>
      <c r="BR885" t="s">
        <v>82</v>
      </c>
      <c r="BS885" t="s">
        <v>500</v>
      </c>
      <c r="BY885">
        <v>20358</v>
      </c>
      <c r="CC885" t="s">
        <v>76</v>
      </c>
      <c r="CD885">
        <v>1614</v>
      </c>
      <c r="CE885" t="s">
        <v>86</v>
      </c>
      <c r="CI885">
        <v>1</v>
      </c>
      <c r="CJ885" t="s">
        <v>500</v>
      </c>
      <c r="CK885">
        <v>22</v>
      </c>
      <c r="CL885" t="s">
        <v>87</v>
      </c>
    </row>
    <row r="886" spans="1:90" x14ac:dyDescent="0.3">
      <c r="A886" t="s">
        <v>72</v>
      </c>
      <c r="B886" t="s">
        <v>73</v>
      </c>
      <c r="C886" t="s">
        <v>74</v>
      </c>
      <c r="E886" t="str">
        <f>"080069706257"</f>
        <v>080069706257</v>
      </c>
      <c r="F886" s="3">
        <v>45996</v>
      </c>
      <c r="G886">
        <v>202609</v>
      </c>
      <c r="H886" t="s">
        <v>75</v>
      </c>
      <c r="I886" t="s">
        <v>76</v>
      </c>
      <c r="J886" t="s">
        <v>77</v>
      </c>
      <c r="K886" t="s">
        <v>78</v>
      </c>
      <c r="L886" t="s">
        <v>691</v>
      </c>
      <c r="M886" t="s">
        <v>691</v>
      </c>
      <c r="N886" t="s">
        <v>541</v>
      </c>
      <c r="O886" t="s">
        <v>89</v>
      </c>
      <c r="P886" t="str">
        <f>"4170072178                    "</f>
        <v xml:space="preserve">4170072178                    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0</v>
      </c>
      <c r="AF886">
        <v>0</v>
      </c>
      <c r="AG886">
        <v>0</v>
      </c>
      <c r="AH886">
        <v>0</v>
      </c>
      <c r="AI886">
        <v>0</v>
      </c>
      <c r="AJ886">
        <v>0</v>
      </c>
      <c r="AK886">
        <v>0</v>
      </c>
      <c r="AL886">
        <v>0</v>
      </c>
      <c r="AM886">
        <v>0</v>
      </c>
      <c r="AN886">
        <v>0</v>
      </c>
      <c r="AO886">
        <v>0</v>
      </c>
      <c r="AP886">
        <v>0</v>
      </c>
      <c r="AQ886">
        <v>35.9</v>
      </c>
      <c r="AR886">
        <v>0</v>
      </c>
      <c r="AS886">
        <v>0</v>
      </c>
      <c r="AT886">
        <v>0</v>
      </c>
      <c r="AU886">
        <v>0</v>
      </c>
      <c r="AV886">
        <v>0</v>
      </c>
      <c r="AW886">
        <v>0</v>
      </c>
      <c r="AX886">
        <v>0</v>
      </c>
      <c r="AY886">
        <v>0</v>
      </c>
      <c r="AZ886">
        <v>0</v>
      </c>
      <c r="BA886">
        <v>0</v>
      </c>
      <c r="BB886">
        <v>0</v>
      </c>
      <c r="BC886">
        <v>0</v>
      </c>
      <c r="BD886">
        <v>0</v>
      </c>
      <c r="BE886">
        <v>0</v>
      </c>
      <c r="BF886">
        <v>0</v>
      </c>
      <c r="BG886">
        <v>0</v>
      </c>
      <c r="BH886">
        <v>1</v>
      </c>
      <c r="BI886">
        <v>1</v>
      </c>
      <c r="BJ886">
        <v>1.1000000000000001</v>
      </c>
      <c r="BK886">
        <v>1.5</v>
      </c>
      <c r="BL886">
        <v>106.98</v>
      </c>
      <c r="BM886">
        <v>16.05</v>
      </c>
      <c r="BN886">
        <v>123.03</v>
      </c>
      <c r="BO886">
        <v>123.03</v>
      </c>
      <c r="BQ886" t="s">
        <v>542</v>
      </c>
      <c r="BR886" t="s">
        <v>82</v>
      </c>
      <c r="BS886" t="s">
        <v>500</v>
      </c>
      <c r="BY886">
        <v>5320</v>
      </c>
      <c r="CC886" t="s">
        <v>691</v>
      </c>
      <c r="CD886">
        <v>1491</v>
      </c>
      <c r="CE886" t="s">
        <v>86</v>
      </c>
      <c r="CI886">
        <v>1</v>
      </c>
      <c r="CJ886" t="s">
        <v>500</v>
      </c>
      <c r="CK886">
        <v>24</v>
      </c>
      <c r="CL886" t="s">
        <v>87</v>
      </c>
    </row>
    <row r="887" spans="1:90" x14ac:dyDescent="0.3">
      <c r="A887" t="s">
        <v>72</v>
      </c>
      <c r="B887" t="s">
        <v>73</v>
      </c>
      <c r="C887" t="s">
        <v>74</v>
      </c>
      <c r="E887" t="str">
        <f>"080069706281"</f>
        <v>080069706281</v>
      </c>
      <c r="F887" s="3">
        <v>45996</v>
      </c>
      <c r="G887">
        <v>202609</v>
      </c>
      <c r="H887" t="s">
        <v>75</v>
      </c>
      <c r="I887" t="s">
        <v>76</v>
      </c>
      <c r="J887" t="s">
        <v>77</v>
      </c>
      <c r="K887" t="s">
        <v>78</v>
      </c>
      <c r="L887" t="s">
        <v>389</v>
      </c>
      <c r="M887" t="s">
        <v>390</v>
      </c>
      <c r="N887" t="s">
        <v>1071</v>
      </c>
      <c r="O887" t="s">
        <v>89</v>
      </c>
      <c r="P887" t="str">
        <f>"4170072162                    "</f>
        <v xml:space="preserve">4170072162                    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0</v>
      </c>
      <c r="AF887">
        <v>0</v>
      </c>
      <c r="AG887">
        <v>0</v>
      </c>
      <c r="AH887">
        <v>0</v>
      </c>
      <c r="AI887">
        <v>0</v>
      </c>
      <c r="AJ887">
        <v>0</v>
      </c>
      <c r="AK887">
        <v>0</v>
      </c>
      <c r="AL887">
        <v>0</v>
      </c>
      <c r="AM887">
        <v>0</v>
      </c>
      <c r="AN887">
        <v>0</v>
      </c>
      <c r="AO887">
        <v>0</v>
      </c>
      <c r="AP887">
        <v>0</v>
      </c>
      <c r="AQ887">
        <v>49.45</v>
      </c>
      <c r="AR887">
        <v>0</v>
      </c>
      <c r="AS887">
        <v>0</v>
      </c>
      <c r="AT887">
        <v>0</v>
      </c>
      <c r="AU887">
        <v>0</v>
      </c>
      <c r="AV887">
        <v>0</v>
      </c>
      <c r="AW887">
        <v>0</v>
      </c>
      <c r="AX887">
        <v>0</v>
      </c>
      <c r="AY887">
        <v>0</v>
      </c>
      <c r="AZ887">
        <v>0</v>
      </c>
      <c r="BA887">
        <v>0</v>
      </c>
      <c r="BB887">
        <v>0</v>
      </c>
      <c r="BC887">
        <v>0</v>
      </c>
      <c r="BD887">
        <v>0</v>
      </c>
      <c r="BE887">
        <v>0</v>
      </c>
      <c r="BF887">
        <v>0</v>
      </c>
      <c r="BG887">
        <v>0</v>
      </c>
      <c r="BH887">
        <v>1</v>
      </c>
      <c r="BI887">
        <v>1</v>
      </c>
      <c r="BJ887">
        <v>1.1000000000000001</v>
      </c>
      <c r="BK887">
        <v>1.5</v>
      </c>
      <c r="BL887">
        <v>147.38</v>
      </c>
      <c r="BM887">
        <v>22.11</v>
      </c>
      <c r="BN887">
        <v>169.49</v>
      </c>
      <c r="BO887">
        <v>169.49</v>
      </c>
      <c r="BQ887" t="s">
        <v>1072</v>
      </c>
      <c r="BR887" t="s">
        <v>82</v>
      </c>
      <c r="BS887" t="s">
        <v>500</v>
      </c>
      <c r="BY887">
        <v>5320</v>
      </c>
      <c r="CC887" t="s">
        <v>390</v>
      </c>
      <c r="CD887" s="5" t="s">
        <v>395</v>
      </c>
      <c r="CE887" t="s">
        <v>86</v>
      </c>
      <c r="CI887">
        <v>1</v>
      </c>
      <c r="CJ887" t="s">
        <v>500</v>
      </c>
      <c r="CK887">
        <v>23</v>
      </c>
      <c r="CL887" t="s">
        <v>87</v>
      </c>
    </row>
    <row r="888" spans="1:90" x14ac:dyDescent="0.3">
      <c r="A888" t="s">
        <v>72</v>
      </c>
      <c r="B888" t="s">
        <v>73</v>
      </c>
      <c r="C888" t="s">
        <v>74</v>
      </c>
      <c r="E888" t="str">
        <f>"080069706302"</f>
        <v>080069706302</v>
      </c>
      <c r="F888" s="3">
        <v>45996</v>
      </c>
      <c r="G888">
        <v>202609</v>
      </c>
      <c r="H888" t="s">
        <v>75</v>
      </c>
      <c r="I888" t="s">
        <v>76</v>
      </c>
      <c r="J888" t="s">
        <v>77</v>
      </c>
      <c r="K888" t="s">
        <v>78</v>
      </c>
      <c r="L888" t="s">
        <v>128</v>
      </c>
      <c r="M888" t="s">
        <v>129</v>
      </c>
      <c r="N888" t="s">
        <v>1263</v>
      </c>
      <c r="O888" t="s">
        <v>89</v>
      </c>
      <c r="P888" t="str">
        <f>"4170072153                    "</f>
        <v xml:space="preserve">4170072153                    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0</v>
      </c>
      <c r="AD888">
        <v>0</v>
      </c>
      <c r="AE888">
        <v>0</v>
      </c>
      <c r="AF888">
        <v>0</v>
      </c>
      <c r="AG888">
        <v>0</v>
      </c>
      <c r="AH888">
        <v>0</v>
      </c>
      <c r="AI888">
        <v>0</v>
      </c>
      <c r="AJ888">
        <v>0</v>
      </c>
      <c r="AK888">
        <v>0</v>
      </c>
      <c r="AL888">
        <v>0</v>
      </c>
      <c r="AM888">
        <v>0</v>
      </c>
      <c r="AN888">
        <v>0</v>
      </c>
      <c r="AO888">
        <v>0</v>
      </c>
      <c r="AP888">
        <v>0</v>
      </c>
      <c r="AQ888">
        <v>57.41</v>
      </c>
      <c r="AR888">
        <v>0</v>
      </c>
      <c r="AS888">
        <v>0</v>
      </c>
      <c r="AT888">
        <v>0</v>
      </c>
      <c r="AU888">
        <v>0</v>
      </c>
      <c r="AV888">
        <v>0</v>
      </c>
      <c r="AW888">
        <v>0</v>
      </c>
      <c r="AX888">
        <v>0</v>
      </c>
      <c r="AY888">
        <v>0</v>
      </c>
      <c r="AZ888">
        <v>0</v>
      </c>
      <c r="BA888">
        <v>0</v>
      </c>
      <c r="BB888">
        <v>0</v>
      </c>
      <c r="BC888">
        <v>0</v>
      </c>
      <c r="BD888">
        <v>0</v>
      </c>
      <c r="BE888">
        <v>0</v>
      </c>
      <c r="BF888">
        <v>0</v>
      </c>
      <c r="BG888">
        <v>0</v>
      </c>
      <c r="BH888">
        <v>1</v>
      </c>
      <c r="BI888">
        <v>3</v>
      </c>
      <c r="BJ888">
        <v>4.0999999999999996</v>
      </c>
      <c r="BK888">
        <v>4.5</v>
      </c>
      <c r="BL888">
        <v>171.1</v>
      </c>
      <c r="BM888">
        <v>25.67</v>
      </c>
      <c r="BN888">
        <v>196.77</v>
      </c>
      <c r="BO888">
        <v>196.77</v>
      </c>
      <c r="BQ888" t="s">
        <v>1264</v>
      </c>
      <c r="BR888" t="s">
        <v>82</v>
      </c>
      <c r="BS888" t="s">
        <v>500</v>
      </c>
      <c r="BY888">
        <v>20358</v>
      </c>
      <c r="CC888" t="s">
        <v>129</v>
      </c>
      <c r="CD888">
        <v>5201</v>
      </c>
      <c r="CE888" t="s">
        <v>86</v>
      </c>
      <c r="CI888">
        <v>1</v>
      </c>
      <c r="CJ888" t="s">
        <v>500</v>
      </c>
      <c r="CK888">
        <v>21</v>
      </c>
      <c r="CL888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sdrascd7-IENOMKE130634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2025-12-08T08:04:07Z</dcterms:created>
  <dcterms:modified xsi:type="dcterms:W3CDTF">2025-12-08T08:04:25Z</dcterms:modified>
</cp:coreProperties>
</file>