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C18281" sheetId="1" r:id="rId1"/>
  </sheets>
  <definedNames>
    <definedName name="_xlnm._FilterDatabase" localSheetId="0" hidden="1">'C18281'!$A$1:$CN$217</definedName>
  </definedNames>
  <calcPr calcId="145621"/>
</workbook>
</file>

<file path=xl/calcChain.xml><?xml version="1.0" encoding="utf-8"?>
<calcChain xmlns="http://schemas.openxmlformats.org/spreadsheetml/2006/main">
  <c r="P217" i="1" l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71" i="1"/>
  <c r="E171" i="1"/>
  <c r="P172" i="1"/>
  <c r="E172" i="1"/>
  <c r="P183" i="1"/>
  <c r="E183" i="1"/>
  <c r="P170" i="1"/>
  <c r="E170" i="1"/>
  <c r="P152" i="1"/>
  <c r="E152" i="1"/>
  <c r="P180" i="1"/>
  <c r="E180" i="1"/>
  <c r="P151" i="1"/>
  <c r="E151" i="1"/>
  <c r="P178" i="1"/>
  <c r="E178" i="1"/>
  <c r="P168" i="1"/>
  <c r="E168" i="1"/>
  <c r="P158" i="1"/>
  <c r="E158" i="1"/>
  <c r="P161" i="1"/>
  <c r="E161" i="1"/>
  <c r="P174" i="1"/>
  <c r="E174" i="1"/>
  <c r="P173" i="1"/>
  <c r="E173" i="1"/>
  <c r="P164" i="1"/>
  <c r="E164" i="1"/>
  <c r="P165" i="1"/>
  <c r="E165" i="1"/>
  <c r="P97" i="1"/>
  <c r="E97" i="1"/>
  <c r="P169" i="1"/>
  <c r="E169" i="1"/>
  <c r="P98" i="1"/>
  <c r="E98" i="1"/>
  <c r="P167" i="1"/>
  <c r="E167" i="1"/>
  <c r="P185" i="1"/>
  <c r="E185" i="1"/>
  <c r="P102" i="1"/>
  <c r="E102" i="1"/>
  <c r="P99" i="1"/>
  <c r="E99" i="1"/>
  <c r="P163" i="1"/>
  <c r="E163" i="1"/>
  <c r="P162" i="1"/>
  <c r="E162" i="1"/>
  <c r="P166" i="1"/>
  <c r="E166" i="1"/>
  <c r="P160" i="1"/>
  <c r="E160" i="1"/>
  <c r="P159" i="1"/>
  <c r="E159" i="1"/>
  <c r="P184" i="1"/>
  <c r="E184" i="1"/>
  <c r="P157" i="1"/>
  <c r="E157" i="1"/>
  <c r="P156" i="1"/>
  <c r="E156" i="1"/>
  <c r="P155" i="1"/>
  <c r="E155" i="1"/>
  <c r="P154" i="1"/>
  <c r="E154" i="1"/>
  <c r="P153" i="1"/>
  <c r="E153" i="1"/>
  <c r="P149" i="1"/>
  <c r="E149" i="1"/>
  <c r="P176" i="1"/>
  <c r="E176" i="1"/>
  <c r="P150" i="1"/>
  <c r="E150" i="1"/>
  <c r="P71" i="1"/>
  <c r="E71" i="1"/>
  <c r="P175" i="1"/>
  <c r="E175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77" i="1"/>
  <c r="E177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5" i="1"/>
  <c r="E125" i="1"/>
  <c r="P72" i="1"/>
  <c r="E72" i="1"/>
  <c r="P141" i="1"/>
  <c r="E141" i="1"/>
  <c r="P118" i="1"/>
  <c r="E118" i="1"/>
  <c r="P122" i="1"/>
  <c r="E122" i="1"/>
  <c r="P121" i="1"/>
  <c r="E121" i="1"/>
  <c r="P120" i="1"/>
  <c r="E120" i="1"/>
  <c r="P119" i="1"/>
  <c r="E119" i="1"/>
  <c r="P126" i="1"/>
  <c r="E126" i="1"/>
  <c r="P117" i="1"/>
  <c r="E117" i="1"/>
  <c r="P116" i="1"/>
  <c r="E116" i="1"/>
  <c r="P148" i="1"/>
  <c r="E148" i="1"/>
  <c r="P123" i="1"/>
  <c r="E123" i="1"/>
  <c r="P124" i="1"/>
  <c r="E124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70" i="1"/>
  <c r="E70" i="1"/>
  <c r="P68" i="1"/>
  <c r="E68" i="1"/>
  <c r="P113" i="1"/>
  <c r="E113" i="1"/>
  <c r="P101" i="1"/>
  <c r="E101" i="1"/>
  <c r="P100" i="1"/>
  <c r="E100" i="1"/>
  <c r="P69" i="1"/>
  <c r="E69" i="1"/>
  <c r="P114" i="1"/>
  <c r="E114" i="1"/>
  <c r="P104" i="1"/>
  <c r="E104" i="1"/>
  <c r="P96" i="1"/>
  <c r="E96" i="1"/>
  <c r="P95" i="1"/>
  <c r="E95" i="1"/>
  <c r="P94" i="1"/>
  <c r="E94" i="1"/>
  <c r="P93" i="1"/>
  <c r="E93" i="1"/>
  <c r="P66" i="1"/>
  <c r="E66" i="1"/>
  <c r="P80" i="1"/>
  <c r="E80" i="1"/>
  <c r="P103" i="1"/>
  <c r="E103" i="1"/>
  <c r="P115" i="1"/>
  <c r="E115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182" i="1"/>
  <c r="E182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45" i="1"/>
  <c r="E45" i="1"/>
  <c r="P56" i="1"/>
  <c r="E56" i="1"/>
  <c r="P57" i="1"/>
  <c r="E57" i="1"/>
  <c r="P52" i="1"/>
  <c r="E52" i="1"/>
  <c r="P42" i="1"/>
  <c r="E42" i="1"/>
  <c r="P67" i="1"/>
  <c r="E67" i="1"/>
  <c r="P92" i="1"/>
  <c r="E92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3" i="1"/>
  <c r="E3" i="1"/>
  <c r="P179" i="1"/>
  <c r="E179" i="1"/>
  <c r="P55" i="1"/>
  <c r="E55" i="1"/>
  <c r="P54" i="1"/>
  <c r="E54" i="1"/>
  <c r="P53" i="1"/>
  <c r="E53" i="1"/>
  <c r="P181" i="1"/>
  <c r="E181" i="1"/>
  <c r="P51" i="1"/>
  <c r="E51" i="1"/>
  <c r="P50" i="1"/>
  <c r="E50" i="1"/>
  <c r="P49" i="1"/>
  <c r="E49" i="1"/>
  <c r="P48" i="1"/>
  <c r="E48" i="1"/>
  <c r="P47" i="1"/>
  <c r="E47" i="1"/>
  <c r="P15" i="1"/>
  <c r="E15" i="1"/>
  <c r="P89" i="1"/>
  <c r="E89" i="1"/>
  <c r="P44" i="1"/>
  <c r="E44" i="1"/>
  <c r="P43" i="1"/>
  <c r="E43" i="1"/>
  <c r="P91" i="1"/>
  <c r="E91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90" i="1"/>
  <c r="E90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46" i="1"/>
  <c r="E46" i="1"/>
  <c r="P2" i="1"/>
  <c r="E2" i="1"/>
</calcChain>
</file>

<file path=xl/sharedStrings.xml><?xml version="1.0" encoding="utf-8"?>
<sst xmlns="http://schemas.openxmlformats.org/spreadsheetml/2006/main" count="4336" uniqueCount="588">
  <si>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</si>
  <si>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</si>
  <si>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</si>
  <si>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</si>
  <si>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</si>
  <si>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</si>
  <si>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</si>
  <si>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</si>
  <si>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</si>
  <si>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</si>
  <si>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</si>
  <si>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</si>
  <si>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</si>
  <si>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</si>
  <si>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</si>
  <si>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</si>
  <si>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</si>
  <si>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</si>
  <si>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</si>
  <si>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</si>
  <si>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</si>
  <si>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</si>
  <si>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</si>
  <si>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</si>
  <si>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</si>
  <si>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</si>
  <si>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</si>
  <si>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</si>
  <si>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</si>
  <si>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</si>
  <si>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</si>
  <si>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</si>
  <si>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</si>
  <si>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</si>
  <si>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</si>
  <si>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</si>
  <si>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</si>
  <si>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</si>
  <si>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</si>
  <si>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</si>
  <si>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</si>
  <si>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</si>
  <si>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</si>
  <si>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</si>
  <si>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</si>
  <si>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</si>
  <si>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</si>
  <si>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</si>
  <si>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</si>
  <si>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</si>
  <si>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</si>
  <si>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</si>
  <si>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</si>
  <si>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</si>
  <si>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</si>
  <si>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</si>
  <si>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</si>
  <si>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</si>
  <si>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</si>
  <si>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</si>
  <si>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</si>
  <si>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</si>
  <si>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</si>
  <si>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</si>
  <si>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</si>
  <si>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</si>
  <si>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</si>
  <si>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</si>
  <si>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</si>
  <si>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</si>
  <si>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</si>
  <si>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</si>
  <si>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</si>
  <si>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</si>
  <si>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</si>
  <si>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</si>
  <si>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EAST</t>
  </si>
  <si>
    <t>EAST LONDON</t>
  </si>
  <si>
    <t>ON1</t>
  </si>
  <si>
    <t>yes</t>
  </si>
  <si>
    <t>FUE / DOC</t>
  </si>
  <si>
    <t>no</t>
  </si>
  <si>
    <t>UMHLA</t>
  </si>
  <si>
    <t>UMHLANGA ROCKS</t>
  </si>
  <si>
    <t>BOKSB</t>
  </si>
  <si>
    <t>BOKSBURG</t>
  </si>
  <si>
    <t>POD received from cell 0607379938 M</t>
  </si>
  <si>
    <t>PORT3</t>
  </si>
  <si>
    <t>PORT ELIZABETH</t>
  </si>
  <si>
    <t>PARCEL</t>
  </si>
  <si>
    <t>PINET</t>
  </si>
  <si>
    <t>PINETOWN</t>
  </si>
  <si>
    <t>PRETORIA</t>
  </si>
  <si>
    <t>RD</t>
  </si>
  <si>
    <t>RDR</t>
  </si>
  <si>
    <t>CAPET</t>
  </si>
  <si>
    <t>CAPE TOWN</t>
  </si>
  <si>
    <t>Late Linehaul Delayed Beyond Skynet Control</t>
  </si>
  <si>
    <t>DAA</t>
  </si>
  <si>
    <t>KRUGE</t>
  </si>
  <si>
    <t>KRUGERSDORP</t>
  </si>
  <si>
    <t>POD received from cell 0835755064 M</t>
  </si>
  <si>
    <t>SASOL</t>
  </si>
  <si>
    <t>SASOLBURG</t>
  </si>
  <si>
    <t>MIDRA</t>
  </si>
  <si>
    <t>MIDRAND</t>
  </si>
  <si>
    <t>RANDB</t>
  </si>
  <si>
    <t>RANDBURG</t>
  </si>
  <si>
    <t xml:space="preserve">                                        </t>
  </si>
  <si>
    <t>JOHAN</t>
  </si>
  <si>
    <t>JOHANNESBURG</t>
  </si>
  <si>
    <t>POD received from cell 0670609670 M</t>
  </si>
  <si>
    <t>PRETO</t>
  </si>
  <si>
    <t>Driver late</t>
  </si>
  <si>
    <t>CCH</t>
  </si>
  <si>
    <t>PIET1</t>
  </si>
  <si>
    <t>PIETERMARITZBURG</t>
  </si>
  <si>
    <t>Late linehaul</t>
  </si>
  <si>
    <t>non</t>
  </si>
  <si>
    <t>GERMI</t>
  </si>
  <si>
    <t>GERMISTON</t>
  </si>
  <si>
    <t>mmd</t>
  </si>
  <si>
    <t>DURBA</t>
  </si>
  <si>
    <t>DURBAN</t>
  </si>
  <si>
    <t>les</t>
  </si>
  <si>
    <t>POD received from cell 0622781438 M</t>
  </si>
  <si>
    <t>RDD</t>
  </si>
  <si>
    <t>rd2</t>
  </si>
  <si>
    <t>NAW</t>
  </si>
  <si>
    <t>RD2</t>
  </si>
  <si>
    <t>POD received from cell 0614103810 M</t>
  </si>
  <si>
    <t>LLH</t>
  </si>
  <si>
    <t>POD received from cell 0844549356 M</t>
  </si>
  <si>
    <t>?</t>
  </si>
  <si>
    <t>POD received from cell 0726813383 M</t>
  </si>
  <si>
    <t>SIGNATURE</t>
  </si>
  <si>
    <t>ROODE</t>
  </si>
  <si>
    <t>ROODEPOORT</t>
  </si>
  <si>
    <t>TES</t>
  </si>
  <si>
    <t>HND / FUE / DOC</t>
  </si>
  <si>
    <t>POD received from cell 0746644640 M</t>
  </si>
  <si>
    <t>illeg</t>
  </si>
  <si>
    <t>POD received from cell 0738058187 M</t>
  </si>
  <si>
    <t>Consignee not available)</t>
  </si>
  <si>
    <t>bem</t>
  </si>
  <si>
    <t>POD received from cell 0733986414 M</t>
  </si>
  <si>
    <t>LADYS</t>
  </si>
  <si>
    <t>LADYSMITH (NTL)</t>
  </si>
  <si>
    <t>POD received from cell 0762159882 M</t>
  </si>
  <si>
    <t>SYSTEM</t>
  </si>
  <si>
    <t>kat</t>
  </si>
  <si>
    <t xml:space="preserve">POD received from cell 0651707783 M     </t>
  </si>
  <si>
    <t>UAT</t>
  </si>
  <si>
    <t>Appointment required</t>
  </si>
  <si>
    <t>mike</t>
  </si>
  <si>
    <t>BENON</t>
  </si>
  <si>
    <t>BENONI</t>
  </si>
  <si>
    <t>jam</t>
  </si>
  <si>
    <t>SOME2</t>
  </si>
  <si>
    <t>SOMERSET WEST</t>
  </si>
  <si>
    <t>let</t>
  </si>
  <si>
    <t>AVW</t>
  </si>
  <si>
    <t>POD received from cell 0784785217 M</t>
  </si>
  <si>
    <t>POD received from cell 0744435413 M</t>
  </si>
  <si>
    <t>ALBE2</t>
  </si>
  <si>
    <t>ALBERTON</t>
  </si>
  <si>
    <t>POD received from cell 0814795132 M</t>
  </si>
  <si>
    <t>michael</t>
  </si>
  <si>
    <t>MIDD2</t>
  </si>
  <si>
    <t>MIDDELBURG (Mpumalanga)</t>
  </si>
  <si>
    <t>MOSES</t>
  </si>
  <si>
    <t>POD received from cell 0723863877 M</t>
  </si>
  <si>
    <t>PORT4</t>
  </si>
  <si>
    <t>PORT SHEPSTONE</t>
  </si>
  <si>
    <t>POD received from cell 0745473242 M</t>
  </si>
  <si>
    <t>.</t>
  </si>
  <si>
    <t>POD received from cell 0624916044 M</t>
  </si>
  <si>
    <t>VANDE</t>
  </si>
  <si>
    <t>VANDERBIJLPARK</t>
  </si>
  <si>
    <t>POD received from cell 0651707783 M</t>
  </si>
  <si>
    <t>TONGA</t>
  </si>
  <si>
    <t>TONGAAT</t>
  </si>
  <si>
    <t>SAM</t>
  </si>
  <si>
    <t>tracy</t>
  </si>
  <si>
    <t>ON2</t>
  </si>
  <si>
    <t>FUE / doc</t>
  </si>
  <si>
    <t>SECUN</t>
  </si>
  <si>
    <t>SECUNDA</t>
  </si>
  <si>
    <t xml:space="preserve">POD received from cell 0634406078 M     </t>
  </si>
  <si>
    <t>QUEEN</t>
  </si>
  <si>
    <t>RDL</t>
  </si>
  <si>
    <t>Outlying delivery location</t>
  </si>
  <si>
    <t>NGF</t>
  </si>
  <si>
    <t>capet</t>
  </si>
  <si>
    <t>RDX</t>
  </si>
  <si>
    <t>PIET2</t>
  </si>
  <si>
    <t>PIETERSBURG</t>
  </si>
  <si>
    <t>eugene</t>
  </si>
  <si>
    <t>tes</t>
  </si>
  <si>
    <t>POD received from cell 0727287520 M</t>
  </si>
  <si>
    <t>NA</t>
  </si>
  <si>
    <t>QUEENSTOWN</t>
  </si>
  <si>
    <t>martin</t>
  </si>
  <si>
    <t>SANDT</t>
  </si>
  <si>
    <t>SANDTON</t>
  </si>
  <si>
    <t>POD received from cell 0713017212 M</t>
  </si>
  <si>
    <t>POD received from cell 0643505724 M</t>
  </si>
  <si>
    <t>hilda</t>
  </si>
  <si>
    <t>POD received from cell 0730059234 M</t>
  </si>
  <si>
    <t>POD received from cell 0731234559 M</t>
  </si>
  <si>
    <t>BONGIE</t>
  </si>
  <si>
    <t>DOC / FUE</t>
  </si>
  <si>
    <t>AMELIA</t>
  </si>
  <si>
    <t>mariska</t>
  </si>
  <si>
    <t>signed</t>
  </si>
  <si>
    <t>POD received from cell 0828088659 M</t>
  </si>
  <si>
    <t>MICHAEL</t>
  </si>
  <si>
    <t>POD received from cell 0643414757 M</t>
  </si>
  <si>
    <t>POD received from cell 0617401072 M</t>
  </si>
  <si>
    <t>ALFRED</t>
  </si>
  <si>
    <t>Brian</t>
  </si>
  <si>
    <t>Robert</t>
  </si>
  <si>
    <t>POD received from cell 0672422497 M</t>
  </si>
  <si>
    <t>david</t>
  </si>
  <si>
    <t>moo</t>
  </si>
  <si>
    <t>micheal</t>
  </si>
  <si>
    <t>DBC</t>
  </si>
  <si>
    <t xml:space="preserve">POD received from cell 0810022189 M     </t>
  </si>
  <si>
    <t>MOVE ANALYTICS SA CC (SA GREETINGS)</t>
  </si>
  <si>
    <t xml:space="preserve">SA GREETINGS                       </t>
  </si>
  <si>
    <t>YOLANDA</t>
  </si>
  <si>
    <t>PATIENCE</t>
  </si>
  <si>
    <t>wilma</t>
  </si>
  <si>
    <t xml:space="preserve">CARDIES MARKETING                  </t>
  </si>
  <si>
    <t xml:space="preserve">P V T                              </t>
  </si>
  <si>
    <t>RAEBA PARKER</t>
  </si>
  <si>
    <t>LINDI</t>
  </si>
  <si>
    <t>RAEESA</t>
  </si>
  <si>
    <t>POD received from cell 0849514330 M</t>
  </si>
  <si>
    <t>HELLEN</t>
  </si>
  <si>
    <t>lebo</t>
  </si>
  <si>
    <t>C18281</t>
  </si>
  <si>
    <t xml:space="preserve">CARDIES                            </t>
  </si>
  <si>
    <t xml:space="preserve">CARDIES MALL OF THE SOUTH          </t>
  </si>
  <si>
    <t>PEARL</t>
  </si>
  <si>
    <t>POFI LEGODI</t>
  </si>
  <si>
    <t>LEANNE 381325</t>
  </si>
  <si>
    <t>NOMFUNDO DLAMINI</t>
  </si>
  <si>
    <t>patsy</t>
  </si>
  <si>
    <t>POD received from cell 0837429668 M</t>
  </si>
  <si>
    <t>WILMA BRIKKELS</t>
  </si>
  <si>
    <t xml:space="preserve">CARDIES BAYWEST                    </t>
  </si>
  <si>
    <t>CHANTEL</t>
  </si>
  <si>
    <t>NELMARI</t>
  </si>
  <si>
    <t>LEBO</t>
  </si>
  <si>
    <t xml:space="preserve">LINDI ENGELBRECHT                  </t>
  </si>
  <si>
    <t>smah</t>
  </si>
  <si>
    <t xml:space="preserve">CARDIES MUSGRAVE                   </t>
  </si>
  <si>
    <t>AMANDA</t>
  </si>
  <si>
    <t xml:space="preserve">SA GREETINGS-CARDIES ONLINE        </t>
  </si>
  <si>
    <t>BLOE1</t>
  </si>
  <si>
    <t>BLOEMFONTEIN</t>
  </si>
  <si>
    <t xml:space="preserve">PVT                                </t>
  </si>
  <si>
    <t>MOJALEFA</t>
  </si>
  <si>
    <t xml:space="preserve">S SMITH                       </t>
  </si>
  <si>
    <t xml:space="preserve">POD received from cell 0784452502 M     </t>
  </si>
  <si>
    <t xml:space="preserve">CARDIES TYGERVALLEY                </t>
  </si>
  <si>
    <t>STACEY</t>
  </si>
  <si>
    <t xml:space="preserve">lebo                          </t>
  </si>
  <si>
    <t xml:space="preserve">CARDIES WALMER PARK                </t>
  </si>
  <si>
    <t xml:space="preserve">CARDIES EASTGATE MALL              </t>
  </si>
  <si>
    <t>N A</t>
  </si>
  <si>
    <t>MANAGER</t>
  </si>
  <si>
    <t>SAMANTHA</t>
  </si>
  <si>
    <t>NEUMARI</t>
  </si>
  <si>
    <t xml:space="preserve">CARDIES NICOLWAY                   </t>
  </si>
  <si>
    <t>CHARMAINE</t>
  </si>
  <si>
    <t xml:space="preserve">CARDIES BEDFORD CENTRE             </t>
  </si>
  <si>
    <t>PRESHANTI P</t>
  </si>
  <si>
    <t xml:space="preserve">preshanti                     </t>
  </si>
  <si>
    <t>HND / FUE / doc</t>
  </si>
  <si>
    <t xml:space="preserve">POD received from cell 0670685527 M     </t>
  </si>
  <si>
    <t xml:space="preserve">RELACATIA BEAUTY SLAON             </t>
  </si>
  <si>
    <t>SUNE R</t>
  </si>
  <si>
    <t>rini</t>
  </si>
  <si>
    <t>CANDICE V</t>
  </si>
  <si>
    <t>CANDICE</t>
  </si>
  <si>
    <t xml:space="preserve">REGUS-PALADIN LIEBEEK HSE          </t>
  </si>
  <si>
    <t>ROBYN ABRAHAMS</t>
  </si>
  <si>
    <t>CARMAN L</t>
  </si>
  <si>
    <t>valeruwe</t>
  </si>
  <si>
    <t xml:space="preserve">ALLNUTT INCORPORATED ATTERNYES     </t>
  </si>
  <si>
    <t>LERISA P</t>
  </si>
  <si>
    <t>Lynn Allnut</t>
  </si>
  <si>
    <t xml:space="preserve">CICKS WESTWOOD PHARMACY            </t>
  </si>
  <si>
    <t>DEL TO DISPENSARY BETWEEN 09H00AM &amp;18H00PM</t>
  </si>
  <si>
    <t>RIVONA B</t>
  </si>
  <si>
    <t>m govender</t>
  </si>
  <si>
    <t>STANF</t>
  </si>
  <si>
    <t>STANDFORD</t>
  </si>
  <si>
    <t>ANNICA V</t>
  </si>
  <si>
    <t>annica</t>
  </si>
  <si>
    <t>POD received from cell 0655142110 M</t>
  </si>
  <si>
    <t xml:space="preserve">BLOND PRODUCATION                  </t>
  </si>
  <si>
    <t>EUGEN ENG</t>
  </si>
  <si>
    <t>eugen</t>
  </si>
  <si>
    <t>LARISHA</t>
  </si>
  <si>
    <t xml:space="preserve">CARDIES MALL@REDS                  </t>
  </si>
  <si>
    <t>BONGI</t>
  </si>
  <si>
    <t xml:space="preserve">PROP MAXIMASUPRE TRADING           </t>
  </si>
  <si>
    <t>NOTHANDO</t>
  </si>
  <si>
    <t>pritla</t>
  </si>
  <si>
    <t xml:space="preserve">CARDIES ONLINES                    </t>
  </si>
  <si>
    <t>CHANTEL DE KLERCK</t>
  </si>
  <si>
    <t>ATT:PRESHEN</t>
  </si>
  <si>
    <t xml:space="preserve">VEPE CIRCLE                        </t>
  </si>
  <si>
    <t>JACQUE LOMBARD</t>
  </si>
  <si>
    <t>jacques</t>
  </si>
  <si>
    <t>LUCIA BOVE</t>
  </si>
  <si>
    <t>NOMA</t>
  </si>
  <si>
    <t xml:space="preserve">SA GREETING-CARDIES ONLINE         </t>
  </si>
  <si>
    <t>MIKE GRAY</t>
  </si>
  <si>
    <t>ANEL SCHOEMAN</t>
  </si>
  <si>
    <t>Anel</t>
  </si>
  <si>
    <t>HAYLEY ADAMS</t>
  </si>
  <si>
    <t xml:space="preserve">Thelma                        </t>
  </si>
  <si>
    <t>EMMA E</t>
  </si>
  <si>
    <t>Emma</t>
  </si>
  <si>
    <t>NASHITA I</t>
  </si>
  <si>
    <t>dura</t>
  </si>
  <si>
    <t>POD received from cell 0786312089 M</t>
  </si>
  <si>
    <t>rdd</t>
  </si>
  <si>
    <t>VICTORIA</t>
  </si>
  <si>
    <t xml:space="preserve">CARDIES PAVILION                   </t>
  </si>
  <si>
    <t>ANGIE NELL</t>
  </si>
  <si>
    <t>ANNE</t>
  </si>
  <si>
    <t>yolande</t>
  </si>
  <si>
    <t>JACKIE D</t>
  </si>
  <si>
    <t>Jackie</t>
  </si>
  <si>
    <t xml:space="preserve">HJT TRANSPORT                      </t>
  </si>
  <si>
    <t>MELISA VAN TANDER</t>
  </si>
  <si>
    <t>riana</t>
  </si>
  <si>
    <t>K.CAIRUS</t>
  </si>
  <si>
    <t>E LLoyd</t>
  </si>
  <si>
    <t>POD received from cell 0729671846 M</t>
  </si>
  <si>
    <t>RD1</t>
  </si>
  <si>
    <t>JULIAN R</t>
  </si>
  <si>
    <t>JULIAN</t>
  </si>
  <si>
    <t>CHANTEL DE KLERK</t>
  </si>
  <si>
    <t>STILF</t>
  </si>
  <si>
    <t>STILFONTEIN</t>
  </si>
  <si>
    <t xml:space="preserve">WCA SOLUTIONS                      </t>
  </si>
  <si>
    <t>MELISSA DI PLESSIS</t>
  </si>
  <si>
    <t>melissa</t>
  </si>
  <si>
    <t>POD received from cell 0722147261 M</t>
  </si>
  <si>
    <t xml:space="preserve">CARDIES BAYSIDE                    </t>
  </si>
  <si>
    <t>CARDIES BAYSIDE</t>
  </si>
  <si>
    <t>WILMA NOOLAAN</t>
  </si>
  <si>
    <t>PULENG</t>
  </si>
  <si>
    <t>rdl</t>
  </si>
  <si>
    <t>MARGA</t>
  </si>
  <si>
    <t>MARGATE</t>
  </si>
  <si>
    <t xml:space="preserve">CARDIES SHELLY BEACH               </t>
  </si>
  <si>
    <t>SHERVAL NAIDOO</t>
  </si>
  <si>
    <t>RD4</t>
  </si>
  <si>
    <t>ELECRECIA   ANITA</t>
  </si>
  <si>
    <t>MELISSA GOVENDER</t>
  </si>
  <si>
    <t>levine</t>
  </si>
  <si>
    <t>BRUCE CARLS</t>
  </si>
  <si>
    <t>RENEL LE ROUX</t>
  </si>
  <si>
    <t>Ronel</t>
  </si>
  <si>
    <t>POD received from cell 0738269435 M</t>
  </si>
  <si>
    <t>AAMINA AMED</t>
  </si>
  <si>
    <t>aamina</t>
  </si>
  <si>
    <t>POD received from cell 0650224590 M</t>
  </si>
  <si>
    <t>JAME STIRLING</t>
  </si>
  <si>
    <t xml:space="preserve">CHARLES                       </t>
  </si>
  <si>
    <t xml:space="preserve">REGUS PALADIN                      </t>
  </si>
  <si>
    <t>ROBYN  ABRAMS</t>
  </si>
  <si>
    <t>mandy</t>
  </si>
  <si>
    <t>POD received from cell 0764958693 M</t>
  </si>
  <si>
    <t xml:space="preserve">SHOPRITE HEAD OFFICE               </t>
  </si>
  <si>
    <t>MARE VAN ZYL</t>
  </si>
  <si>
    <t>Celine</t>
  </si>
  <si>
    <t>MNEER</t>
  </si>
  <si>
    <t>MONICA</t>
  </si>
  <si>
    <t xml:space="preserve">SA GREETING-CARDIES ONINE          </t>
  </si>
  <si>
    <t xml:space="preserve">INTERBET SOLUTIONS                 </t>
  </si>
  <si>
    <t>TRISHAN C</t>
  </si>
  <si>
    <t>HAROLD</t>
  </si>
  <si>
    <t>LINDI TREURNICHT</t>
  </si>
  <si>
    <t>SAMANTHA R</t>
  </si>
  <si>
    <t xml:space="preserve">CARDIES CANAL WALK                 </t>
  </si>
  <si>
    <t>MELISSA</t>
  </si>
  <si>
    <t>ESTHER</t>
  </si>
  <si>
    <t xml:space="preserve">CARDIES VAAL MALL                  </t>
  </si>
  <si>
    <t>CARDLES</t>
  </si>
  <si>
    <t>KIMBE</t>
  </si>
  <si>
    <t>KIMBERLEY</t>
  </si>
  <si>
    <t>MELANIE COLLINGS</t>
  </si>
  <si>
    <t>Irene</t>
  </si>
  <si>
    <t>POD received from cell 0614080848 M</t>
  </si>
  <si>
    <t>BRANDON GROBBLER</t>
  </si>
  <si>
    <t>branden</t>
  </si>
  <si>
    <t>GISELA LIGHTFOOT</t>
  </si>
  <si>
    <t>LINDA</t>
  </si>
  <si>
    <t>MELLY</t>
  </si>
  <si>
    <t>BEVERLEY DALMELDA</t>
  </si>
  <si>
    <t>THORNE</t>
  </si>
  <si>
    <t>ALYSHA</t>
  </si>
  <si>
    <t xml:space="preserve">ROSEBANK MALL                      </t>
  </si>
  <si>
    <t>STELLA</t>
  </si>
  <si>
    <t>natasha</t>
  </si>
  <si>
    <t xml:space="preserve">SLOPION                            </t>
  </si>
  <si>
    <t>NELSP</t>
  </si>
  <si>
    <t>NELSPRUIT</t>
  </si>
  <si>
    <t>CORNE VAN NIEKERK</t>
  </si>
  <si>
    <t>CORNE</t>
  </si>
  <si>
    <t>KAYLA HOLLOWAY</t>
  </si>
  <si>
    <t>Kayla</t>
  </si>
  <si>
    <t>POD received from cell 0607649891 M</t>
  </si>
  <si>
    <t>MARIETTE</t>
  </si>
  <si>
    <t xml:space="preserve">CARDIES PAVVILION                  </t>
  </si>
  <si>
    <t>MARLENE</t>
  </si>
  <si>
    <t xml:space="preserve">INTERNATIONAL HOTEL SCL            </t>
  </si>
  <si>
    <t>NIYANTA SUKRAM</t>
  </si>
  <si>
    <t xml:space="preserve">pinky                         </t>
  </si>
  <si>
    <t xml:space="preserve">POD received from cell 0837429668 M     </t>
  </si>
  <si>
    <t>SHARON  FOUCHE</t>
  </si>
  <si>
    <t>LINDA GRIFFITHS</t>
  </si>
  <si>
    <t>H MULLER</t>
  </si>
  <si>
    <t>TAP</t>
  </si>
  <si>
    <t>LEE ROBINSON</t>
  </si>
  <si>
    <t>n robinson</t>
  </si>
  <si>
    <t>MONAGER</t>
  </si>
  <si>
    <t>CARDIES H O TYGER VALLEY</t>
  </si>
  <si>
    <t>DOCS</t>
  </si>
  <si>
    <t xml:space="preserve">MALL OF AFRICA CENTRE MANAGEME     </t>
  </si>
  <si>
    <t>SANUSHA</t>
  </si>
  <si>
    <t>JOSIAH</t>
  </si>
  <si>
    <t>SHAZIA HASSAN</t>
  </si>
  <si>
    <t>KIA</t>
  </si>
  <si>
    <t>SHAZIA</t>
  </si>
  <si>
    <t>LERINA SAGANNA</t>
  </si>
  <si>
    <t>Alista</t>
  </si>
  <si>
    <t>BRANDON MC INNES</t>
  </si>
  <si>
    <t>brandon</t>
  </si>
  <si>
    <t>ALWYN</t>
  </si>
  <si>
    <t>MARRISKA ROSSLYN</t>
  </si>
  <si>
    <t>WILMA BRIKKERS</t>
  </si>
  <si>
    <t>Wilma</t>
  </si>
  <si>
    <t>VAZIELA BAKER</t>
  </si>
  <si>
    <t>VAZIELA</t>
  </si>
  <si>
    <t>MICHELLE VISSER</t>
  </si>
  <si>
    <t>visser</t>
  </si>
  <si>
    <t>ALYSHA DURWAN</t>
  </si>
  <si>
    <t>TARYN  PIENAAR</t>
  </si>
  <si>
    <t>isabela</t>
  </si>
  <si>
    <t>HANNAH RIDGEWAY</t>
  </si>
  <si>
    <t>MICHELLE</t>
  </si>
  <si>
    <t>DEBORAH  DEON</t>
  </si>
  <si>
    <t xml:space="preserve">dean                          </t>
  </si>
  <si>
    <t>CHRISTINA GRAGE</t>
  </si>
  <si>
    <t>PATSY</t>
  </si>
  <si>
    <t xml:space="preserve">WESTWAY OFFICE PARK                </t>
  </si>
  <si>
    <t>JADE LANGLEY</t>
  </si>
  <si>
    <t xml:space="preserve">MIDAS                              </t>
  </si>
  <si>
    <t>MISHKA SUNDER</t>
  </si>
  <si>
    <t>neresh</t>
  </si>
  <si>
    <t xml:space="preserve">CARDIES CLEARWATER                 </t>
  </si>
  <si>
    <t xml:space="preserve">CHANTEL DE KLERK                   </t>
  </si>
  <si>
    <t>SHERIAL NAIDOO</t>
  </si>
  <si>
    <t>SA GREETINGS</t>
  </si>
  <si>
    <t>MANGER</t>
  </si>
  <si>
    <t xml:space="preserve">CARDIES VAALMALL                   </t>
  </si>
  <si>
    <t>CARDIES</t>
  </si>
  <si>
    <t>KATJA OLIVIER</t>
  </si>
  <si>
    <t>memory</t>
  </si>
  <si>
    <t xml:space="preserve">CARDIES MALL @ REDS                </t>
  </si>
  <si>
    <t>NTHABISENG</t>
  </si>
  <si>
    <t xml:space="preserve">BALLITO JUNCTION MALL CENTRE M     </t>
  </si>
  <si>
    <t>GERALDINE JORGENSEN</t>
  </si>
  <si>
    <t>PHEAON</t>
  </si>
  <si>
    <t xml:space="preserve">NOMFUNDO                           </t>
  </si>
  <si>
    <t>NOMFUNDO</t>
  </si>
  <si>
    <t xml:space="preserve">BLOND PRODUCTIONS                  </t>
  </si>
  <si>
    <t>EUGEN ENGELBRECHTT</t>
  </si>
  <si>
    <t>kido</t>
  </si>
  <si>
    <t>MEGAN RICH</t>
  </si>
  <si>
    <t>M RICH</t>
  </si>
  <si>
    <t>JEANINE TONNESAN</t>
  </si>
  <si>
    <t>M Alberis</t>
  </si>
  <si>
    <t>SAMANTHA MARITZ</t>
  </si>
  <si>
    <t>CHANEL MANDUSIC</t>
  </si>
  <si>
    <t>musa</t>
  </si>
  <si>
    <t>POD received from cell 0826513660 M</t>
  </si>
  <si>
    <t>SHERIAL</t>
  </si>
  <si>
    <t xml:space="preserve">THE POWER MILL                     </t>
  </si>
  <si>
    <t>MELISSA BBAUDE</t>
  </si>
  <si>
    <t>nuraan</t>
  </si>
  <si>
    <t>angie</t>
  </si>
  <si>
    <t>ADELIA COOKE</t>
  </si>
  <si>
    <t>PRETTY</t>
  </si>
  <si>
    <t>LELANI RAUTENBACH</t>
  </si>
  <si>
    <t>ALANN</t>
  </si>
  <si>
    <t xml:space="preserve">GP ROAMN  MEDICAL CENTRE           </t>
  </si>
  <si>
    <t>MOEGSINA RAMAN</t>
  </si>
  <si>
    <t>prisca</t>
  </si>
  <si>
    <t>LYNETTE LUYT</t>
  </si>
  <si>
    <t>Lynette</t>
  </si>
  <si>
    <t>ROSCOE NEFDT</t>
  </si>
  <si>
    <t>KALE CAIRNS</t>
  </si>
  <si>
    <t>Rudolph</t>
  </si>
  <si>
    <t>ELECRECIA</t>
  </si>
  <si>
    <t>SHELLY ANNE</t>
  </si>
  <si>
    <t>shelly ann</t>
  </si>
  <si>
    <t>NOERAAAN</t>
  </si>
  <si>
    <t>Moosa</t>
  </si>
  <si>
    <t>RING BUZZER FOR NO. 36</t>
  </si>
  <si>
    <t>BRANDON GROBLER</t>
  </si>
  <si>
    <t>SETHU JWAQU</t>
  </si>
  <si>
    <t>Sethu</t>
  </si>
  <si>
    <t>POD received from cell 0659193805 M</t>
  </si>
  <si>
    <t>VICTOR MARTINESCU</t>
  </si>
  <si>
    <t>CATLIN</t>
  </si>
  <si>
    <t>WHITE</t>
  </si>
  <si>
    <t>WHITE RIVER</t>
  </si>
  <si>
    <t xml:space="preserve">AMBASSADOR FOODS                   </t>
  </si>
  <si>
    <t>HELENE OTTO</t>
  </si>
  <si>
    <t>helene</t>
  </si>
  <si>
    <t>POD received from cell 0721906210 M</t>
  </si>
  <si>
    <t xml:space="preserve">LAKATO                             </t>
  </si>
  <si>
    <t>LYNDE CILLIERS</t>
  </si>
  <si>
    <t>Warren</t>
  </si>
  <si>
    <t>URSULA CASSIM</t>
  </si>
  <si>
    <t>u cassim</t>
  </si>
  <si>
    <t>ERNUS VAN DER MERWE</t>
  </si>
  <si>
    <t>LEONA JULIE</t>
  </si>
  <si>
    <t>leola</t>
  </si>
  <si>
    <t xml:space="preserve">APEX INFORMATION SYSTEMS PTY L     </t>
  </si>
  <si>
    <t>PLS HOOT AT THE GATE</t>
  </si>
  <si>
    <t>KAREN EICKER</t>
  </si>
  <si>
    <t>BURG1</t>
  </si>
  <si>
    <t>BURGERSFORT</t>
  </si>
  <si>
    <t>LORATH ANTONY</t>
  </si>
  <si>
    <t xml:space="preserve">john                          </t>
  </si>
  <si>
    <t xml:space="preserve">POD received from cell 0762402177 M     </t>
  </si>
  <si>
    <t>INA ENGELBRECHT</t>
  </si>
  <si>
    <t>GAYNOR MANUEL</t>
  </si>
  <si>
    <t>manuel</t>
  </si>
  <si>
    <t>CHLOE SMITH</t>
  </si>
  <si>
    <t>m smith</t>
  </si>
  <si>
    <t>joce</t>
  </si>
  <si>
    <t>Micheal</t>
  </si>
  <si>
    <t xml:space="preserve">PENNY LANE                         </t>
  </si>
  <si>
    <t>SHERAL NAIDOO</t>
  </si>
  <si>
    <t xml:space="preserve">A BREED                            </t>
  </si>
  <si>
    <t xml:space="preserve">CARDIS HEAD OFFICE                 </t>
  </si>
  <si>
    <t xml:space="preserve">NA                                 </t>
  </si>
  <si>
    <t>CARDIGS MAI OF S</t>
  </si>
  <si>
    <t xml:space="preserve">CARDIES EASTGATE S MALL            </t>
  </si>
  <si>
    <t>MAMASER</t>
  </si>
  <si>
    <t xml:space="preserve">CARDIES PAVILLIOM                  </t>
  </si>
  <si>
    <t>SA GREETING</t>
  </si>
  <si>
    <t>MARLIANCA F</t>
  </si>
  <si>
    <t>MICHELLE GREEN</t>
  </si>
  <si>
    <t>MATIE L</t>
  </si>
  <si>
    <t xml:space="preserve">cjf btj                       </t>
  </si>
  <si>
    <t>QUINTIN SMITH</t>
  </si>
  <si>
    <t>LIANE MC INTYRE</t>
  </si>
  <si>
    <t>CINCLY P</t>
  </si>
  <si>
    <t xml:space="preserve">CARDIES                </t>
  </si>
  <si>
    <t xml:space="preserve">CARDIES EASTGATE SHOPP CENTRE      </t>
  </si>
  <si>
    <t xml:space="preserve">CARDIES CLEARWATER                  </t>
  </si>
  <si>
    <t xml:space="preserve">CARDIES BAYSIDE CENTRE          </t>
  </si>
  <si>
    <t xml:space="preserve">CARDIES MALL                        </t>
  </si>
  <si>
    <t xml:space="preserve">CARDIES </t>
  </si>
  <si>
    <t xml:space="preserve">CARDIES MALL OF AFRICA             </t>
  </si>
  <si>
    <t xml:space="preserve">CARDIES EASTPOINT                  </t>
  </si>
  <si>
    <t xml:space="preserve">CARDIES CLEARWATER                   </t>
  </si>
  <si>
    <t xml:space="preserve">SA GREETINGS                        </t>
  </si>
  <si>
    <t xml:space="preserve">SA GREETINGS                      </t>
  </si>
  <si>
    <t xml:space="preserve">SA GREETINGS                     </t>
  </si>
  <si>
    <t xml:space="preserve">CARDIES                           </t>
  </si>
  <si>
    <t xml:space="preserve">MUSGRAVE CENTRE                    </t>
  </si>
  <si>
    <t>KAESA PARKER</t>
  </si>
  <si>
    <t>MOLALEFA SUPA</t>
  </si>
  <si>
    <t>LARISHA ROMPURSAT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</si>
</sst>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N217"/>
  <sheetViews>
    <sheetView tabSelected="1" workbookViewId="0">
      <selection activeCell="A3" sqref="A3:XFD321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6.28515625" bestFit="1" customWidth="1"/>
    <col min="6" max="6" width="10.7109375" hidden="1" customWidth="1"/>
    <col min="7" max="7" width="7" hidden="1" customWidth="1"/>
    <col min="8" max="8" width="7.7109375" hidden="1" customWidth="1"/>
    <col min="9" max="9" width="20.140625" hidden="1" customWidth="1"/>
    <col min="10" max="10" width="36.140625" hidden="1" customWidth="1"/>
    <col min="11" max="11" width="16.140625" hidden="1" customWidth="1"/>
    <col min="12" max="12" width="8.28515625" hidden="1" customWidth="1"/>
    <col min="13" max="13" width="26.42578125" hidden="1" customWidth="1"/>
    <col min="14" max="14" width="36.7109375" bestFit="1" customWidth="1"/>
    <col min="15" max="15" width="4.85546875" bestFit="1" customWidth="1"/>
    <col min="16" max="16" width="32.570312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.42578125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4.85546875" bestFit="1" customWidth="1"/>
    <col min="32" max="32" width="4.5703125" bestFit="1" customWidth="1"/>
    <col min="33" max="33" width="4.42578125" bestFit="1" customWidth="1"/>
    <col min="34" max="34" width="4.5703125" bestFit="1" customWidth="1"/>
    <col min="35" max="35" width="6" bestFit="1" customWidth="1"/>
    <col min="36" max="36" width="4.5703125" bestFit="1" customWidth="1"/>
    <col min="37" max="37" width="7" bestFit="1" customWidth="1"/>
    <col min="38" max="38" width="4.5703125" bestFit="1" customWidth="1"/>
    <col min="39" max="39" width="4.85546875" bestFit="1" customWidth="1"/>
    <col min="40" max="40" width="4.5703125" bestFit="1" customWidth="1"/>
    <col min="41" max="41" width="9" bestFit="1" customWidth="1"/>
    <col min="42" max="42" width="4.5703125" bestFit="1" customWidth="1"/>
    <col min="43" max="43" width="7" bestFit="1" customWidth="1"/>
    <col min="44" max="46" width="4.5703125" bestFit="1" customWidth="1"/>
    <col min="47" max="47" width="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4.2851562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.85546875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7" bestFit="1" customWidth="1"/>
    <col min="64" max="64" width="10" bestFit="1" customWidth="1"/>
    <col min="65" max="65" width="9" bestFit="1" customWidth="1"/>
    <col min="66" max="66" width="10" bestFit="1" customWidth="1"/>
    <col min="68" max="68" width="47.140625" bestFit="1" customWidth="1"/>
    <col min="69" max="69" width="30.5703125" bestFit="1" customWidth="1"/>
    <col min="70" max="70" width="25" bestFit="1" customWidth="1"/>
    <col min="71" max="71" width="10.7109375" bestFit="1" customWidth="1"/>
    <col min="72" max="72" width="9.7109375" bestFit="1" customWidth="1"/>
    <col min="73" max="73" width="34.57031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5.710937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4.8554687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hidden="1" x14ac:dyDescent="0.25">
      <c r="A2" t="s">
        <v>241</v>
      </c>
      <c r="B2" t="s">
        <v>228</v>
      </c>
      <c r="C2" t="s">
        <v>72</v>
      </c>
      <c r="E2" t="str">
        <f>"029908206863"</f>
        <v>029908206863</v>
      </c>
      <c r="F2" s="2">
        <v>44168</v>
      </c>
      <c r="G2">
        <v>202106</v>
      </c>
      <c r="H2" t="s">
        <v>122</v>
      </c>
      <c r="I2" t="s">
        <v>123</v>
      </c>
      <c r="J2" t="s">
        <v>229</v>
      </c>
      <c r="K2" t="s">
        <v>75</v>
      </c>
      <c r="L2" t="s">
        <v>193</v>
      </c>
      <c r="M2" t="s">
        <v>96</v>
      </c>
      <c r="N2" t="s">
        <v>581</v>
      </c>
      <c r="O2" t="s">
        <v>93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9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1</v>
      </c>
      <c r="BI2">
        <v>2</v>
      </c>
      <c r="BJ2">
        <v>9.3000000000000007</v>
      </c>
      <c r="BK2">
        <v>10</v>
      </c>
      <c r="BL2">
        <v>99.71</v>
      </c>
      <c r="BM2">
        <v>14.96</v>
      </c>
      <c r="BN2">
        <v>114.67</v>
      </c>
      <c r="BO2">
        <v>114.67</v>
      </c>
      <c r="BQ2" t="s">
        <v>230</v>
      </c>
      <c r="BR2" t="s">
        <v>231</v>
      </c>
      <c r="BS2" s="2">
        <v>44173</v>
      </c>
      <c r="BT2" s="3">
        <v>0.42291666666666666</v>
      </c>
      <c r="BU2" t="s">
        <v>232</v>
      </c>
      <c r="BV2" t="s">
        <v>79</v>
      </c>
      <c r="BY2">
        <v>46620</v>
      </c>
      <c r="CA2" t="s">
        <v>142</v>
      </c>
      <c r="CC2" t="s">
        <v>96</v>
      </c>
      <c r="CD2">
        <v>8000</v>
      </c>
      <c r="CE2" t="s">
        <v>89</v>
      </c>
      <c r="CF2" s="2">
        <v>44174</v>
      </c>
      <c r="CI2">
        <v>3</v>
      </c>
      <c r="CJ2">
        <v>3</v>
      </c>
      <c r="CK2" t="s">
        <v>129</v>
      </c>
      <c r="CL2" t="s">
        <v>81</v>
      </c>
    </row>
    <row r="3" spans="1:92" x14ac:dyDescent="0.25">
      <c r="A3" t="s">
        <v>241</v>
      </c>
      <c r="B3" t="s">
        <v>228</v>
      </c>
      <c r="C3" t="s">
        <v>72</v>
      </c>
      <c r="E3" t="str">
        <f>"009939667676"</f>
        <v>009939667676</v>
      </c>
      <c r="F3" s="2">
        <v>44166</v>
      </c>
      <c r="G3">
        <v>202106</v>
      </c>
      <c r="H3" t="s">
        <v>90</v>
      </c>
      <c r="I3" t="s">
        <v>91</v>
      </c>
      <c r="J3" t="s">
        <v>233</v>
      </c>
      <c r="K3" t="s">
        <v>75</v>
      </c>
      <c r="L3" t="s">
        <v>177</v>
      </c>
      <c r="M3" t="s">
        <v>178</v>
      </c>
      <c r="N3" t="s">
        <v>262</v>
      </c>
      <c r="O3" t="s">
        <v>93</v>
      </c>
      <c r="P3" t="str">
        <f>"LINDI                         "</f>
        <v xml:space="preserve">LINDI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6.18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70.06</v>
      </c>
      <c r="BM3">
        <v>10.51</v>
      </c>
      <c r="BN3">
        <v>80.569999999999993</v>
      </c>
      <c r="BO3">
        <v>80.569999999999993</v>
      </c>
      <c r="BQ3" t="s">
        <v>346</v>
      </c>
      <c r="BR3" t="s">
        <v>236</v>
      </c>
      <c r="BS3" s="2">
        <v>44167</v>
      </c>
      <c r="BT3" s="3">
        <v>0.5</v>
      </c>
      <c r="BU3" t="s">
        <v>347</v>
      </c>
      <c r="BV3" t="s">
        <v>79</v>
      </c>
      <c r="BY3">
        <v>1200</v>
      </c>
      <c r="CC3" t="s">
        <v>178</v>
      </c>
      <c r="CD3">
        <v>1900</v>
      </c>
      <c r="CE3" t="s">
        <v>89</v>
      </c>
      <c r="CF3" s="2">
        <v>44168</v>
      </c>
      <c r="CI3">
        <v>2</v>
      </c>
      <c r="CJ3">
        <v>1</v>
      </c>
      <c r="CK3" t="s">
        <v>345</v>
      </c>
      <c r="CL3" t="s">
        <v>81</v>
      </c>
    </row>
    <row r="4" spans="1:92" hidden="1" x14ac:dyDescent="0.25">
      <c r="A4" t="s">
        <v>241</v>
      </c>
      <c r="B4" t="s">
        <v>228</v>
      </c>
      <c r="C4" t="s">
        <v>72</v>
      </c>
      <c r="E4" t="str">
        <f>"009940845730"</f>
        <v>009940845730</v>
      </c>
      <c r="F4" s="2">
        <v>44173</v>
      </c>
      <c r="G4">
        <v>202106</v>
      </c>
      <c r="H4" t="s">
        <v>195</v>
      </c>
      <c r="I4" t="s">
        <v>196</v>
      </c>
      <c r="J4" t="s">
        <v>571</v>
      </c>
      <c r="K4" t="s">
        <v>75</v>
      </c>
      <c r="L4" t="s">
        <v>109</v>
      </c>
      <c r="M4" t="s">
        <v>110</v>
      </c>
      <c r="N4" t="s">
        <v>229</v>
      </c>
      <c r="O4" t="s">
        <v>93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8.24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91.74</v>
      </c>
      <c r="BM4">
        <v>13.76</v>
      </c>
      <c r="BN4">
        <v>105.5</v>
      </c>
      <c r="BO4">
        <v>105.5</v>
      </c>
      <c r="BR4" t="s">
        <v>239</v>
      </c>
      <c r="BS4" s="2">
        <v>44174</v>
      </c>
      <c r="BT4" s="3">
        <v>0.51666666666666672</v>
      </c>
      <c r="BU4" t="s">
        <v>240</v>
      </c>
      <c r="BV4" t="s">
        <v>79</v>
      </c>
      <c r="BY4">
        <v>1200</v>
      </c>
      <c r="CC4" t="s">
        <v>110</v>
      </c>
      <c r="CD4">
        <v>2013</v>
      </c>
      <c r="CE4" t="s">
        <v>89</v>
      </c>
      <c r="CF4" s="2">
        <v>44175</v>
      </c>
      <c r="CI4">
        <v>1</v>
      </c>
      <c r="CJ4">
        <v>1</v>
      </c>
      <c r="CK4" t="s">
        <v>126</v>
      </c>
      <c r="CL4" t="s">
        <v>81</v>
      </c>
    </row>
    <row r="5" spans="1:92" hidden="1" x14ac:dyDescent="0.25">
      <c r="A5" t="s">
        <v>241</v>
      </c>
      <c r="B5" t="s">
        <v>228</v>
      </c>
      <c r="C5" t="s">
        <v>72</v>
      </c>
      <c r="E5" t="str">
        <f>"009940374875"</f>
        <v>009940374875</v>
      </c>
      <c r="F5" s="2">
        <v>44173</v>
      </c>
      <c r="G5">
        <v>202106</v>
      </c>
      <c r="H5" t="s">
        <v>109</v>
      </c>
      <c r="I5" t="s">
        <v>110</v>
      </c>
      <c r="J5" t="s">
        <v>242</v>
      </c>
      <c r="K5" t="s">
        <v>75</v>
      </c>
      <c r="L5" t="s">
        <v>109</v>
      </c>
      <c r="M5" t="s">
        <v>110</v>
      </c>
      <c r="N5" t="s">
        <v>580</v>
      </c>
      <c r="O5" t="s">
        <v>93</v>
      </c>
      <c r="P5" t="str">
        <f>"NA                            "</f>
        <v xml:space="preserve">NA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6.18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1</v>
      </c>
      <c r="BI5">
        <v>0.2</v>
      </c>
      <c r="BJ5">
        <v>1.6</v>
      </c>
      <c r="BK5">
        <v>2</v>
      </c>
      <c r="BL5">
        <v>70.06</v>
      </c>
      <c r="BM5">
        <v>10.51</v>
      </c>
      <c r="BN5">
        <v>80.569999999999993</v>
      </c>
      <c r="BO5">
        <v>80.569999999999993</v>
      </c>
      <c r="BQ5" t="s">
        <v>200</v>
      </c>
      <c r="BR5" t="s">
        <v>200</v>
      </c>
      <c r="BS5" s="2">
        <v>44174</v>
      </c>
      <c r="BT5" s="3">
        <v>0.51458333333333328</v>
      </c>
      <c r="BU5" t="s">
        <v>240</v>
      </c>
      <c r="BV5" t="s">
        <v>79</v>
      </c>
      <c r="BY5">
        <v>8036.77</v>
      </c>
      <c r="CC5" t="s">
        <v>110</v>
      </c>
      <c r="CD5">
        <v>2013</v>
      </c>
      <c r="CE5" t="s">
        <v>89</v>
      </c>
      <c r="CF5" s="2">
        <v>44175</v>
      </c>
      <c r="CI5">
        <v>1</v>
      </c>
      <c r="CJ5">
        <v>1</v>
      </c>
      <c r="CK5" t="s">
        <v>190</v>
      </c>
      <c r="CL5" t="s">
        <v>81</v>
      </c>
    </row>
    <row r="6" spans="1:92" hidden="1" x14ac:dyDescent="0.25">
      <c r="A6" t="s">
        <v>241</v>
      </c>
      <c r="B6" t="s">
        <v>228</v>
      </c>
      <c r="C6" t="s">
        <v>72</v>
      </c>
      <c r="E6" t="str">
        <f>"009940265343"</f>
        <v>009940265343</v>
      </c>
      <c r="F6" s="2">
        <v>44173</v>
      </c>
      <c r="G6">
        <v>202106</v>
      </c>
      <c r="H6" t="s">
        <v>109</v>
      </c>
      <c r="I6" t="s">
        <v>110</v>
      </c>
      <c r="J6" t="s">
        <v>243</v>
      </c>
      <c r="K6" t="s">
        <v>75</v>
      </c>
      <c r="L6" t="s">
        <v>109</v>
      </c>
      <c r="M6" t="s">
        <v>110</v>
      </c>
      <c r="N6" t="s">
        <v>229</v>
      </c>
      <c r="O6" t="s">
        <v>93</v>
      </c>
      <c r="P6" t="str">
        <f>"NA                            "</f>
        <v xml:space="preserve">NA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6.18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1</v>
      </c>
      <c r="BI6">
        <v>0.5</v>
      </c>
      <c r="BJ6">
        <v>1.2</v>
      </c>
      <c r="BK6">
        <v>2</v>
      </c>
      <c r="BL6">
        <v>70.06</v>
      </c>
      <c r="BM6">
        <v>10.51</v>
      </c>
      <c r="BN6">
        <v>80.569999999999993</v>
      </c>
      <c r="BO6">
        <v>80.569999999999993</v>
      </c>
      <c r="BQ6" t="s">
        <v>200</v>
      </c>
      <c r="BR6" t="s">
        <v>244</v>
      </c>
      <c r="BS6" s="2">
        <v>44174</v>
      </c>
      <c r="BT6" s="3">
        <v>0.67152777777777783</v>
      </c>
      <c r="BU6" t="s">
        <v>240</v>
      </c>
      <c r="BV6" t="s">
        <v>79</v>
      </c>
      <c r="BY6">
        <v>6068.59</v>
      </c>
      <c r="CC6" t="s">
        <v>110</v>
      </c>
      <c r="CD6">
        <v>2000</v>
      </c>
      <c r="CE6" t="s">
        <v>89</v>
      </c>
      <c r="CF6" s="2">
        <v>44175</v>
      </c>
      <c r="CI6">
        <v>1</v>
      </c>
      <c r="CJ6">
        <v>1</v>
      </c>
      <c r="CK6" t="s">
        <v>190</v>
      </c>
      <c r="CL6" t="s">
        <v>81</v>
      </c>
    </row>
    <row r="7" spans="1:92" hidden="1" x14ac:dyDescent="0.25">
      <c r="A7" t="s">
        <v>241</v>
      </c>
      <c r="B7" t="s">
        <v>228</v>
      </c>
      <c r="C7" t="s">
        <v>72</v>
      </c>
      <c r="E7" t="str">
        <f>"029908381325"</f>
        <v>029908381325</v>
      </c>
      <c r="F7" s="2">
        <v>44173</v>
      </c>
      <c r="G7">
        <v>202106</v>
      </c>
      <c r="H7" t="s">
        <v>122</v>
      </c>
      <c r="I7" t="s">
        <v>123</v>
      </c>
      <c r="J7" t="s">
        <v>229</v>
      </c>
      <c r="K7" t="s">
        <v>75</v>
      </c>
      <c r="L7" t="s">
        <v>109</v>
      </c>
      <c r="M7" t="s">
        <v>110</v>
      </c>
      <c r="N7" t="s">
        <v>229</v>
      </c>
      <c r="O7" t="s">
        <v>78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4.4000000000000004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46.27</v>
      </c>
      <c r="BM7">
        <v>6.94</v>
      </c>
      <c r="BN7">
        <v>53.21</v>
      </c>
      <c r="BO7">
        <v>53.21</v>
      </c>
      <c r="BQ7" t="s">
        <v>245</v>
      </c>
      <c r="BR7" t="s">
        <v>246</v>
      </c>
      <c r="BS7" s="2">
        <v>44174</v>
      </c>
      <c r="BT7" s="3">
        <v>0.51388888888888895</v>
      </c>
      <c r="BU7" t="s">
        <v>240</v>
      </c>
      <c r="BV7" t="s">
        <v>81</v>
      </c>
      <c r="BW7" t="s">
        <v>113</v>
      </c>
      <c r="BX7" t="s">
        <v>121</v>
      </c>
      <c r="BY7">
        <v>1200</v>
      </c>
      <c r="BZ7" t="s">
        <v>211</v>
      </c>
      <c r="CC7" t="s">
        <v>110</v>
      </c>
      <c r="CD7">
        <v>2013</v>
      </c>
      <c r="CE7" t="s">
        <v>89</v>
      </c>
      <c r="CF7" s="2">
        <v>44175</v>
      </c>
      <c r="CI7">
        <v>1</v>
      </c>
      <c r="CJ7">
        <v>1</v>
      </c>
      <c r="CK7">
        <v>21</v>
      </c>
      <c r="CL7" t="s">
        <v>81</v>
      </c>
    </row>
    <row r="8" spans="1:92" hidden="1" x14ac:dyDescent="0.25">
      <c r="A8" t="s">
        <v>241</v>
      </c>
      <c r="B8" t="s">
        <v>228</v>
      </c>
      <c r="C8" t="s">
        <v>72</v>
      </c>
      <c r="E8" t="str">
        <f>"009940698160"</f>
        <v>009940698160</v>
      </c>
      <c r="F8" s="2">
        <v>44173</v>
      </c>
      <c r="G8">
        <v>202106</v>
      </c>
      <c r="H8" t="s">
        <v>109</v>
      </c>
      <c r="I8" t="s">
        <v>110</v>
      </c>
      <c r="J8" t="s">
        <v>572</v>
      </c>
      <c r="K8" t="s">
        <v>75</v>
      </c>
      <c r="L8" t="s">
        <v>109</v>
      </c>
      <c r="M8" t="s">
        <v>110</v>
      </c>
      <c r="N8" t="s">
        <v>580</v>
      </c>
      <c r="O8" t="s">
        <v>78</v>
      </c>
      <c r="P8" t="str">
        <f>"NA                            "</f>
        <v xml:space="preserve">NA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3.43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1</v>
      </c>
      <c r="BI8">
        <v>0.5</v>
      </c>
      <c r="BJ8">
        <v>1.3</v>
      </c>
      <c r="BK8">
        <v>2</v>
      </c>
      <c r="BL8">
        <v>36.14</v>
      </c>
      <c r="BM8">
        <v>5.42</v>
      </c>
      <c r="BN8">
        <v>41.56</v>
      </c>
      <c r="BO8">
        <v>41.56</v>
      </c>
      <c r="BS8" s="2">
        <v>44174</v>
      </c>
      <c r="BT8" s="3">
        <v>0.375</v>
      </c>
      <c r="BU8" t="s">
        <v>240</v>
      </c>
      <c r="BV8" t="s">
        <v>79</v>
      </c>
      <c r="BY8">
        <v>6639.41</v>
      </c>
      <c r="BZ8" t="s">
        <v>80</v>
      </c>
      <c r="CC8" t="s">
        <v>110</v>
      </c>
      <c r="CD8">
        <v>2013</v>
      </c>
      <c r="CE8" t="s">
        <v>89</v>
      </c>
      <c r="CF8" s="2">
        <v>44175</v>
      </c>
      <c r="CI8">
        <v>1</v>
      </c>
      <c r="CJ8">
        <v>1</v>
      </c>
      <c r="CK8">
        <v>22</v>
      </c>
      <c r="CL8" t="s">
        <v>81</v>
      </c>
    </row>
    <row r="9" spans="1:92" hidden="1" x14ac:dyDescent="0.25">
      <c r="A9" t="s">
        <v>241</v>
      </c>
      <c r="B9" t="s">
        <v>228</v>
      </c>
      <c r="C9" t="s">
        <v>72</v>
      </c>
      <c r="E9" t="str">
        <f>"009939096513"</f>
        <v>009939096513</v>
      </c>
      <c r="F9" s="2">
        <v>44173</v>
      </c>
      <c r="G9">
        <v>202106</v>
      </c>
      <c r="H9" t="s">
        <v>109</v>
      </c>
      <c r="I9" t="s">
        <v>110</v>
      </c>
      <c r="J9" t="s">
        <v>229</v>
      </c>
      <c r="K9" t="s">
        <v>75</v>
      </c>
      <c r="L9" t="s">
        <v>122</v>
      </c>
      <c r="M9" t="s">
        <v>123</v>
      </c>
      <c r="N9" t="s">
        <v>229</v>
      </c>
      <c r="O9" t="s">
        <v>78</v>
      </c>
      <c r="P9" t="str">
        <f>"NA                            "</f>
        <v xml:space="preserve">NA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6.59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1</v>
      </c>
      <c r="BI9">
        <v>2.8</v>
      </c>
      <c r="BJ9">
        <v>2.5</v>
      </c>
      <c r="BK9">
        <v>3</v>
      </c>
      <c r="BL9">
        <v>69.38</v>
      </c>
      <c r="BM9">
        <v>10.41</v>
      </c>
      <c r="BN9">
        <v>79.790000000000006</v>
      </c>
      <c r="BO9">
        <v>79.790000000000006</v>
      </c>
      <c r="BQ9" t="s">
        <v>231</v>
      </c>
      <c r="BR9" t="s">
        <v>247</v>
      </c>
      <c r="BS9" s="2">
        <v>44174</v>
      </c>
      <c r="BT9" s="3">
        <v>0.32083333333333336</v>
      </c>
      <c r="BU9" t="s">
        <v>248</v>
      </c>
      <c r="BV9" t="s">
        <v>79</v>
      </c>
      <c r="BY9">
        <v>12650.55</v>
      </c>
      <c r="BZ9" t="s">
        <v>80</v>
      </c>
      <c r="CA9" t="s">
        <v>249</v>
      </c>
      <c r="CC9" t="s">
        <v>123</v>
      </c>
      <c r="CD9">
        <v>3630</v>
      </c>
      <c r="CE9" t="s">
        <v>89</v>
      </c>
      <c r="CF9" s="2">
        <v>44174</v>
      </c>
      <c r="CI9">
        <v>1</v>
      </c>
      <c r="CJ9">
        <v>1</v>
      </c>
      <c r="CK9">
        <v>21</v>
      </c>
      <c r="CL9" t="s">
        <v>81</v>
      </c>
    </row>
    <row r="10" spans="1:92" hidden="1" x14ac:dyDescent="0.25">
      <c r="A10" t="s">
        <v>241</v>
      </c>
      <c r="B10" t="s">
        <v>228</v>
      </c>
      <c r="C10" t="s">
        <v>72</v>
      </c>
      <c r="E10" t="str">
        <f>"009939096573"</f>
        <v>009939096573</v>
      </c>
      <c r="F10" s="2">
        <v>44173</v>
      </c>
      <c r="G10">
        <v>202106</v>
      </c>
      <c r="H10" t="s">
        <v>109</v>
      </c>
      <c r="I10" t="s">
        <v>110</v>
      </c>
      <c r="J10" t="s">
        <v>229</v>
      </c>
      <c r="K10" t="s">
        <v>75</v>
      </c>
      <c r="L10" t="s">
        <v>95</v>
      </c>
      <c r="M10" t="s">
        <v>96</v>
      </c>
      <c r="N10" t="s">
        <v>229</v>
      </c>
      <c r="O10" t="s">
        <v>78</v>
      </c>
      <c r="P10" t="str">
        <f>"NA                            "</f>
        <v xml:space="preserve">NA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10.99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1</v>
      </c>
      <c r="BI10">
        <v>4.0999999999999996</v>
      </c>
      <c r="BJ10">
        <v>5</v>
      </c>
      <c r="BK10">
        <v>5</v>
      </c>
      <c r="BL10">
        <v>115.62</v>
      </c>
      <c r="BM10">
        <v>17.34</v>
      </c>
      <c r="BN10">
        <v>132.96</v>
      </c>
      <c r="BO10">
        <v>132.96</v>
      </c>
      <c r="BQ10" t="s">
        <v>250</v>
      </c>
      <c r="BR10" t="s">
        <v>247</v>
      </c>
      <c r="BS10" s="2">
        <v>44174</v>
      </c>
      <c r="BT10" s="3">
        <v>0.40763888888888888</v>
      </c>
      <c r="BU10" t="s">
        <v>232</v>
      </c>
      <c r="BV10" t="s">
        <v>79</v>
      </c>
      <c r="BY10">
        <v>25023.1</v>
      </c>
      <c r="BZ10" t="s">
        <v>80</v>
      </c>
      <c r="CA10" t="s">
        <v>142</v>
      </c>
      <c r="CC10" t="s">
        <v>96</v>
      </c>
      <c r="CD10">
        <v>7441</v>
      </c>
      <c r="CE10" t="s">
        <v>89</v>
      </c>
      <c r="CF10" s="2">
        <v>44175</v>
      </c>
      <c r="CI10">
        <v>1</v>
      </c>
      <c r="CJ10">
        <v>1</v>
      </c>
      <c r="CK10">
        <v>21</v>
      </c>
      <c r="CL10" t="s">
        <v>81</v>
      </c>
    </row>
    <row r="11" spans="1:92" hidden="1" x14ac:dyDescent="0.25">
      <c r="A11" t="s">
        <v>241</v>
      </c>
      <c r="B11" t="s">
        <v>228</v>
      </c>
      <c r="C11" t="s">
        <v>72</v>
      </c>
      <c r="E11" t="str">
        <f>"009940459470"</f>
        <v>009940459470</v>
      </c>
      <c r="F11" s="2">
        <v>44173</v>
      </c>
      <c r="G11">
        <v>202106</v>
      </c>
      <c r="H11" t="s">
        <v>87</v>
      </c>
      <c r="I11" t="s">
        <v>88</v>
      </c>
      <c r="J11" t="s">
        <v>251</v>
      </c>
      <c r="K11" t="s">
        <v>75</v>
      </c>
      <c r="L11" t="s">
        <v>109</v>
      </c>
      <c r="M11" t="s">
        <v>110</v>
      </c>
      <c r="N11" t="s">
        <v>229</v>
      </c>
      <c r="O11" t="s">
        <v>78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4.4000000000000004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46.27</v>
      </c>
      <c r="BM11">
        <v>6.94</v>
      </c>
      <c r="BN11">
        <v>53.21</v>
      </c>
      <c r="BO11">
        <v>53.21</v>
      </c>
      <c r="BQ11" t="s">
        <v>252</v>
      </c>
      <c r="BR11" t="s">
        <v>253</v>
      </c>
      <c r="BS11" s="2">
        <v>44175</v>
      </c>
      <c r="BT11" s="3">
        <v>0.3923611111111111</v>
      </c>
      <c r="BU11" t="s">
        <v>254</v>
      </c>
      <c r="BV11" t="s">
        <v>81</v>
      </c>
      <c r="BY11">
        <v>1200</v>
      </c>
      <c r="BZ11" t="s">
        <v>80</v>
      </c>
      <c r="CC11" t="s">
        <v>110</v>
      </c>
      <c r="CD11">
        <v>2013</v>
      </c>
      <c r="CE11" t="s">
        <v>89</v>
      </c>
      <c r="CF11" s="2">
        <v>44175</v>
      </c>
      <c r="CI11">
        <v>1</v>
      </c>
      <c r="CJ11">
        <v>2</v>
      </c>
      <c r="CK11">
        <v>21</v>
      </c>
      <c r="CL11" t="s">
        <v>81</v>
      </c>
    </row>
    <row r="12" spans="1:92" hidden="1" x14ac:dyDescent="0.25">
      <c r="A12" t="s">
        <v>241</v>
      </c>
      <c r="B12" t="s">
        <v>228</v>
      </c>
      <c r="C12" t="s">
        <v>72</v>
      </c>
      <c r="E12" t="str">
        <f>"009937273189"</f>
        <v>009937273189</v>
      </c>
      <c r="F12" s="2">
        <v>44173</v>
      </c>
      <c r="G12">
        <v>202106</v>
      </c>
      <c r="H12" t="s">
        <v>109</v>
      </c>
      <c r="I12" t="s">
        <v>110</v>
      </c>
      <c r="J12" t="s">
        <v>229</v>
      </c>
      <c r="K12" t="s">
        <v>75</v>
      </c>
      <c r="L12" t="s">
        <v>90</v>
      </c>
      <c r="M12" t="s">
        <v>91</v>
      </c>
      <c r="N12" t="s">
        <v>255</v>
      </c>
      <c r="O12" t="s">
        <v>184</v>
      </c>
      <c r="P12" t="str">
        <f>"NA                            "</f>
        <v xml:space="preserve">NA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8.24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86.74</v>
      </c>
      <c r="BM12">
        <v>13.01</v>
      </c>
      <c r="BN12">
        <v>99.75</v>
      </c>
      <c r="BO12">
        <v>99.75</v>
      </c>
      <c r="BQ12" t="s">
        <v>200</v>
      </c>
      <c r="BR12" t="s">
        <v>247</v>
      </c>
      <c r="BS12" s="2">
        <v>44174</v>
      </c>
      <c r="BT12" s="3">
        <v>0.54166666666666663</v>
      </c>
      <c r="BU12" t="s">
        <v>256</v>
      </c>
      <c r="BV12" t="s">
        <v>79</v>
      </c>
      <c r="BY12">
        <v>1200</v>
      </c>
      <c r="BZ12" t="s">
        <v>185</v>
      </c>
      <c r="CC12" t="s">
        <v>91</v>
      </c>
      <c r="CD12">
        <v>3610</v>
      </c>
      <c r="CE12" t="s">
        <v>89</v>
      </c>
      <c r="CF12" s="2">
        <v>44174</v>
      </c>
      <c r="CI12">
        <v>1</v>
      </c>
      <c r="CJ12">
        <v>1</v>
      </c>
      <c r="CK12">
        <v>31</v>
      </c>
      <c r="CL12" t="s">
        <v>81</v>
      </c>
    </row>
    <row r="13" spans="1:92" hidden="1" x14ac:dyDescent="0.25">
      <c r="A13" t="s">
        <v>241</v>
      </c>
      <c r="B13" t="s">
        <v>228</v>
      </c>
      <c r="C13" t="s">
        <v>72</v>
      </c>
      <c r="E13" t="str">
        <f>"009939396041"</f>
        <v>009939396041</v>
      </c>
      <c r="F13" s="2">
        <v>44168</v>
      </c>
      <c r="G13">
        <v>202106</v>
      </c>
      <c r="H13" t="s">
        <v>122</v>
      </c>
      <c r="I13" t="s">
        <v>123</v>
      </c>
      <c r="J13" t="s">
        <v>257</v>
      </c>
      <c r="K13" t="s">
        <v>75</v>
      </c>
      <c r="L13" t="s">
        <v>109</v>
      </c>
      <c r="M13" t="s">
        <v>110</v>
      </c>
      <c r="N13" t="s">
        <v>582</v>
      </c>
      <c r="O13" t="s">
        <v>78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13.18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1</v>
      </c>
      <c r="BI13">
        <v>6</v>
      </c>
      <c r="BJ13">
        <v>0.2</v>
      </c>
      <c r="BK13">
        <v>6</v>
      </c>
      <c r="BL13">
        <v>138.72999999999999</v>
      </c>
      <c r="BM13">
        <v>20.81</v>
      </c>
      <c r="BN13">
        <v>159.54</v>
      </c>
      <c r="BO13">
        <v>159.54</v>
      </c>
      <c r="BS13" s="2">
        <v>44169</v>
      </c>
      <c r="BT13" s="3">
        <v>0.70486111111111116</v>
      </c>
      <c r="BU13" t="s">
        <v>167</v>
      </c>
      <c r="BV13" t="s">
        <v>81</v>
      </c>
      <c r="BW13" t="s">
        <v>143</v>
      </c>
      <c r="BX13" t="s">
        <v>144</v>
      </c>
      <c r="BY13">
        <v>1200</v>
      </c>
      <c r="BZ13" t="s">
        <v>211</v>
      </c>
      <c r="CC13" t="s">
        <v>110</v>
      </c>
      <c r="CD13">
        <v>2000</v>
      </c>
      <c r="CE13" t="s">
        <v>89</v>
      </c>
      <c r="CF13" s="2">
        <v>44170</v>
      </c>
      <c r="CI13">
        <v>1</v>
      </c>
      <c r="CJ13">
        <v>1</v>
      </c>
      <c r="CK13">
        <v>21</v>
      </c>
      <c r="CL13" t="s">
        <v>81</v>
      </c>
    </row>
    <row r="14" spans="1:92" hidden="1" x14ac:dyDescent="0.25">
      <c r="A14" t="s">
        <v>241</v>
      </c>
      <c r="B14" t="s">
        <v>228</v>
      </c>
      <c r="C14" t="s">
        <v>72</v>
      </c>
      <c r="E14" t="str">
        <f>"009938332614"</f>
        <v>009938332614</v>
      </c>
      <c r="F14" s="2">
        <v>44168</v>
      </c>
      <c r="G14">
        <v>202106</v>
      </c>
      <c r="H14" t="s">
        <v>203</v>
      </c>
      <c r="I14" t="s">
        <v>204</v>
      </c>
      <c r="J14" t="s">
        <v>242</v>
      </c>
      <c r="K14" t="s">
        <v>75</v>
      </c>
      <c r="L14" t="s">
        <v>109</v>
      </c>
      <c r="M14" t="s">
        <v>110</v>
      </c>
      <c r="N14" t="s">
        <v>229</v>
      </c>
      <c r="O14" t="s">
        <v>78</v>
      </c>
      <c r="P14" t="str">
        <f>"NA                            "</f>
        <v xml:space="preserve">NA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3.43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1</v>
      </c>
      <c r="BI14">
        <v>0.7</v>
      </c>
      <c r="BJ14">
        <v>2.2000000000000002</v>
      </c>
      <c r="BK14">
        <v>3</v>
      </c>
      <c r="BL14">
        <v>36.14</v>
      </c>
      <c r="BM14">
        <v>5.42</v>
      </c>
      <c r="BN14">
        <v>41.56</v>
      </c>
      <c r="BO14">
        <v>41.56</v>
      </c>
      <c r="BQ14" t="s">
        <v>200</v>
      </c>
      <c r="BR14" t="s">
        <v>258</v>
      </c>
      <c r="BS14" s="2">
        <v>44172</v>
      </c>
      <c r="BT14" s="3">
        <v>0.42777777777777781</v>
      </c>
      <c r="BU14" t="s">
        <v>240</v>
      </c>
      <c r="BV14" t="s">
        <v>81</v>
      </c>
      <c r="BW14" t="s">
        <v>113</v>
      </c>
      <c r="BX14" t="s">
        <v>121</v>
      </c>
      <c r="BY14">
        <v>10979.96</v>
      </c>
      <c r="BZ14" t="s">
        <v>80</v>
      </c>
      <c r="CC14" t="s">
        <v>110</v>
      </c>
      <c r="CD14">
        <v>2013</v>
      </c>
      <c r="CE14" t="s">
        <v>89</v>
      </c>
      <c r="CF14" s="2">
        <v>44173</v>
      </c>
      <c r="CI14">
        <v>1</v>
      </c>
      <c r="CJ14">
        <v>2</v>
      </c>
      <c r="CK14">
        <v>22</v>
      </c>
      <c r="CL14" t="s">
        <v>81</v>
      </c>
    </row>
    <row r="15" spans="1:92" x14ac:dyDescent="0.25">
      <c r="A15" t="s">
        <v>241</v>
      </c>
      <c r="B15" t="s">
        <v>228</v>
      </c>
      <c r="C15" t="s">
        <v>72</v>
      </c>
      <c r="E15" t="str">
        <f>"009939667683"</f>
        <v>009939667683</v>
      </c>
      <c r="F15" s="2">
        <v>44166</v>
      </c>
      <c r="G15">
        <v>202106</v>
      </c>
      <c r="H15" t="s">
        <v>90</v>
      </c>
      <c r="I15" t="s">
        <v>91</v>
      </c>
      <c r="J15" t="s">
        <v>233</v>
      </c>
      <c r="K15" t="s">
        <v>75</v>
      </c>
      <c r="L15" t="s">
        <v>122</v>
      </c>
      <c r="M15" t="s">
        <v>123</v>
      </c>
      <c r="N15" t="s">
        <v>262</v>
      </c>
      <c r="O15" t="s">
        <v>93</v>
      </c>
      <c r="P15" t="str">
        <f>"LINDI                         "</f>
        <v xml:space="preserve">LINDI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6.18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1</v>
      </c>
      <c r="BI15">
        <v>1</v>
      </c>
      <c r="BJ15">
        <v>1.2</v>
      </c>
      <c r="BK15">
        <v>2</v>
      </c>
      <c r="BL15">
        <v>70.06</v>
      </c>
      <c r="BM15">
        <v>10.51</v>
      </c>
      <c r="BN15">
        <v>80.569999999999993</v>
      </c>
      <c r="BO15">
        <v>80.569999999999993</v>
      </c>
      <c r="BQ15" t="s">
        <v>326</v>
      </c>
      <c r="BR15" t="s">
        <v>236</v>
      </c>
      <c r="BS15" s="2">
        <v>44167</v>
      </c>
      <c r="BT15" s="3">
        <v>0.36874999999999997</v>
      </c>
      <c r="BU15" t="s">
        <v>327</v>
      </c>
      <c r="BV15" t="s">
        <v>79</v>
      </c>
      <c r="BY15">
        <v>6000</v>
      </c>
      <c r="CA15" t="s">
        <v>166</v>
      </c>
      <c r="CC15" t="s">
        <v>123</v>
      </c>
      <c r="CD15">
        <v>4070</v>
      </c>
      <c r="CE15" t="s">
        <v>89</v>
      </c>
      <c r="CF15" s="2">
        <v>44167</v>
      </c>
      <c r="CI15">
        <v>1</v>
      </c>
      <c r="CJ15">
        <v>1</v>
      </c>
      <c r="CK15" t="s">
        <v>190</v>
      </c>
      <c r="CL15" t="s">
        <v>81</v>
      </c>
    </row>
    <row r="16" spans="1:92" hidden="1" x14ac:dyDescent="0.25">
      <c r="A16" t="s">
        <v>241</v>
      </c>
      <c r="B16" t="s">
        <v>228</v>
      </c>
      <c r="C16" t="s">
        <v>72</v>
      </c>
      <c r="E16" t="str">
        <f>"009940017788"</f>
        <v>009940017788</v>
      </c>
      <c r="F16" s="2">
        <v>44166</v>
      </c>
      <c r="G16">
        <v>202106</v>
      </c>
      <c r="H16" t="s">
        <v>84</v>
      </c>
      <c r="I16" t="s">
        <v>85</v>
      </c>
      <c r="J16" t="s">
        <v>242</v>
      </c>
      <c r="K16" t="s">
        <v>75</v>
      </c>
      <c r="L16" t="s">
        <v>109</v>
      </c>
      <c r="M16" t="s">
        <v>110</v>
      </c>
      <c r="N16" t="s">
        <v>229</v>
      </c>
      <c r="O16" t="s">
        <v>78</v>
      </c>
      <c r="P16" t="str">
        <f>"NA                            "</f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3.43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0.2</v>
      </c>
      <c r="BJ16">
        <v>1.4</v>
      </c>
      <c r="BK16">
        <v>2</v>
      </c>
      <c r="BL16">
        <v>36.14</v>
      </c>
      <c r="BM16">
        <v>5.42</v>
      </c>
      <c r="BN16">
        <v>41.56</v>
      </c>
      <c r="BO16">
        <v>41.56</v>
      </c>
      <c r="BQ16" t="s">
        <v>200</v>
      </c>
      <c r="BR16" t="s">
        <v>200</v>
      </c>
      <c r="BS16" s="2">
        <v>44167</v>
      </c>
      <c r="BT16" s="3">
        <v>0.35694444444444445</v>
      </c>
      <c r="BU16" t="s">
        <v>240</v>
      </c>
      <c r="BV16" t="s">
        <v>79</v>
      </c>
      <c r="BY16">
        <v>7210.85</v>
      </c>
      <c r="BZ16" t="s">
        <v>80</v>
      </c>
      <c r="CC16" t="s">
        <v>110</v>
      </c>
      <c r="CD16">
        <v>2013</v>
      </c>
      <c r="CE16" t="s">
        <v>89</v>
      </c>
      <c r="CF16" s="2">
        <v>44168</v>
      </c>
      <c r="CI16">
        <v>1</v>
      </c>
      <c r="CJ16">
        <v>1</v>
      </c>
      <c r="CK16">
        <v>22</v>
      </c>
      <c r="CL16" t="s">
        <v>81</v>
      </c>
    </row>
    <row r="17" spans="1:90" hidden="1" x14ac:dyDescent="0.25">
      <c r="A17" t="s">
        <v>241</v>
      </c>
      <c r="B17" t="s">
        <v>228</v>
      </c>
      <c r="C17" t="s">
        <v>72</v>
      </c>
      <c r="E17" t="str">
        <f>"009940425773"</f>
        <v>009940425773</v>
      </c>
      <c r="F17" s="2">
        <v>44166</v>
      </c>
      <c r="G17">
        <v>202106</v>
      </c>
      <c r="H17" t="s">
        <v>95</v>
      </c>
      <c r="I17" t="s">
        <v>96</v>
      </c>
      <c r="J17" t="s">
        <v>242</v>
      </c>
      <c r="K17" t="s">
        <v>75</v>
      </c>
      <c r="L17" t="s">
        <v>109</v>
      </c>
      <c r="M17" t="s">
        <v>110</v>
      </c>
      <c r="N17" t="s">
        <v>229</v>
      </c>
      <c r="O17" t="s">
        <v>78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4.4000000000000004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1</v>
      </c>
      <c r="BI17">
        <v>0.4</v>
      </c>
      <c r="BJ17">
        <v>1.8</v>
      </c>
      <c r="BK17">
        <v>2</v>
      </c>
      <c r="BL17">
        <v>46.27</v>
      </c>
      <c r="BM17">
        <v>6.94</v>
      </c>
      <c r="BN17">
        <v>53.21</v>
      </c>
      <c r="BO17">
        <v>53.21</v>
      </c>
      <c r="BQ17" t="s">
        <v>175</v>
      </c>
      <c r="BR17" t="s">
        <v>175</v>
      </c>
      <c r="BS17" s="2">
        <v>44167</v>
      </c>
      <c r="BT17" s="3">
        <v>0.35625000000000001</v>
      </c>
      <c r="BU17" t="s">
        <v>240</v>
      </c>
      <c r="BV17" t="s">
        <v>79</v>
      </c>
      <c r="BY17">
        <v>9095.1</v>
      </c>
      <c r="BZ17" t="s">
        <v>80</v>
      </c>
      <c r="CC17" t="s">
        <v>110</v>
      </c>
      <c r="CD17">
        <v>2013</v>
      </c>
      <c r="CE17" t="s">
        <v>89</v>
      </c>
      <c r="CF17" s="2">
        <v>44168</v>
      </c>
      <c r="CI17">
        <v>1</v>
      </c>
      <c r="CJ17">
        <v>1</v>
      </c>
      <c r="CK17">
        <v>21</v>
      </c>
      <c r="CL17" t="s">
        <v>81</v>
      </c>
    </row>
    <row r="18" spans="1:90" hidden="1" x14ac:dyDescent="0.25">
      <c r="A18" t="s">
        <v>241</v>
      </c>
      <c r="B18" t="s">
        <v>228</v>
      </c>
      <c r="C18" t="s">
        <v>72</v>
      </c>
      <c r="E18" t="str">
        <f>"009940622367"</f>
        <v>009940622367</v>
      </c>
      <c r="F18" s="2">
        <v>44168</v>
      </c>
      <c r="G18">
        <v>202106</v>
      </c>
      <c r="H18" t="s">
        <v>95</v>
      </c>
      <c r="I18" t="s">
        <v>96</v>
      </c>
      <c r="J18" t="s">
        <v>266</v>
      </c>
      <c r="K18" t="s">
        <v>75</v>
      </c>
      <c r="L18" t="s">
        <v>109</v>
      </c>
      <c r="M18" t="s">
        <v>110</v>
      </c>
      <c r="N18" t="s">
        <v>229</v>
      </c>
      <c r="O18" t="s">
        <v>78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4.4000000000000004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1</v>
      </c>
      <c r="BI18">
        <v>0.5</v>
      </c>
      <c r="BJ18">
        <v>1.9</v>
      </c>
      <c r="BK18">
        <v>2</v>
      </c>
      <c r="BL18">
        <v>46.27</v>
      </c>
      <c r="BM18">
        <v>6.94</v>
      </c>
      <c r="BN18">
        <v>53.21</v>
      </c>
      <c r="BO18">
        <v>53.21</v>
      </c>
      <c r="BQ18" t="s">
        <v>252</v>
      </c>
      <c r="BR18" t="s">
        <v>267</v>
      </c>
      <c r="BS18" s="2">
        <v>44172</v>
      </c>
      <c r="BT18" s="3">
        <v>0.42777777777777781</v>
      </c>
      <c r="BU18" t="s">
        <v>268</v>
      </c>
      <c r="BV18" t="s">
        <v>81</v>
      </c>
      <c r="BW18" t="s">
        <v>113</v>
      </c>
      <c r="BX18" t="s">
        <v>121</v>
      </c>
      <c r="BY18">
        <v>9612</v>
      </c>
      <c r="BZ18" t="s">
        <v>80</v>
      </c>
      <c r="CA18" t="s">
        <v>108</v>
      </c>
      <c r="CC18" t="s">
        <v>110</v>
      </c>
      <c r="CD18">
        <v>2013</v>
      </c>
      <c r="CE18" t="s">
        <v>89</v>
      </c>
      <c r="CF18" s="2">
        <v>44173</v>
      </c>
      <c r="CI18">
        <v>1</v>
      </c>
      <c r="CJ18">
        <v>2</v>
      </c>
      <c r="CK18">
        <v>21</v>
      </c>
      <c r="CL18" t="s">
        <v>81</v>
      </c>
    </row>
    <row r="19" spans="1:90" hidden="1" x14ac:dyDescent="0.25">
      <c r="A19" t="s">
        <v>241</v>
      </c>
      <c r="B19" t="s">
        <v>228</v>
      </c>
      <c r="C19" t="s">
        <v>72</v>
      </c>
      <c r="E19" t="str">
        <f>"009940154434"</f>
        <v>009940154434</v>
      </c>
      <c r="F19" s="2">
        <v>44168</v>
      </c>
      <c r="G19">
        <v>202106</v>
      </c>
      <c r="H19" t="s">
        <v>87</v>
      </c>
      <c r="I19" t="s">
        <v>88</v>
      </c>
      <c r="J19" t="s">
        <v>269</v>
      </c>
      <c r="K19" t="s">
        <v>75</v>
      </c>
      <c r="L19" t="s">
        <v>109</v>
      </c>
      <c r="M19" t="s">
        <v>110</v>
      </c>
      <c r="N19" t="s">
        <v>472</v>
      </c>
      <c r="O19" t="s">
        <v>78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4.4000000000000004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46.27</v>
      </c>
      <c r="BM19">
        <v>6.94</v>
      </c>
      <c r="BN19">
        <v>53.21</v>
      </c>
      <c r="BO19">
        <v>53.21</v>
      </c>
      <c r="BQ19" t="s">
        <v>252</v>
      </c>
      <c r="BR19" t="s">
        <v>182</v>
      </c>
      <c r="BS19" s="2">
        <v>44169</v>
      </c>
      <c r="BT19" s="3">
        <v>0.70486111111111116</v>
      </c>
      <c r="BU19" t="s">
        <v>167</v>
      </c>
      <c r="BV19" t="s">
        <v>81</v>
      </c>
      <c r="BW19" t="s">
        <v>143</v>
      </c>
      <c r="BX19" t="s">
        <v>144</v>
      </c>
      <c r="BY19">
        <v>1200</v>
      </c>
      <c r="BZ19" t="s">
        <v>80</v>
      </c>
      <c r="CC19" t="s">
        <v>110</v>
      </c>
      <c r="CD19">
        <v>2016</v>
      </c>
      <c r="CE19" t="s">
        <v>89</v>
      </c>
      <c r="CF19" s="2">
        <v>44170</v>
      </c>
      <c r="CI19">
        <v>1</v>
      </c>
      <c r="CJ19">
        <v>1</v>
      </c>
      <c r="CK19">
        <v>21</v>
      </c>
      <c r="CL19" t="s">
        <v>81</v>
      </c>
    </row>
    <row r="20" spans="1:90" hidden="1" x14ac:dyDescent="0.25">
      <c r="A20" t="s">
        <v>241</v>
      </c>
      <c r="B20" t="s">
        <v>228</v>
      </c>
      <c r="C20" t="s">
        <v>72</v>
      </c>
      <c r="E20" t="str">
        <f>"009940698140"</f>
        <v>009940698140</v>
      </c>
      <c r="F20" s="2">
        <v>44166</v>
      </c>
      <c r="G20">
        <v>202106</v>
      </c>
      <c r="H20" t="s">
        <v>109</v>
      </c>
      <c r="I20" t="s">
        <v>110</v>
      </c>
      <c r="J20" t="s">
        <v>270</v>
      </c>
      <c r="K20" t="s">
        <v>75</v>
      </c>
      <c r="L20" t="s">
        <v>109</v>
      </c>
      <c r="M20" t="s">
        <v>110</v>
      </c>
      <c r="N20" t="s">
        <v>229</v>
      </c>
      <c r="O20" t="s">
        <v>78</v>
      </c>
      <c r="P20" t="str">
        <f>"NA                            "</f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3.43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1</v>
      </c>
      <c r="BI20">
        <v>0.6</v>
      </c>
      <c r="BJ20">
        <v>1.5</v>
      </c>
      <c r="BK20">
        <v>2</v>
      </c>
      <c r="BL20">
        <v>36.14</v>
      </c>
      <c r="BM20">
        <v>5.42</v>
      </c>
      <c r="BN20">
        <v>41.56</v>
      </c>
      <c r="BO20">
        <v>41.56</v>
      </c>
      <c r="BQ20" t="s">
        <v>271</v>
      </c>
      <c r="BR20" t="s">
        <v>272</v>
      </c>
      <c r="BS20" s="2">
        <v>44167</v>
      </c>
      <c r="BT20" s="3">
        <v>0.35833333333333334</v>
      </c>
      <c r="BU20" t="s">
        <v>240</v>
      </c>
      <c r="BV20" t="s">
        <v>79</v>
      </c>
      <c r="BY20">
        <v>7578.75</v>
      </c>
      <c r="BZ20" t="s">
        <v>80</v>
      </c>
      <c r="CC20" t="s">
        <v>110</v>
      </c>
      <c r="CD20">
        <v>2013</v>
      </c>
      <c r="CE20" t="s">
        <v>89</v>
      </c>
      <c r="CF20" s="2">
        <v>44168</v>
      </c>
      <c r="CI20">
        <v>1</v>
      </c>
      <c r="CJ20">
        <v>1</v>
      </c>
      <c r="CK20">
        <v>22</v>
      </c>
      <c r="CL20" t="s">
        <v>81</v>
      </c>
    </row>
    <row r="21" spans="1:90" hidden="1" x14ac:dyDescent="0.25">
      <c r="A21" t="s">
        <v>241</v>
      </c>
      <c r="B21" t="s">
        <v>228</v>
      </c>
      <c r="C21" t="s">
        <v>72</v>
      </c>
      <c r="E21" t="str">
        <f>"009940154436"</f>
        <v>009940154436</v>
      </c>
      <c r="F21" s="2">
        <v>44168</v>
      </c>
      <c r="G21">
        <v>202106</v>
      </c>
      <c r="H21" t="s">
        <v>87</v>
      </c>
      <c r="I21" t="s">
        <v>88</v>
      </c>
      <c r="J21" t="s">
        <v>269</v>
      </c>
      <c r="K21" t="s">
        <v>75</v>
      </c>
      <c r="L21" t="s">
        <v>109</v>
      </c>
      <c r="M21" t="s">
        <v>110</v>
      </c>
      <c r="N21" t="s">
        <v>229</v>
      </c>
      <c r="O21" t="s">
        <v>78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4.4000000000000004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46.27</v>
      </c>
      <c r="BM21">
        <v>6.94</v>
      </c>
      <c r="BN21">
        <v>53.21</v>
      </c>
      <c r="BO21">
        <v>53.21</v>
      </c>
      <c r="BQ21" t="s">
        <v>252</v>
      </c>
      <c r="BR21" t="s">
        <v>273</v>
      </c>
      <c r="BS21" s="2">
        <v>44172</v>
      </c>
      <c r="BT21" s="3">
        <v>0.42638888888888887</v>
      </c>
      <c r="BU21" t="s">
        <v>240</v>
      </c>
      <c r="BV21" t="s">
        <v>81</v>
      </c>
      <c r="BW21" t="s">
        <v>113</v>
      </c>
      <c r="BX21" t="s">
        <v>121</v>
      </c>
      <c r="BY21">
        <v>1200</v>
      </c>
      <c r="BZ21" t="s">
        <v>80</v>
      </c>
      <c r="CC21" t="s">
        <v>110</v>
      </c>
      <c r="CD21">
        <v>2016</v>
      </c>
      <c r="CE21" t="s">
        <v>89</v>
      </c>
      <c r="CF21" s="2">
        <v>44173</v>
      </c>
      <c r="CI21">
        <v>1</v>
      </c>
      <c r="CJ21">
        <v>2</v>
      </c>
      <c r="CK21">
        <v>21</v>
      </c>
      <c r="CL21" t="s">
        <v>81</v>
      </c>
    </row>
    <row r="22" spans="1:90" hidden="1" x14ac:dyDescent="0.25">
      <c r="A22" t="s">
        <v>241</v>
      </c>
      <c r="B22" t="s">
        <v>228</v>
      </c>
      <c r="C22" t="s">
        <v>72</v>
      </c>
      <c r="E22" t="str">
        <f>"009940459467"</f>
        <v>009940459467</v>
      </c>
      <c r="F22" s="2">
        <v>44166</v>
      </c>
      <c r="G22">
        <v>202106</v>
      </c>
      <c r="H22" t="s">
        <v>87</v>
      </c>
      <c r="I22" t="s">
        <v>88</v>
      </c>
      <c r="J22" t="s">
        <v>251</v>
      </c>
      <c r="K22" t="s">
        <v>75</v>
      </c>
      <c r="L22" t="s">
        <v>109</v>
      </c>
      <c r="M22" t="s">
        <v>110</v>
      </c>
      <c r="N22" t="s">
        <v>229</v>
      </c>
      <c r="O22" t="s">
        <v>78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4.4000000000000004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46.27</v>
      </c>
      <c r="BM22">
        <v>6.94</v>
      </c>
      <c r="BN22">
        <v>53.21</v>
      </c>
      <c r="BO22">
        <v>53.21</v>
      </c>
      <c r="BQ22" t="s">
        <v>252</v>
      </c>
      <c r="BR22" t="s">
        <v>274</v>
      </c>
      <c r="BS22" s="2">
        <v>44167</v>
      </c>
      <c r="BT22" s="3">
        <v>0.35625000000000001</v>
      </c>
      <c r="BU22" t="s">
        <v>240</v>
      </c>
      <c r="BV22" t="s">
        <v>79</v>
      </c>
      <c r="BY22">
        <v>1200</v>
      </c>
      <c r="BZ22" t="s">
        <v>80</v>
      </c>
      <c r="CC22" t="s">
        <v>110</v>
      </c>
      <c r="CD22">
        <v>2013</v>
      </c>
      <c r="CE22" t="s">
        <v>89</v>
      </c>
      <c r="CF22" s="2">
        <v>44168</v>
      </c>
      <c r="CI22">
        <v>1</v>
      </c>
      <c r="CJ22">
        <v>1</v>
      </c>
      <c r="CK22">
        <v>21</v>
      </c>
      <c r="CL22" t="s">
        <v>81</v>
      </c>
    </row>
    <row r="23" spans="1:90" hidden="1" x14ac:dyDescent="0.25">
      <c r="A23" t="s">
        <v>241</v>
      </c>
      <c r="B23" t="s">
        <v>228</v>
      </c>
      <c r="C23" t="s">
        <v>72</v>
      </c>
      <c r="E23" t="str">
        <f>"009940688107"</f>
        <v>009940688107</v>
      </c>
      <c r="F23" s="2">
        <v>44168</v>
      </c>
      <c r="G23">
        <v>202106</v>
      </c>
      <c r="H23" t="s">
        <v>109</v>
      </c>
      <c r="I23" t="s">
        <v>110</v>
      </c>
      <c r="J23" t="s">
        <v>275</v>
      </c>
      <c r="K23" t="s">
        <v>75</v>
      </c>
      <c r="L23" t="s">
        <v>109</v>
      </c>
      <c r="M23" t="s">
        <v>110</v>
      </c>
      <c r="N23" t="s">
        <v>229</v>
      </c>
      <c r="O23" t="s">
        <v>78</v>
      </c>
      <c r="P23" t="str">
        <f>"NA                            "</f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4.26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1</v>
      </c>
      <c r="BI23">
        <v>1</v>
      </c>
      <c r="BJ23">
        <v>9.6</v>
      </c>
      <c r="BK23">
        <v>10</v>
      </c>
      <c r="BL23">
        <v>44.81</v>
      </c>
      <c r="BM23">
        <v>6.72</v>
      </c>
      <c r="BN23">
        <v>51.53</v>
      </c>
      <c r="BO23">
        <v>51.53</v>
      </c>
      <c r="BR23" t="s">
        <v>272</v>
      </c>
      <c r="BS23" s="2">
        <v>44169</v>
      </c>
      <c r="BT23" s="3">
        <v>0.70486111111111116</v>
      </c>
      <c r="BU23" t="s">
        <v>167</v>
      </c>
      <c r="BV23" t="s">
        <v>81</v>
      </c>
      <c r="BW23" t="s">
        <v>143</v>
      </c>
      <c r="BX23" t="s">
        <v>144</v>
      </c>
      <c r="BY23">
        <v>48000</v>
      </c>
      <c r="BZ23" t="s">
        <v>80</v>
      </c>
      <c r="CC23" t="s">
        <v>110</v>
      </c>
      <c r="CD23">
        <v>2013</v>
      </c>
      <c r="CE23" t="s">
        <v>89</v>
      </c>
      <c r="CF23" s="2">
        <v>44170</v>
      </c>
      <c r="CI23">
        <v>1</v>
      </c>
      <c r="CJ23">
        <v>1</v>
      </c>
      <c r="CK23">
        <v>22</v>
      </c>
      <c r="CL23" t="s">
        <v>81</v>
      </c>
    </row>
    <row r="24" spans="1:90" hidden="1" x14ac:dyDescent="0.25">
      <c r="A24" t="s">
        <v>241</v>
      </c>
      <c r="B24" t="s">
        <v>228</v>
      </c>
      <c r="C24" t="s">
        <v>72</v>
      </c>
      <c r="E24" t="str">
        <f>"009939096512"</f>
        <v>009939096512</v>
      </c>
      <c r="F24" s="2">
        <v>44168</v>
      </c>
      <c r="G24">
        <v>202106</v>
      </c>
      <c r="H24" t="s">
        <v>109</v>
      </c>
      <c r="I24" t="s">
        <v>110</v>
      </c>
      <c r="J24" t="s">
        <v>229</v>
      </c>
      <c r="K24" t="s">
        <v>75</v>
      </c>
      <c r="L24" t="s">
        <v>122</v>
      </c>
      <c r="M24" t="s">
        <v>123</v>
      </c>
      <c r="N24" t="s">
        <v>229</v>
      </c>
      <c r="O24" t="s">
        <v>78</v>
      </c>
      <c r="P24" t="str">
        <f>"NA                            "</f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4.4000000000000004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46.27</v>
      </c>
      <c r="BM24">
        <v>6.94</v>
      </c>
      <c r="BN24">
        <v>53.21</v>
      </c>
      <c r="BO24">
        <v>53.21</v>
      </c>
      <c r="BQ24" t="s">
        <v>276</v>
      </c>
      <c r="BR24" t="s">
        <v>247</v>
      </c>
      <c r="BS24" s="2">
        <v>44169</v>
      </c>
      <c r="BT24" s="3">
        <v>0.31388888888888888</v>
      </c>
      <c r="BU24" t="s">
        <v>248</v>
      </c>
      <c r="BV24" t="s">
        <v>79</v>
      </c>
      <c r="BY24">
        <v>1200</v>
      </c>
      <c r="BZ24" t="s">
        <v>80</v>
      </c>
      <c r="CA24" t="s">
        <v>249</v>
      </c>
      <c r="CC24" t="s">
        <v>123</v>
      </c>
      <c r="CD24">
        <v>3630</v>
      </c>
      <c r="CE24" t="s">
        <v>89</v>
      </c>
      <c r="CF24" s="2">
        <v>44172</v>
      </c>
      <c r="CI24">
        <v>1</v>
      </c>
      <c r="CJ24">
        <v>1</v>
      </c>
      <c r="CK24">
        <v>21</v>
      </c>
      <c r="CL24" t="s">
        <v>81</v>
      </c>
    </row>
    <row r="25" spans="1:90" hidden="1" x14ac:dyDescent="0.25">
      <c r="A25" t="s">
        <v>241</v>
      </c>
      <c r="B25" t="s">
        <v>228</v>
      </c>
      <c r="C25" t="s">
        <v>72</v>
      </c>
      <c r="E25" t="str">
        <f>"009939096574"</f>
        <v>009939096574</v>
      </c>
      <c r="F25" s="2">
        <v>44168</v>
      </c>
      <c r="G25">
        <v>202106</v>
      </c>
      <c r="H25" t="s">
        <v>109</v>
      </c>
      <c r="I25" t="s">
        <v>110</v>
      </c>
      <c r="J25" t="s">
        <v>229</v>
      </c>
      <c r="K25" t="s">
        <v>75</v>
      </c>
      <c r="L25" t="s">
        <v>95</v>
      </c>
      <c r="M25" t="s">
        <v>96</v>
      </c>
      <c r="N25" t="s">
        <v>229</v>
      </c>
      <c r="O25" t="s">
        <v>78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4.4000000000000004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46.27</v>
      </c>
      <c r="BM25">
        <v>6.94</v>
      </c>
      <c r="BN25">
        <v>53.21</v>
      </c>
      <c r="BO25">
        <v>53.21</v>
      </c>
      <c r="BQ25" t="s">
        <v>250</v>
      </c>
      <c r="BR25" t="s">
        <v>247</v>
      </c>
      <c r="BS25" s="2">
        <v>44169</v>
      </c>
      <c r="BT25" s="3">
        <v>0.3888888888888889</v>
      </c>
      <c r="BU25" t="s">
        <v>232</v>
      </c>
      <c r="BV25" t="s">
        <v>79</v>
      </c>
      <c r="BY25">
        <v>1200</v>
      </c>
      <c r="BZ25" t="s">
        <v>80</v>
      </c>
      <c r="CA25" t="s">
        <v>142</v>
      </c>
      <c r="CC25" t="s">
        <v>96</v>
      </c>
      <c r="CD25">
        <v>7441</v>
      </c>
      <c r="CE25" t="s">
        <v>89</v>
      </c>
      <c r="CF25" s="2">
        <v>44172</v>
      </c>
      <c r="CI25">
        <v>1</v>
      </c>
      <c r="CJ25">
        <v>1</v>
      </c>
      <c r="CK25">
        <v>21</v>
      </c>
      <c r="CL25" t="s">
        <v>81</v>
      </c>
    </row>
    <row r="26" spans="1:90" hidden="1" x14ac:dyDescent="0.25">
      <c r="A26" t="s">
        <v>241</v>
      </c>
      <c r="B26" t="s">
        <v>228</v>
      </c>
      <c r="C26" t="s">
        <v>72</v>
      </c>
      <c r="E26" t="str">
        <f>"009940698147"</f>
        <v>009940698147</v>
      </c>
      <c r="F26" s="2">
        <v>44168</v>
      </c>
      <c r="G26">
        <v>202106</v>
      </c>
      <c r="H26" t="s">
        <v>109</v>
      </c>
      <c r="I26" t="s">
        <v>110</v>
      </c>
      <c r="J26" t="s">
        <v>277</v>
      </c>
      <c r="K26" t="s">
        <v>75</v>
      </c>
      <c r="L26" t="s">
        <v>109</v>
      </c>
      <c r="M26" t="s">
        <v>110</v>
      </c>
      <c r="N26" t="s">
        <v>229</v>
      </c>
      <c r="O26" t="s">
        <v>78</v>
      </c>
      <c r="P26" t="str">
        <f>"NA                            "</f>
        <v xml:space="preserve">NA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3.43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36.14</v>
      </c>
      <c r="BM26">
        <v>5.42</v>
      </c>
      <c r="BN26">
        <v>41.56</v>
      </c>
      <c r="BO26">
        <v>41.56</v>
      </c>
      <c r="BQ26" t="s">
        <v>271</v>
      </c>
      <c r="BR26" t="s">
        <v>272</v>
      </c>
      <c r="BS26" s="2">
        <v>44169</v>
      </c>
      <c r="BT26" s="3">
        <v>0.70486111111111116</v>
      </c>
      <c r="BU26" t="s">
        <v>167</v>
      </c>
      <c r="BV26" t="s">
        <v>81</v>
      </c>
      <c r="BW26" t="s">
        <v>143</v>
      </c>
      <c r="BX26" t="s">
        <v>144</v>
      </c>
      <c r="BY26">
        <v>1200</v>
      </c>
      <c r="BZ26" t="s">
        <v>80</v>
      </c>
      <c r="CC26" t="s">
        <v>110</v>
      </c>
      <c r="CD26">
        <v>2013</v>
      </c>
      <c r="CE26" t="s">
        <v>89</v>
      </c>
      <c r="CF26" s="2">
        <v>44170</v>
      </c>
      <c r="CI26">
        <v>1</v>
      </c>
      <c r="CJ26">
        <v>1</v>
      </c>
      <c r="CK26">
        <v>22</v>
      </c>
      <c r="CL26" t="s">
        <v>81</v>
      </c>
    </row>
    <row r="27" spans="1:90" hidden="1" x14ac:dyDescent="0.25">
      <c r="A27" t="s">
        <v>241</v>
      </c>
      <c r="B27" t="s">
        <v>228</v>
      </c>
      <c r="C27" t="s">
        <v>72</v>
      </c>
      <c r="E27" t="str">
        <f>"009939667685"</f>
        <v>009939667685</v>
      </c>
      <c r="F27" s="2">
        <v>44166</v>
      </c>
      <c r="G27">
        <v>202106</v>
      </c>
      <c r="H27" t="s">
        <v>90</v>
      </c>
      <c r="I27" t="s">
        <v>91</v>
      </c>
      <c r="J27" t="s">
        <v>233</v>
      </c>
      <c r="K27" t="s">
        <v>75</v>
      </c>
      <c r="L27" t="s">
        <v>109</v>
      </c>
      <c r="M27" t="s">
        <v>110</v>
      </c>
      <c r="N27" t="s">
        <v>75</v>
      </c>
      <c r="O27" t="s">
        <v>184</v>
      </c>
      <c r="P27" t="str">
        <f>"LINDI                         "</f>
        <v xml:space="preserve">LINDI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8.24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86.74</v>
      </c>
      <c r="BM27">
        <v>13.01</v>
      </c>
      <c r="BN27">
        <v>99.75</v>
      </c>
      <c r="BO27">
        <v>99.75</v>
      </c>
      <c r="BQ27" t="s">
        <v>278</v>
      </c>
      <c r="BR27" t="s">
        <v>236</v>
      </c>
      <c r="BS27" s="2">
        <v>44167</v>
      </c>
      <c r="BT27" s="3">
        <v>0.54166666666666663</v>
      </c>
      <c r="BU27" t="s">
        <v>279</v>
      </c>
      <c r="BV27" t="s">
        <v>79</v>
      </c>
      <c r="BY27">
        <v>1200</v>
      </c>
      <c r="BZ27" t="s">
        <v>280</v>
      </c>
      <c r="CA27" t="s">
        <v>281</v>
      </c>
      <c r="CC27" t="s">
        <v>110</v>
      </c>
      <c r="CD27">
        <v>1827</v>
      </c>
      <c r="CE27" t="s">
        <v>89</v>
      </c>
      <c r="CF27" s="2">
        <v>44168</v>
      </c>
      <c r="CI27">
        <v>1</v>
      </c>
      <c r="CJ27">
        <v>1</v>
      </c>
      <c r="CK27">
        <v>31</v>
      </c>
      <c r="CL27" t="s">
        <v>81</v>
      </c>
    </row>
    <row r="28" spans="1:90" hidden="1" x14ac:dyDescent="0.25">
      <c r="A28" t="s">
        <v>241</v>
      </c>
      <c r="B28" t="s">
        <v>228</v>
      </c>
      <c r="C28" t="s">
        <v>72</v>
      </c>
      <c r="E28" t="str">
        <f>"009939667686"</f>
        <v>009939667686</v>
      </c>
      <c r="F28" s="2">
        <v>44166</v>
      </c>
      <c r="G28">
        <v>202106</v>
      </c>
      <c r="H28" t="s">
        <v>90</v>
      </c>
      <c r="I28" t="s">
        <v>91</v>
      </c>
      <c r="J28" t="s">
        <v>233</v>
      </c>
      <c r="K28" t="s">
        <v>75</v>
      </c>
      <c r="L28" t="s">
        <v>112</v>
      </c>
      <c r="M28" t="s">
        <v>92</v>
      </c>
      <c r="N28" t="s">
        <v>282</v>
      </c>
      <c r="O28" t="s">
        <v>184</v>
      </c>
      <c r="P28" t="str">
        <f>"LINDI                         "</f>
        <v xml:space="preserve">LINDI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8.24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1</v>
      </c>
      <c r="BI28">
        <v>1</v>
      </c>
      <c r="BJ28">
        <v>1.2</v>
      </c>
      <c r="BK28">
        <v>2</v>
      </c>
      <c r="BL28">
        <v>86.74</v>
      </c>
      <c r="BM28">
        <v>13.01</v>
      </c>
      <c r="BN28">
        <v>99.75</v>
      </c>
      <c r="BO28">
        <v>99.75</v>
      </c>
      <c r="BQ28" t="s">
        <v>283</v>
      </c>
      <c r="BR28" t="s">
        <v>236</v>
      </c>
      <c r="BS28" s="2">
        <v>44167</v>
      </c>
      <c r="BT28" s="3">
        <v>0.51388888888888895</v>
      </c>
      <c r="BU28" t="s">
        <v>284</v>
      </c>
      <c r="BV28" t="s">
        <v>79</v>
      </c>
      <c r="BY28">
        <v>6000</v>
      </c>
      <c r="BZ28" t="s">
        <v>185</v>
      </c>
      <c r="CA28" t="s">
        <v>134</v>
      </c>
      <c r="CC28" t="s">
        <v>92</v>
      </c>
      <c r="CD28">
        <v>182</v>
      </c>
      <c r="CE28" t="s">
        <v>89</v>
      </c>
      <c r="CF28" s="2">
        <v>44168</v>
      </c>
      <c r="CI28">
        <v>1</v>
      </c>
      <c r="CJ28">
        <v>1</v>
      </c>
      <c r="CK28">
        <v>31</v>
      </c>
      <c r="CL28" t="s">
        <v>81</v>
      </c>
    </row>
    <row r="29" spans="1:90" hidden="1" x14ac:dyDescent="0.25">
      <c r="A29" t="s">
        <v>241</v>
      </c>
      <c r="B29" t="s">
        <v>228</v>
      </c>
      <c r="C29" t="s">
        <v>72</v>
      </c>
      <c r="E29" t="str">
        <f>"009939667678"</f>
        <v>009939667678</v>
      </c>
      <c r="F29" s="2">
        <v>44166</v>
      </c>
      <c r="G29">
        <v>202106</v>
      </c>
      <c r="H29" t="s">
        <v>90</v>
      </c>
      <c r="I29" t="s">
        <v>91</v>
      </c>
      <c r="J29" t="s">
        <v>233</v>
      </c>
      <c r="K29" t="s">
        <v>75</v>
      </c>
      <c r="L29" t="s">
        <v>155</v>
      </c>
      <c r="M29" t="s">
        <v>156</v>
      </c>
      <c r="N29" t="s">
        <v>75</v>
      </c>
      <c r="O29" t="s">
        <v>184</v>
      </c>
      <c r="P29" t="str">
        <f>"LINDI                         "</f>
        <v xml:space="preserve">LINDI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8.24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86.74</v>
      </c>
      <c r="BM29">
        <v>13.01</v>
      </c>
      <c r="BN29">
        <v>99.75</v>
      </c>
      <c r="BO29">
        <v>99.75</v>
      </c>
      <c r="BQ29" t="s">
        <v>285</v>
      </c>
      <c r="BR29" t="s">
        <v>236</v>
      </c>
      <c r="BS29" s="2">
        <v>44167</v>
      </c>
      <c r="BT29" s="3">
        <v>0.58333333333333337</v>
      </c>
      <c r="BU29" t="s">
        <v>286</v>
      </c>
      <c r="BV29" t="s">
        <v>81</v>
      </c>
      <c r="BW29" t="s">
        <v>113</v>
      </c>
      <c r="BX29" t="s">
        <v>114</v>
      </c>
      <c r="BY29">
        <v>1200</v>
      </c>
      <c r="BZ29" t="s">
        <v>185</v>
      </c>
      <c r="CC29" t="s">
        <v>156</v>
      </c>
      <c r="CD29">
        <v>1501</v>
      </c>
      <c r="CE29" t="s">
        <v>89</v>
      </c>
      <c r="CF29" s="2">
        <v>44168</v>
      </c>
      <c r="CI29">
        <v>1</v>
      </c>
      <c r="CJ29">
        <v>1</v>
      </c>
      <c r="CK29">
        <v>31</v>
      </c>
      <c r="CL29" t="s">
        <v>81</v>
      </c>
    </row>
    <row r="30" spans="1:90" hidden="1" x14ac:dyDescent="0.25">
      <c r="A30" t="s">
        <v>241</v>
      </c>
      <c r="B30" t="s">
        <v>228</v>
      </c>
      <c r="C30" t="s">
        <v>72</v>
      </c>
      <c r="E30" t="str">
        <f>"009939667680"</f>
        <v>009939667680</v>
      </c>
      <c r="F30" s="2">
        <v>44166</v>
      </c>
      <c r="G30">
        <v>202106</v>
      </c>
      <c r="H30" t="s">
        <v>90</v>
      </c>
      <c r="I30" t="s">
        <v>91</v>
      </c>
      <c r="J30" t="s">
        <v>259</v>
      </c>
      <c r="K30" t="s">
        <v>75</v>
      </c>
      <c r="L30" t="s">
        <v>95</v>
      </c>
      <c r="M30" t="s">
        <v>96</v>
      </c>
      <c r="N30" t="s">
        <v>287</v>
      </c>
      <c r="O30" t="s">
        <v>184</v>
      </c>
      <c r="P30" t="str">
        <f>"LINDI                         "</f>
        <v xml:space="preserve">LINDI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8.24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86.74</v>
      </c>
      <c r="BM30">
        <v>13.01</v>
      </c>
      <c r="BN30">
        <v>99.75</v>
      </c>
      <c r="BO30">
        <v>99.75</v>
      </c>
      <c r="BQ30" t="s">
        <v>288</v>
      </c>
      <c r="BR30" t="s">
        <v>236</v>
      </c>
      <c r="BS30" s="2">
        <v>44168</v>
      </c>
      <c r="BT30" s="3">
        <v>0.3354166666666667</v>
      </c>
      <c r="BU30" t="s">
        <v>220</v>
      </c>
      <c r="BV30" t="s">
        <v>81</v>
      </c>
      <c r="BW30" t="s">
        <v>97</v>
      </c>
      <c r="BX30" t="s">
        <v>157</v>
      </c>
      <c r="BY30">
        <v>1200</v>
      </c>
      <c r="BZ30" t="s">
        <v>211</v>
      </c>
      <c r="CA30" t="s">
        <v>206</v>
      </c>
      <c r="CC30" t="s">
        <v>96</v>
      </c>
      <c r="CD30">
        <v>8001</v>
      </c>
      <c r="CE30" t="s">
        <v>89</v>
      </c>
      <c r="CF30" s="2">
        <v>44169</v>
      </c>
      <c r="CI30">
        <v>1</v>
      </c>
      <c r="CJ30">
        <v>2</v>
      </c>
      <c r="CK30">
        <v>31</v>
      </c>
      <c r="CL30" t="s">
        <v>81</v>
      </c>
    </row>
    <row r="31" spans="1:90" hidden="1" x14ac:dyDescent="0.25">
      <c r="A31" t="s">
        <v>241</v>
      </c>
      <c r="B31" t="s">
        <v>228</v>
      </c>
      <c r="C31" t="s">
        <v>72</v>
      </c>
      <c r="E31" t="str">
        <f>"009939667677"</f>
        <v>009939667677</v>
      </c>
      <c r="F31" s="2">
        <v>44166</v>
      </c>
      <c r="G31">
        <v>202106</v>
      </c>
      <c r="H31" t="s">
        <v>90</v>
      </c>
      <c r="I31" t="s">
        <v>91</v>
      </c>
      <c r="J31" t="s">
        <v>233</v>
      </c>
      <c r="K31" t="s">
        <v>75</v>
      </c>
      <c r="L31" t="s">
        <v>82</v>
      </c>
      <c r="M31" t="s">
        <v>83</v>
      </c>
      <c r="N31" t="s">
        <v>75</v>
      </c>
      <c r="O31" t="s">
        <v>78</v>
      </c>
      <c r="P31" t="str">
        <f>"LINDI                         "</f>
        <v xml:space="preserve">LINDI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3.43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1</v>
      </c>
      <c r="BI31">
        <v>1</v>
      </c>
      <c r="BJ31">
        <v>1.2</v>
      </c>
      <c r="BK31">
        <v>2</v>
      </c>
      <c r="BL31">
        <v>36.14</v>
      </c>
      <c r="BM31">
        <v>5.42</v>
      </c>
      <c r="BN31">
        <v>41.56</v>
      </c>
      <c r="BO31">
        <v>41.56</v>
      </c>
      <c r="BQ31" t="s">
        <v>289</v>
      </c>
      <c r="BR31" t="s">
        <v>236</v>
      </c>
      <c r="BS31" s="2">
        <v>44167</v>
      </c>
      <c r="BT31" s="3">
        <v>0.45763888888888887</v>
      </c>
      <c r="BU31" t="s">
        <v>290</v>
      </c>
      <c r="BV31" t="s">
        <v>79</v>
      </c>
      <c r="BY31">
        <v>6000</v>
      </c>
      <c r="BZ31" t="s">
        <v>80</v>
      </c>
      <c r="CA31" t="s">
        <v>163</v>
      </c>
      <c r="CC31" t="s">
        <v>83</v>
      </c>
      <c r="CD31">
        <v>4300</v>
      </c>
      <c r="CE31" t="s">
        <v>89</v>
      </c>
      <c r="CF31" s="2">
        <v>44167</v>
      </c>
      <c r="CI31">
        <v>1</v>
      </c>
      <c r="CJ31">
        <v>1</v>
      </c>
      <c r="CK31">
        <v>22</v>
      </c>
      <c r="CL31" t="s">
        <v>81</v>
      </c>
    </row>
    <row r="32" spans="1:90" hidden="1" x14ac:dyDescent="0.25">
      <c r="A32" t="s">
        <v>241</v>
      </c>
      <c r="B32" t="s">
        <v>228</v>
      </c>
      <c r="C32" t="s">
        <v>72</v>
      </c>
      <c r="E32" t="str">
        <f>"009939667679"</f>
        <v>009939667679</v>
      </c>
      <c r="F32" s="2">
        <v>44166</v>
      </c>
      <c r="G32">
        <v>202106</v>
      </c>
      <c r="H32" t="s">
        <v>90</v>
      </c>
      <c r="I32" t="s">
        <v>91</v>
      </c>
      <c r="J32" t="s">
        <v>233</v>
      </c>
      <c r="K32" t="s">
        <v>75</v>
      </c>
      <c r="L32" t="s">
        <v>164</v>
      </c>
      <c r="M32" t="s">
        <v>165</v>
      </c>
      <c r="N32" t="s">
        <v>291</v>
      </c>
      <c r="O32" t="s">
        <v>184</v>
      </c>
      <c r="P32" t="str">
        <f>"LINDI                         "</f>
        <v xml:space="preserve">LINDI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8.24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86.74</v>
      </c>
      <c r="BM32">
        <v>13.01</v>
      </c>
      <c r="BN32">
        <v>99.75</v>
      </c>
      <c r="BO32">
        <v>99.75</v>
      </c>
      <c r="BQ32" t="s">
        <v>292</v>
      </c>
      <c r="BR32" t="s">
        <v>236</v>
      </c>
      <c r="BS32" s="2">
        <v>44167</v>
      </c>
      <c r="BT32" s="3">
        <v>0.51041666666666663</v>
      </c>
      <c r="BU32" t="s">
        <v>293</v>
      </c>
      <c r="BV32" t="s">
        <v>79</v>
      </c>
      <c r="BY32">
        <v>1200</v>
      </c>
      <c r="BZ32" t="s">
        <v>185</v>
      </c>
      <c r="CA32" t="s">
        <v>171</v>
      </c>
      <c r="CC32" t="s">
        <v>165</v>
      </c>
      <c r="CD32">
        <v>1449</v>
      </c>
      <c r="CE32" t="s">
        <v>89</v>
      </c>
      <c r="CF32" s="2">
        <v>44168</v>
      </c>
      <c r="CI32">
        <v>1</v>
      </c>
      <c r="CJ32">
        <v>1</v>
      </c>
      <c r="CK32">
        <v>31</v>
      </c>
      <c r="CL32" t="s">
        <v>81</v>
      </c>
    </row>
    <row r="33" spans="1:90" hidden="1" x14ac:dyDescent="0.25">
      <c r="A33" t="s">
        <v>241</v>
      </c>
      <c r="B33" t="s">
        <v>228</v>
      </c>
      <c r="C33" t="s">
        <v>72</v>
      </c>
      <c r="E33" t="str">
        <f>"009939667684"</f>
        <v>009939667684</v>
      </c>
      <c r="F33" s="2">
        <v>44166</v>
      </c>
      <c r="G33">
        <v>202106</v>
      </c>
      <c r="H33" t="s">
        <v>90</v>
      </c>
      <c r="I33" t="s">
        <v>91</v>
      </c>
      <c r="J33" t="s">
        <v>229</v>
      </c>
      <c r="K33" t="s">
        <v>75</v>
      </c>
      <c r="L33" t="s">
        <v>122</v>
      </c>
      <c r="M33" t="s">
        <v>123</v>
      </c>
      <c r="N33" t="s">
        <v>294</v>
      </c>
      <c r="O33" t="s">
        <v>78</v>
      </c>
      <c r="P33" t="str">
        <f>"LINDI                         "</f>
        <v xml:space="preserve">LINDI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3.43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1</v>
      </c>
      <c r="BI33">
        <v>1</v>
      </c>
      <c r="BJ33">
        <v>1.2</v>
      </c>
      <c r="BK33">
        <v>2</v>
      </c>
      <c r="BL33">
        <v>36.14</v>
      </c>
      <c r="BM33">
        <v>5.42</v>
      </c>
      <c r="BN33">
        <v>41.56</v>
      </c>
      <c r="BO33">
        <v>41.56</v>
      </c>
      <c r="BP33" t="s">
        <v>295</v>
      </c>
      <c r="BQ33" t="s">
        <v>296</v>
      </c>
      <c r="BR33" t="s">
        <v>236</v>
      </c>
      <c r="BS33" s="2">
        <v>44167</v>
      </c>
      <c r="BT33" s="3">
        <v>0.59027777777777779</v>
      </c>
      <c r="BU33" t="s">
        <v>297</v>
      </c>
      <c r="BV33" t="s">
        <v>81</v>
      </c>
      <c r="BW33" t="s">
        <v>117</v>
      </c>
      <c r="BX33" t="s">
        <v>124</v>
      </c>
      <c r="BY33">
        <v>6000</v>
      </c>
      <c r="BZ33" t="s">
        <v>211</v>
      </c>
      <c r="CA33" t="s">
        <v>249</v>
      </c>
      <c r="CC33" t="s">
        <v>123</v>
      </c>
      <c r="CD33">
        <v>4001</v>
      </c>
      <c r="CE33" t="s">
        <v>89</v>
      </c>
      <c r="CF33" s="2">
        <v>44167</v>
      </c>
      <c r="CI33">
        <v>1</v>
      </c>
      <c r="CJ33">
        <v>1</v>
      </c>
      <c r="CK33">
        <v>22</v>
      </c>
      <c r="CL33" t="s">
        <v>81</v>
      </c>
    </row>
    <row r="34" spans="1:90" hidden="1" x14ac:dyDescent="0.25">
      <c r="A34" t="s">
        <v>241</v>
      </c>
      <c r="B34" t="s">
        <v>228</v>
      </c>
      <c r="C34" t="s">
        <v>72</v>
      </c>
      <c r="E34" t="str">
        <f>"009939667675"</f>
        <v>009939667675</v>
      </c>
      <c r="F34" s="2">
        <v>44166</v>
      </c>
      <c r="G34">
        <v>202106</v>
      </c>
      <c r="H34" t="s">
        <v>90</v>
      </c>
      <c r="I34" t="s">
        <v>91</v>
      </c>
      <c r="J34" t="s">
        <v>233</v>
      </c>
      <c r="K34" t="s">
        <v>75</v>
      </c>
      <c r="L34" t="s">
        <v>298</v>
      </c>
      <c r="M34" t="s">
        <v>299</v>
      </c>
      <c r="N34" t="s">
        <v>75</v>
      </c>
      <c r="O34" t="s">
        <v>184</v>
      </c>
      <c r="P34" t="str">
        <f>"LINDI                         "</f>
        <v xml:space="preserve">LINDI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8.52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1</v>
      </c>
      <c r="BI34">
        <v>1</v>
      </c>
      <c r="BJ34">
        <v>1.2</v>
      </c>
      <c r="BK34">
        <v>2</v>
      </c>
      <c r="BL34">
        <v>89.64</v>
      </c>
      <c r="BM34">
        <v>13.45</v>
      </c>
      <c r="BN34">
        <v>103.09</v>
      </c>
      <c r="BO34">
        <v>103.09</v>
      </c>
      <c r="BQ34" t="s">
        <v>300</v>
      </c>
      <c r="BR34" t="s">
        <v>236</v>
      </c>
      <c r="BS34" s="2">
        <v>44169</v>
      </c>
      <c r="BT34" s="3">
        <v>0.49444444444444446</v>
      </c>
      <c r="BU34" t="s">
        <v>301</v>
      </c>
      <c r="BV34" t="s">
        <v>81</v>
      </c>
      <c r="BW34" t="s">
        <v>191</v>
      </c>
      <c r="BX34" t="s">
        <v>192</v>
      </c>
      <c r="BY34">
        <v>6000</v>
      </c>
      <c r="BZ34" t="s">
        <v>185</v>
      </c>
      <c r="CA34" t="s">
        <v>302</v>
      </c>
      <c r="CC34" t="s">
        <v>299</v>
      </c>
      <c r="CD34">
        <v>7220</v>
      </c>
      <c r="CE34" t="s">
        <v>89</v>
      </c>
      <c r="CF34" s="2">
        <v>44174</v>
      </c>
      <c r="CI34">
        <v>2</v>
      </c>
      <c r="CJ34">
        <v>3</v>
      </c>
      <c r="CK34">
        <v>33</v>
      </c>
      <c r="CL34" t="s">
        <v>81</v>
      </c>
    </row>
    <row r="35" spans="1:90" hidden="1" x14ac:dyDescent="0.25">
      <c r="A35" t="s">
        <v>241</v>
      </c>
      <c r="B35" t="s">
        <v>228</v>
      </c>
      <c r="C35" t="s">
        <v>72</v>
      </c>
      <c r="E35" t="str">
        <f>"009939667690"</f>
        <v>009939667690</v>
      </c>
      <c r="F35" s="2">
        <v>44166</v>
      </c>
      <c r="G35">
        <v>202106</v>
      </c>
      <c r="H35" t="s">
        <v>90</v>
      </c>
      <c r="I35" t="s">
        <v>91</v>
      </c>
      <c r="J35" t="s">
        <v>233</v>
      </c>
      <c r="K35" t="s">
        <v>75</v>
      </c>
      <c r="L35" t="s">
        <v>104</v>
      </c>
      <c r="M35" t="s">
        <v>105</v>
      </c>
      <c r="N35" t="s">
        <v>303</v>
      </c>
      <c r="O35" t="s">
        <v>184</v>
      </c>
      <c r="P35" t="str">
        <f>"LINDI                         "</f>
        <v xml:space="preserve">LINDI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8.24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1</v>
      </c>
      <c r="BI35">
        <v>2</v>
      </c>
      <c r="BJ35">
        <v>1.2</v>
      </c>
      <c r="BK35">
        <v>2</v>
      </c>
      <c r="BL35">
        <v>86.74</v>
      </c>
      <c r="BM35">
        <v>13.01</v>
      </c>
      <c r="BN35">
        <v>99.75</v>
      </c>
      <c r="BO35">
        <v>99.75</v>
      </c>
      <c r="BQ35" t="s">
        <v>304</v>
      </c>
      <c r="BR35" t="s">
        <v>236</v>
      </c>
      <c r="BS35" s="2">
        <v>44167</v>
      </c>
      <c r="BT35" s="3">
        <v>0.44930555555555557</v>
      </c>
      <c r="BU35" t="s">
        <v>305</v>
      </c>
      <c r="BV35" t="s">
        <v>79</v>
      </c>
      <c r="BY35">
        <v>6000</v>
      </c>
      <c r="BZ35" t="s">
        <v>211</v>
      </c>
      <c r="CC35" t="s">
        <v>105</v>
      </c>
      <c r="CD35">
        <v>1682</v>
      </c>
      <c r="CE35" t="s">
        <v>89</v>
      </c>
      <c r="CF35" s="2">
        <v>44168</v>
      </c>
      <c r="CI35">
        <v>1</v>
      </c>
      <c r="CJ35">
        <v>1</v>
      </c>
      <c r="CK35">
        <v>31</v>
      </c>
      <c r="CL35" t="s">
        <v>81</v>
      </c>
    </row>
    <row r="36" spans="1:90" x14ac:dyDescent="0.25">
      <c r="A36" t="s">
        <v>241</v>
      </c>
      <c r="B36" t="s">
        <v>228</v>
      </c>
      <c r="C36" t="s">
        <v>72</v>
      </c>
      <c r="E36" t="str">
        <f>"009939667689"</f>
        <v>009939667689</v>
      </c>
      <c r="F36" s="2">
        <v>44166</v>
      </c>
      <c r="G36">
        <v>202106</v>
      </c>
      <c r="H36" t="s">
        <v>90</v>
      </c>
      <c r="I36" t="s">
        <v>91</v>
      </c>
      <c r="J36" t="s">
        <v>233</v>
      </c>
      <c r="K36" t="s">
        <v>75</v>
      </c>
      <c r="L36" t="s">
        <v>109</v>
      </c>
      <c r="M36" t="s">
        <v>110</v>
      </c>
      <c r="N36" t="s">
        <v>587</v>
      </c>
      <c r="O36" t="s">
        <v>184</v>
      </c>
      <c r="P36" t="str">
        <f>"LINDI                         "</f>
        <v xml:space="preserve">LINDI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8.24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1</v>
      </c>
      <c r="BI36">
        <v>2</v>
      </c>
      <c r="BJ36">
        <v>1.2</v>
      </c>
      <c r="BK36">
        <v>2</v>
      </c>
      <c r="BL36">
        <v>86.74</v>
      </c>
      <c r="BM36">
        <v>13.01</v>
      </c>
      <c r="BN36">
        <v>99.75</v>
      </c>
      <c r="BO36">
        <v>99.75</v>
      </c>
      <c r="BQ36" t="s">
        <v>306</v>
      </c>
      <c r="BR36" t="s">
        <v>236</v>
      </c>
      <c r="BS36" s="2">
        <v>44167</v>
      </c>
      <c r="BT36" s="3">
        <v>0.33333333333333331</v>
      </c>
      <c r="BU36" t="s">
        <v>221</v>
      </c>
      <c r="BV36" t="s">
        <v>79</v>
      </c>
      <c r="BY36">
        <v>6000</v>
      </c>
      <c r="BZ36" t="s">
        <v>211</v>
      </c>
      <c r="CA36" t="s">
        <v>205</v>
      </c>
      <c r="CC36" t="s">
        <v>110</v>
      </c>
      <c r="CD36">
        <v>2090</v>
      </c>
      <c r="CE36" t="s">
        <v>89</v>
      </c>
      <c r="CF36" s="2">
        <v>44168</v>
      </c>
      <c r="CI36">
        <v>1</v>
      </c>
      <c r="CJ36">
        <v>1</v>
      </c>
      <c r="CK36">
        <v>31</v>
      </c>
      <c r="CL36" t="s">
        <v>81</v>
      </c>
    </row>
    <row r="37" spans="1:90" hidden="1" x14ac:dyDescent="0.25">
      <c r="A37" t="s">
        <v>241</v>
      </c>
      <c r="B37" t="s">
        <v>228</v>
      </c>
      <c r="C37" t="s">
        <v>72</v>
      </c>
      <c r="E37" t="str">
        <f>"009940593370"</f>
        <v>009940593370</v>
      </c>
      <c r="F37" s="2">
        <v>44166</v>
      </c>
      <c r="G37">
        <v>202106</v>
      </c>
      <c r="H37" t="s">
        <v>112</v>
      </c>
      <c r="I37" t="s">
        <v>92</v>
      </c>
      <c r="J37" t="s">
        <v>307</v>
      </c>
      <c r="K37" t="s">
        <v>75</v>
      </c>
      <c r="L37" t="s">
        <v>109</v>
      </c>
      <c r="M37" t="s">
        <v>110</v>
      </c>
      <c r="N37" t="s">
        <v>229</v>
      </c>
      <c r="O37" t="s">
        <v>78</v>
      </c>
      <c r="P37" t="str">
        <f>"NOREF                         "</f>
        <v xml:space="preserve">NOREF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4.4000000000000004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1</v>
      </c>
      <c r="BI37">
        <v>1</v>
      </c>
      <c r="BJ37">
        <v>0.5</v>
      </c>
      <c r="BK37">
        <v>1</v>
      </c>
      <c r="BL37">
        <v>46.27</v>
      </c>
      <c r="BM37">
        <v>6.94</v>
      </c>
      <c r="BN37">
        <v>53.21</v>
      </c>
      <c r="BO37">
        <v>53.21</v>
      </c>
      <c r="BQ37" t="s">
        <v>175</v>
      </c>
      <c r="BR37" t="s">
        <v>308</v>
      </c>
      <c r="BS37" s="2">
        <v>44167</v>
      </c>
      <c r="BT37" s="3">
        <v>0.3520833333333333</v>
      </c>
      <c r="BU37" t="s">
        <v>240</v>
      </c>
      <c r="BV37" t="s">
        <v>79</v>
      </c>
      <c r="BY37">
        <v>2400</v>
      </c>
      <c r="BZ37" t="s">
        <v>80</v>
      </c>
      <c r="CC37" t="s">
        <v>110</v>
      </c>
      <c r="CD37">
        <v>2000</v>
      </c>
      <c r="CE37" t="s">
        <v>89</v>
      </c>
      <c r="CF37" s="2">
        <v>44168</v>
      </c>
      <c r="CI37">
        <v>1</v>
      </c>
      <c r="CJ37">
        <v>1</v>
      </c>
      <c r="CK37">
        <v>21</v>
      </c>
      <c r="CL37" t="s">
        <v>81</v>
      </c>
    </row>
    <row r="38" spans="1:90" hidden="1" x14ac:dyDescent="0.25">
      <c r="A38" t="s">
        <v>241</v>
      </c>
      <c r="B38" t="s">
        <v>228</v>
      </c>
      <c r="C38" t="s">
        <v>72</v>
      </c>
      <c r="E38" t="str">
        <f>"009938312397"</f>
        <v>009938312397</v>
      </c>
      <c r="F38" s="2">
        <v>44169</v>
      </c>
      <c r="G38">
        <v>202106</v>
      </c>
      <c r="H38" t="s">
        <v>203</v>
      </c>
      <c r="I38" t="s">
        <v>204</v>
      </c>
      <c r="J38" t="s">
        <v>242</v>
      </c>
      <c r="K38" t="s">
        <v>75</v>
      </c>
      <c r="L38" t="s">
        <v>122</v>
      </c>
      <c r="M38" t="s">
        <v>123</v>
      </c>
      <c r="N38" t="s">
        <v>309</v>
      </c>
      <c r="O38" t="s">
        <v>78</v>
      </c>
      <c r="P38" t="str">
        <f>"NA                            "</f>
        <v xml:space="preserve">NA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83.47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1</v>
      </c>
      <c r="BI38">
        <v>10.6</v>
      </c>
      <c r="BJ38">
        <v>37.6</v>
      </c>
      <c r="BK38">
        <v>38</v>
      </c>
      <c r="BL38">
        <v>878.46</v>
      </c>
      <c r="BM38">
        <v>131.77000000000001</v>
      </c>
      <c r="BN38">
        <v>1010.23</v>
      </c>
      <c r="BO38">
        <v>1010.23</v>
      </c>
      <c r="BQ38" t="s">
        <v>200</v>
      </c>
      <c r="BR38" t="s">
        <v>310</v>
      </c>
      <c r="BS38" s="2">
        <v>44172</v>
      </c>
      <c r="BT38" s="3">
        <v>0.50347222222222221</v>
      </c>
      <c r="BU38" t="s">
        <v>311</v>
      </c>
      <c r="BV38" t="s">
        <v>81</v>
      </c>
      <c r="BW38" t="s">
        <v>117</v>
      </c>
      <c r="BX38" t="s">
        <v>124</v>
      </c>
      <c r="BY38">
        <v>188046.9</v>
      </c>
      <c r="BZ38" t="s">
        <v>80</v>
      </c>
      <c r="CA38" t="s">
        <v>125</v>
      </c>
      <c r="CC38" t="s">
        <v>123</v>
      </c>
      <c r="CD38">
        <v>4001</v>
      </c>
      <c r="CE38" t="s">
        <v>89</v>
      </c>
      <c r="CF38" s="2">
        <v>44172</v>
      </c>
      <c r="CI38">
        <v>1</v>
      </c>
      <c r="CJ38">
        <v>1</v>
      </c>
      <c r="CK38">
        <v>21</v>
      </c>
      <c r="CL38" t="s">
        <v>81</v>
      </c>
    </row>
    <row r="39" spans="1:90" hidden="1" x14ac:dyDescent="0.25">
      <c r="A39" t="s">
        <v>241</v>
      </c>
      <c r="B39" t="s">
        <v>228</v>
      </c>
      <c r="C39" t="s">
        <v>72</v>
      </c>
      <c r="E39" t="str">
        <f>"009939667700"</f>
        <v>009939667700</v>
      </c>
      <c r="F39" s="2">
        <v>44169</v>
      </c>
      <c r="G39">
        <v>202106</v>
      </c>
      <c r="H39" t="s">
        <v>90</v>
      </c>
      <c r="I39" t="s">
        <v>91</v>
      </c>
      <c r="J39" t="s">
        <v>312</v>
      </c>
      <c r="K39" t="s">
        <v>75</v>
      </c>
      <c r="L39" t="s">
        <v>109</v>
      </c>
      <c r="M39" t="s">
        <v>110</v>
      </c>
      <c r="N39" t="s">
        <v>229</v>
      </c>
      <c r="O39" t="s">
        <v>184</v>
      </c>
      <c r="P39" t="str">
        <f>"LINDI                         "</f>
        <v xml:space="preserve">LINDI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8.24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86.74</v>
      </c>
      <c r="BM39">
        <v>13.01</v>
      </c>
      <c r="BN39">
        <v>99.75</v>
      </c>
      <c r="BO39">
        <v>99.75</v>
      </c>
      <c r="BQ39" t="s">
        <v>313</v>
      </c>
      <c r="BR39" t="s">
        <v>236</v>
      </c>
      <c r="BS39" s="2">
        <v>44172</v>
      </c>
      <c r="BT39" s="3">
        <v>0.42708333333333331</v>
      </c>
      <c r="BU39" t="s">
        <v>240</v>
      </c>
      <c r="BV39" t="s">
        <v>79</v>
      </c>
      <c r="BY39">
        <v>1200</v>
      </c>
      <c r="BZ39" t="s">
        <v>185</v>
      </c>
      <c r="CC39" t="s">
        <v>110</v>
      </c>
      <c r="CD39">
        <v>2000</v>
      </c>
      <c r="CE39" t="s">
        <v>89</v>
      </c>
      <c r="CF39" s="2">
        <v>44173</v>
      </c>
      <c r="CI39">
        <v>1</v>
      </c>
      <c r="CJ39">
        <v>1</v>
      </c>
      <c r="CK39">
        <v>31</v>
      </c>
      <c r="CL39" t="s">
        <v>81</v>
      </c>
    </row>
    <row r="40" spans="1:90" hidden="1" x14ac:dyDescent="0.25">
      <c r="A40" t="s">
        <v>241</v>
      </c>
      <c r="B40" t="s">
        <v>228</v>
      </c>
      <c r="C40" t="s">
        <v>72</v>
      </c>
      <c r="E40" t="str">
        <f>"009939926565"</f>
        <v>009939926565</v>
      </c>
      <c r="F40" s="2">
        <v>44172</v>
      </c>
      <c r="G40">
        <v>202106</v>
      </c>
      <c r="H40" t="s">
        <v>95</v>
      </c>
      <c r="I40" t="s">
        <v>96</v>
      </c>
      <c r="J40" t="s">
        <v>229</v>
      </c>
      <c r="K40" t="s">
        <v>75</v>
      </c>
      <c r="L40" t="s">
        <v>122</v>
      </c>
      <c r="M40" t="s">
        <v>123</v>
      </c>
      <c r="N40" t="s">
        <v>229</v>
      </c>
      <c r="O40" t="s">
        <v>78</v>
      </c>
      <c r="P40" t="str">
        <f>"NA                            "</f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5.49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1</v>
      </c>
      <c r="BI40">
        <v>1.4</v>
      </c>
      <c r="BJ40">
        <v>2.4</v>
      </c>
      <c r="BK40">
        <v>2.5</v>
      </c>
      <c r="BL40">
        <v>57.82</v>
      </c>
      <c r="BM40">
        <v>8.67</v>
      </c>
      <c r="BN40">
        <v>66.489999999999995</v>
      </c>
      <c r="BO40">
        <v>66.489999999999995</v>
      </c>
      <c r="BQ40" t="s">
        <v>314</v>
      </c>
      <c r="BR40" t="s">
        <v>250</v>
      </c>
      <c r="BS40" s="2">
        <v>44174</v>
      </c>
      <c r="BT40" s="3">
        <v>0.32083333333333336</v>
      </c>
      <c r="BU40" t="s">
        <v>248</v>
      </c>
      <c r="BV40" t="s">
        <v>81</v>
      </c>
      <c r="BW40" t="s">
        <v>117</v>
      </c>
      <c r="BX40" t="s">
        <v>124</v>
      </c>
      <c r="BY40">
        <v>11906.06</v>
      </c>
      <c r="BZ40" t="s">
        <v>80</v>
      </c>
      <c r="CA40" t="s">
        <v>249</v>
      </c>
      <c r="CC40" t="s">
        <v>123</v>
      </c>
      <c r="CD40">
        <v>3629</v>
      </c>
      <c r="CE40" t="s">
        <v>89</v>
      </c>
      <c r="CF40" s="2">
        <v>44174</v>
      </c>
      <c r="CI40">
        <v>1</v>
      </c>
      <c r="CJ40">
        <v>2</v>
      </c>
      <c r="CK40">
        <v>21</v>
      </c>
      <c r="CL40" t="s">
        <v>81</v>
      </c>
    </row>
    <row r="41" spans="1:90" hidden="1" x14ac:dyDescent="0.25">
      <c r="A41" t="s">
        <v>241</v>
      </c>
      <c r="B41" t="s">
        <v>228</v>
      </c>
      <c r="C41" t="s">
        <v>72</v>
      </c>
      <c r="E41" t="str">
        <f>"009939667698"</f>
        <v>009939667698</v>
      </c>
      <c r="F41" s="2">
        <v>44169</v>
      </c>
      <c r="G41">
        <v>202106</v>
      </c>
      <c r="H41" t="s">
        <v>90</v>
      </c>
      <c r="I41" t="s">
        <v>91</v>
      </c>
      <c r="J41" t="s">
        <v>233</v>
      </c>
      <c r="K41" t="s">
        <v>75</v>
      </c>
      <c r="L41" t="s">
        <v>112</v>
      </c>
      <c r="M41" t="s">
        <v>92</v>
      </c>
      <c r="N41" t="s">
        <v>315</v>
      </c>
      <c r="O41" t="s">
        <v>78</v>
      </c>
      <c r="P41" t="str">
        <f>"LINDI                         "</f>
        <v xml:space="preserve">LINDI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4.4000000000000004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46.27</v>
      </c>
      <c r="BM41">
        <v>6.94</v>
      </c>
      <c r="BN41">
        <v>53.21</v>
      </c>
      <c r="BO41">
        <v>53.21</v>
      </c>
      <c r="BQ41" t="s">
        <v>316</v>
      </c>
      <c r="BR41" t="s">
        <v>236</v>
      </c>
      <c r="BS41" s="2">
        <v>44173</v>
      </c>
      <c r="BT41" s="3">
        <v>0.54861111111111105</v>
      </c>
      <c r="BU41" t="s">
        <v>317</v>
      </c>
      <c r="BV41" t="s">
        <v>81</v>
      </c>
      <c r="BW41" t="s">
        <v>117</v>
      </c>
      <c r="BX41" t="s">
        <v>118</v>
      </c>
      <c r="BY41">
        <v>1200</v>
      </c>
      <c r="BZ41" t="s">
        <v>80</v>
      </c>
      <c r="CC41" t="s">
        <v>92</v>
      </c>
      <c r="CD41">
        <v>1</v>
      </c>
      <c r="CE41" t="s">
        <v>89</v>
      </c>
      <c r="CF41" s="2">
        <v>44173</v>
      </c>
      <c r="CI41">
        <v>1</v>
      </c>
      <c r="CJ41">
        <v>2</v>
      </c>
      <c r="CK41">
        <v>21</v>
      </c>
      <c r="CL41" t="s">
        <v>81</v>
      </c>
    </row>
    <row r="42" spans="1:90" x14ac:dyDescent="0.25">
      <c r="A42" t="s">
        <v>241</v>
      </c>
      <c r="B42" t="s">
        <v>228</v>
      </c>
      <c r="C42" t="s">
        <v>72</v>
      </c>
      <c r="E42" t="str">
        <f>"009939667691"</f>
        <v>009939667691</v>
      </c>
      <c r="F42" s="2">
        <v>44169</v>
      </c>
      <c r="G42">
        <v>202106</v>
      </c>
      <c r="H42" t="s">
        <v>90</v>
      </c>
      <c r="I42" t="s">
        <v>91</v>
      </c>
      <c r="J42" t="s">
        <v>233</v>
      </c>
      <c r="K42" t="s">
        <v>75</v>
      </c>
      <c r="L42" t="s">
        <v>106</v>
      </c>
      <c r="M42" t="s">
        <v>107</v>
      </c>
      <c r="N42" t="s">
        <v>234</v>
      </c>
      <c r="O42" t="s">
        <v>93</v>
      </c>
      <c r="P42" t="str">
        <f>"LINDI                         "</f>
        <v xml:space="preserve">LINDI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8.24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91.74</v>
      </c>
      <c r="BM42">
        <v>13.76</v>
      </c>
      <c r="BN42">
        <v>105.5</v>
      </c>
      <c r="BO42">
        <v>105.5</v>
      </c>
      <c r="BQ42" t="s">
        <v>366</v>
      </c>
      <c r="BR42" t="s">
        <v>236</v>
      </c>
      <c r="BS42" s="2">
        <v>44172</v>
      </c>
      <c r="BT42" s="3">
        <v>0.49374999999999997</v>
      </c>
      <c r="BU42" t="s">
        <v>367</v>
      </c>
      <c r="BV42" t="s">
        <v>79</v>
      </c>
      <c r="BY42">
        <v>1200</v>
      </c>
      <c r="CC42" t="s">
        <v>107</v>
      </c>
      <c r="CD42">
        <v>2125</v>
      </c>
      <c r="CE42" t="s">
        <v>89</v>
      </c>
      <c r="CF42" s="2">
        <v>44173</v>
      </c>
      <c r="CI42">
        <v>1</v>
      </c>
      <c r="CJ42">
        <v>1</v>
      </c>
      <c r="CK42" t="s">
        <v>331</v>
      </c>
      <c r="CL42" t="s">
        <v>81</v>
      </c>
    </row>
    <row r="43" spans="1:90" hidden="1" x14ac:dyDescent="0.25">
      <c r="A43" t="s">
        <v>241</v>
      </c>
      <c r="B43" t="s">
        <v>228</v>
      </c>
      <c r="C43" t="s">
        <v>72</v>
      </c>
      <c r="E43" t="str">
        <f>"009939667714"</f>
        <v>009939667714</v>
      </c>
      <c r="F43" s="2">
        <v>44172</v>
      </c>
      <c r="G43">
        <v>202106</v>
      </c>
      <c r="H43" t="s">
        <v>90</v>
      </c>
      <c r="I43" t="s">
        <v>91</v>
      </c>
      <c r="J43" t="s">
        <v>320</v>
      </c>
      <c r="K43" t="s">
        <v>75</v>
      </c>
      <c r="L43" t="s">
        <v>84</v>
      </c>
      <c r="M43" t="s">
        <v>85</v>
      </c>
      <c r="N43" t="s">
        <v>75</v>
      </c>
      <c r="O43" t="s">
        <v>184</v>
      </c>
      <c r="P43" t="str">
        <f>"LINDI                         "</f>
        <v xml:space="preserve">LINDI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8.24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86.74</v>
      </c>
      <c r="BM43">
        <v>13.01</v>
      </c>
      <c r="BN43">
        <v>99.75</v>
      </c>
      <c r="BO43">
        <v>99.75</v>
      </c>
      <c r="BQ43" t="s">
        <v>321</v>
      </c>
      <c r="BR43" t="s">
        <v>236</v>
      </c>
      <c r="BS43" s="2">
        <v>44173</v>
      </c>
      <c r="BT43" s="3">
        <v>0.27083333333333331</v>
      </c>
      <c r="BU43" t="s">
        <v>154</v>
      </c>
      <c r="BV43" t="s">
        <v>79</v>
      </c>
      <c r="BY43">
        <v>1200</v>
      </c>
      <c r="BZ43" t="s">
        <v>185</v>
      </c>
      <c r="CA43" t="s">
        <v>86</v>
      </c>
      <c r="CC43" t="s">
        <v>85</v>
      </c>
      <c r="CD43">
        <v>1459</v>
      </c>
      <c r="CE43" t="s">
        <v>89</v>
      </c>
      <c r="CF43" s="2">
        <v>44173</v>
      </c>
      <c r="CI43">
        <v>1</v>
      </c>
      <c r="CJ43">
        <v>1</v>
      </c>
      <c r="CK43">
        <v>31</v>
      </c>
      <c r="CL43" t="s">
        <v>81</v>
      </c>
    </row>
    <row r="44" spans="1:90" hidden="1" x14ac:dyDescent="0.25">
      <c r="A44" t="s">
        <v>241</v>
      </c>
      <c r="B44" t="s">
        <v>228</v>
      </c>
      <c r="C44" t="s">
        <v>72</v>
      </c>
      <c r="E44" t="str">
        <f>"009939667713"</f>
        <v>009939667713</v>
      </c>
      <c r="F44" s="2">
        <v>44172</v>
      </c>
      <c r="G44">
        <v>202106</v>
      </c>
      <c r="H44" t="s">
        <v>90</v>
      </c>
      <c r="I44" t="s">
        <v>91</v>
      </c>
      <c r="J44" t="s">
        <v>320</v>
      </c>
      <c r="K44" t="s">
        <v>75</v>
      </c>
      <c r="L44" t="s">
        <v>95</v>
      </c>
      <c r="M44" t="s">
        <v>96</v>
      </c>
      <c r="N44" t="s">
        <v>75</v>
      </c>
      <c r="O44" t="s">
        <v>184</v>
      </c>
      <c r="P44" t="str">
        <f>"LINDI    DRIVER TO CALL ON ARR"</f>
        <v>LINDI    DRIVER TO CALL ON ARR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8.24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86.74</v>
      </c>
      <c r="BM44">
        <v>13.01</v>
      </c>
      <c r="BN44">
        <v>99.75</v>
      </c>
      <c r="BO44">
        <v>99.75</v>
      </c>
      <c r="BQ44" t="s">
        <v>322</v>
      </c>
      <c r="BR44" t="s">
        <v>236</v>
      </c>
      <c r="BS44" s="2">
        <v>44174</v>
      </c>
      <c r="BT44" s="3">
        <v>0.3611111111111111</v>
      </c>
      <c r="BU44" t="s">
        <v>323</v>
      </c>
      <c r="BV44" t="s">
        <v>81</v>
      </c>
      <c r="BW44" t="s">
        <v>97</v>
      </c>
      <c r="BX44" t="s">
        <v>98</v>
      </c>
      <c r="BY44">
        <v>1200</v>
      </c>
      <c r="BZ44" t="s">
        <v>185</v>
      </c>
      <c r="CA44" t="s">
        <v>162</v>
      </c>
      <c r="CC44" t="s">
        <v>96</v>
      </c>
      <c r="CD44">
        <v>8001</v>
      </c>
      <c r="CE44" t="s">
        <v>89</v>
      </c>
      <c r="CF44" s="2">
        <v>44175</v>
      </c>
      <c r="CI44">
        <v>1</v>
      </c>
      <c r="CJ44">
        <v>2</v>
      </c>
      <c r="CK44">
        <v>31</v>
      </c>
      <c r="CL44" t="s">
        <v>81</v>
      </c>
    </row>
    <row r="45" spans="1:90" x14ac:dyDescent="0.25">
      <c r="A45" t="s">
        <v>241</v>
      </c>
      <c r="B45" t="s">
        <v>228</v>
      </c>
      <c r="C45" t="s">
        <v>72</v>
      </c>
      <c r="E45" t="str">
        <f>"009939667692"</f>
        <v>009939667692</v>
      </c>
      <c r="F45" s="2">
        <v>44169</v>
      </c>
      <c r="G45">
        <v>202106</v>
      </c>
      <c r="H45" t="s">
        <v>90</v>
      </c>
      <c r="I45" t="s">
        <v>91</v>
      </c>
      <c r="J45" t="s">
        <v>233</v>
      </c>
      <c r="K45" t="s">
        <v>75</v>
      </c>
      <c r="L45" t="s">
        <v>99</v>
      </c>
      <c r="M45" t="s">
        <v>100</v>
      </c>
      <c r="N45" t="s">
        <v>234</v>
      </c>
      <c r="O45" t="s">
        <v>93</v>
      </c>
      <c r="P45" t="str">
        <f>"LINDI                         "</f>
        <v xml:space="preserve">LINDI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8.24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1</v>
      </c>
      <c r="BI45">
        <v>1</v>
      </c>
      <c r="BJ45">
        <v>2.4</v>
      </c>
      <c r="BK45">
        <v>3</v>
      </c>
      <c r="BL45">
        <v>91.74</v>
      </c>
      <c r="BM45">
        <v>13.76</v>
      </c>
      <c r="BN45">
        <v>105.5</v>
      </c>
      <c r="BO45">
        <v>105.5</v>
      </c>
      <c r="BQ45" t="s">
        <v>375</v>
      </c>
      <c r="BR45" t="s">
        <v>236</v>
      </c>
      <c r="BS45" s="2">
        <v>44172</v>
      </c>
      <c r="BT45" s="3">
        <v>0.44791666666666669</v>
      </c>
      <c r="BU45" t="s">
        <v>376</v>
      </c>
      <c r="BV45" t="s">
        <v>79</v>
      </c>
      <c r="BY45">
        <v>12000</v>
      </c>
      <c r="CA45" t="s">
        <v>108</v>
      </c>
      <c r="CC45" t="s">
        <v>100</v>
      </c>
      <c r="CD45">
        <v>1739</v>
      </c>
      <c r="CE45" t="s">
        <v>89</v>
      </c>
      <c r="CI45">
        <v>1</v>
      </c>
      <c r="CJ45">
        <v>1</v>
      </c>
      <c r="CK45" t="s">
        <v>331</v>
      </c>
      <c r="CL45" t="s">
        <v>81</v>
      </c>
    </row>
    <row r="46" spans="1:90" x14ac:dyDescent="0.25">
      <c r="A46" t="s">
        <v>241</v>
      </c>
      <c r="B46" t="s">
        <v>228</v>
      </c>
      <c r="C46" t="s">
        <v>72</v>
      </c>
      <c r="E46" t="str">
        <f>"009939667693"</f>
        <v>009939667693</v>
      </c>
      <c r="F46" s="2">
        <v>44169</v>
      </c>
      <c r="G46">
        <v>202106</v>
      </c>
      <c r="H46" t="s">
        <v>90</v>
      </c>
      <c r="I46" t="s">
        <v>91</v>
      </c>
      <c r="J46" t="s">
        <v>233</v>
      </c>
      <c r="K46" t="s">
        <v>75</v>
      </c>
      <c r="L46" t="s">
        <v>193</v>
      </c>
      <c r="M46" t="s">
        <v>96</v>
      </c>
      <c r="N46" t="s">
        <v>585</v>
      </c>
      <c r="O46" t="s">
        <v>93</v>
      </c>
      <c r="P46" t="str">
        <f>"LINDI                         "</f>
        <v xml:space="preserve">LINDI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9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99.71</v>
      </c>
      <c r="BM46">
        <v>14.96</v>
      </c>
      <c r="BN46">
        <v>114.67</v>
      </c>
      <c r="BO46">
        <v>114.67</v>
      </c>
      <c r="BQ46" t="s">
        <v>235</v>
      </c>
      <c r="BR46" t="s">
        <v>236</v>
      </c>
      <c r="BS46" s="2">
        <v>44173</v>
      </c>
      <c r="BT46" s="3">
        <v>0.3833333333333333</v>
      </c>
      <c r="BU46" t="s">
        <v>237</v>
      </c>
      <c r="BV46" t="s">
        <v>79</v>
      </c>
      <c r="BY46">
        <v>1200</v>
      </c>
      <c r="CA46" t="s">
        <v>238</v>
      </c>
      <c r="CC46" t="s">
        <v>96</v>
      </c>
      <c r="CD46">
        <v>8000</v>
      </c>
      <c r="CE46" t="s">
        <v>89</v>
      </c>
      <c r="CF46" s="2">
        <v>44174</v>
      </c>
      <c r="CI46">
        <v>3</v>
      </c>
      <c r="CJ46">
        <v>2</v>
      </c>
      <c r="CK46" t="s">
        <v>129</v>
      </c>
      <c r="CL46" t="s">
        <v>81</v>
      </c>
    </row>
    <row r="47" spans="1:90" hidden="1" x14ac:dyDescent="0.25">
      <c r="A47" t="s">
        <v>241</v>
      </c>
      <c r="B47" t="s">
        <v>228</v>
      </c>
      <c r="C47" t="s">
        <v>72</v>
      </c>
      <c r="E47" t="str">
        <f>"009940535323"</f>
        <v>009940535323</v>
      </c>
      <c r="F47" s="2">
        <v>44168</v>
      </c>
      <c r="G47">
        <v>202106</v>
      </c>
      <c r="H47" t="s">
        <v>106</v>
      </c>
      <c r="I47" t="s">
        <v>107</v>
      </c>
      <c r="J47" t="s">
        <v>242</v>
      </c>
      <c r="K47" t="s">
        <v>75</v>
      </c>
      <c r="L47" t="s">
        <v>109</v>
      </c>
      <c r="M47" t="s">
        <v>110</v>
      </c>
      <c r="N47" t="s">
        <v>580</v>
      </c>
      <c r="O47" t="s">
        <v>93</v>
      </c>
      <c r="P47" t="str">
        <f>"NA                            "</f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6.18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70.06</v>
      </c>
      <c r="BM47">
        <v>10.51</v>
      </c>
      <c r="BN47">
        <v>80.569999999999993</v>
      </c>
      <c r="BO47">
        <v>80.569999999999993</v>
      </c>
      <c r="BQ47" t="s">
        <v>200</v>
      </c>
      <c r="BR47" t="s">
        <v>200</v>
      </c>
      <c r="BS47" s="2">
        <v>44169</v>
      </c>
      <c r="BT47" s="3">
        <v>0.70486111111111116</v>
      </c>
      <c r="BU47" t="s">
        <v>167</v>
      </c>
      <c r="BV47" t="s">
        <v>79</v>
      </c>
      <c r="BY47">
        <v>1200</v>
      </c>
      <c r="CC47" t="s">
        <v>110</v>
      </c>
      <c r="CD47">
        <v>2013</v>
      </c>
      <c r="CE47" t="s">
        <v>89</v>
      </c>
      <c r="CF47" s="2">
        <v>44170</v>
      </c>
      <c r="CI47">
        <v>1</v>
      </c>
      <c r="CJ47">
        <v>1</v>
      </c>
      <c r="CK47" t="s">
        <v>190</v>
      </c>
      <c r="CL47" t="s">
        <v>81</v>
      </c>
    </row>
    <row r="48" spans="1:90" hidden="1" x14ac:dyDescent="0.25">
      <c r="A48" t="s">
        <v>241</v>
      </c>
      <c r="B48" t="s">
        <v>228</v>
      </c>
      <c r="C48" t="s">
        <v>72</v>
      </c>
      <c r="E48" t="str">
        <f>"009940847358"</f>
        <v>009940847358</v>
      </c>
      <c r="F48" s="2">
        <v>44166</v>
      </c>
      <c r="G48">
        <v>202106</v>
      </c>
      <c r="H48" t="s">
        <v>195</v>
      </c>
      <c r="I48" t="s">
        <v>196</v>
      </c>
      <c r="J48" t="s">
        <v>242</v>
      </c>
      <c r="K48" t="s">
        <v>75</v>
      </c>
      <c r="L48" t="s">
        <v>109</v>
      </c>
      <c r="M48" t="s">
        <v>110</v>
      </c>
      <c r="N48" t="s">
        <v>580</v>
      </c>
      <c r="O48" t="s">
        <v>93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8.24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91.74</v>
      </c>
      <c r="BM48">
        <v>13.76</v>
      </c>
      <c r="BN48">
        <v>105.5</v>
      </c>
      <c r="BO48">
        <v>105.5</v>
      </c>
      <c r="BS48" s="2">
        <v>44167</v>
      </c>
      <c r="BT48" s="3">
        <v>0.3576388888888889</v>
      </c>
      <c r="BU48" t="s">
        <v>268</v>
      </c>
      <c r="BV48" t="s">
        <v>79</v>
      </c>
      <c r="BY48">
        <v>1200</v>
      </c>
      <c r="CA48" t="s">
        <v>108</v>
      </c>
      <c r="CC48" t="s">
        <v>110</v>
      </c>
      <c r="CD48">
        <v>2013</v>
      </c>
      <c r="CE48" t="s">
        <v>89</v>
      </c>
      <c r="CF48" s="2">
        <v>44168</v>
      </c>
      <c r="CI48">
        <v>1</v>
      </c>
      <c r="CJ48">
        <v>1</v>
      </c>
      <c r="CK48" t="s">
        <v>126</v>
      </c>
      <c r="CL48" t="s">
        <v>81</v>
      </c>
    </row>
    <row r="49" spans="1:90" hidden="1" x14ac:dyDescent="0.25">
      <c r="A49" t="s">
        <v>241</v>
      </c>
      <c r="B49" t="s">
        <v>228</v>
      </c>
      <c r="C49" t="s">
        <v>72</v>
      </c>
      <c r="E49" t="str">
        <f>"009939667674"</f>
        <v>009939667674</v>
      </c>
      <c r="F49" s="2">
        <v>44166</v>
      </c>
      <c r="G49">
        <v>202106</v>
      </c>
      <c r="H49" t="s">
        <v>90</v>
      </c>
      <c r="I49" t="s">
        <v>91</v>
      </c>
      <c r="J49" t="s">
        <v>233</v>
      </c>
      <c r="K49" t="s">
        <v>75</v>
      </c>
      <c r="L49" t="s">
        <v>109</v>
      </c>
      <c r="M49" t="s">
        <v>110</v>
      </c>
      <c r="N49" t="s">
        <v>233</v>
      </c>
      <c r="O49" t="s">
        <v>93</v>
      </c>
      <c r="P49" t="str">
        <f>"LINDI                         "</f>
        <v xml:space="preserve">LINDI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8.24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91.74</v>
      </c>
      <c r="BM49">
        <v>13.76</v>
      </c>
      <c r="BN49">
        <v>105.5</v>
      </c>
      <c r="BO49">
        <v>105.5</v>
      </c>
      <c r="BQ49" t="s">
        <v>328</v>
      </c>
      <c r="BR49" t="s">
        <v>236</v>
      </c>
      <c r="BS49" s="2">
        <v>44167</v>
      </c>
      <c r="BT49" s="3">
        <v>0.38541666666666669</v>
      </c>
      <c r="BU49" t="s">
        <v>329</v>
      </c>
      <c r="BV49" t="s">
        <v>79</v>
      </c>
      <c r="BY49">
        <v>1200</v>
      </c>
      <c r="CA49" t="s">
        <v>330</v>
      </c>
      <c r="CC49" t="s">
        <v>110</v>
      </c>
      <c r="CD49">
        <v>2091</v>
      </c>
      <c r="CE49" t="s">
        <v>89</v>
      </c>
      <c r="CF49" s="2">
        <v>44168</v>
      </c>
      <c r="CI49">
        <v>1</v>
      </c>
      <c r="CJ49">
        <v>1</v>
      </c>
      <c r="CK49" t="s">
        <v>331</v>
      </c>
      <c r="CL49" t="s">
        <v>81</v>
      </c>
    </row>
    <row r="50" spans="1:90" hidden="1" x14ac:dyDescent="0.25">
      <c r="A50" t="s">
        <v>241</v>
      </c>
      <c r="B50" t="s">
        <v>228</v>
      </c>
      <c r="C50" t="s">
        <v>72</v>
      </c>
      <c r="E50" t="str">
        <f>"009940615463"</f>
        <v>009940615463</v>
      </c>
      <c r="F50" s="2">
        <v>44168</v>
      </c>
      <c r="G50">
        <v>202106</v>
      </c>
      <c r="H50" t="s">
        <v>136</v>
      </c>
      <c r="I50" t="s">
        <v>137</v>
      </c>
      <c r="J50" t="s">
        <v>573</v>
      </c>
      <c r="K50" t="s">
        <v>75</v>
      </c>
      <c r="L50" t="s">
        <v>109</v>
      </c>
      <c r="M50" t="s">
        <v>110</v>
      </c>
      <c r="N50" t="s">
        <v>580</v>
      </c>
      <c r="O50" t="s">
        <v>93</v>
      </c>
      <c r="P50" t="str">
        <f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6.18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70.06</v>
      </c>
      <c r="BM50">
        <v>10.51</v>
      </c>
      <c r="BN50">
        <v>80.569999999999993</v>
      </c>
      <c r="BO50">
        <v>80.569999999999993</v>
      </c>
      <c r="BQ50" t="s">
        <v>271</v>
      </c>
      <c r="BR50" t="s">
        <v>332</v>
      </c>
      <c r="BS50" s="2">
        <v>44169</v>
      </c>
      <c r="BT50" s="3">
        <v>0.70486111111111116</v>
      </c>
      <c r="BU50" t="s">
        <v>167</v>
      </c>
      <c r="BV50" t="s">
        <v>79</v>
      </c>
      <c r="BY50">
        <v>1200</v>
      </c>
      <c r="CC50" t="s">
        <v>110</v>
      </c>
      <c r="CD50">
        <v>2013</v>
      </c>
      <c r="CE50" t="s">
        <v>89</v>
      </c>
      <c r="CF50" s="2">
        <v>44170</v>
      </c>
      <c r="CI50">
        <v>1</v>
      </c>
      <c r="CJ50">
        <v>1</v>
      </c>
      <c r="CK50" t="s">
        <v>190</v>
      </c>
      <c r="CL50" t="s">
        <v>81</v>
      </c>
    </row>
    <row r="51" spans="1:90" hidden="1" x14ac:dyDescent="0.25">
      <c r="A51" t="s">
        <v>241</v>
      </c>
      <c r="B51" t="s">
        <v>228</v>
      </c>
      <c r="C51" t="s">
        <v>72</v>
      </c>
      <c r="E51" t="str">
        <f>"009940550500"</f>
        <v>009940550500</v>
      </c>
      <c r="F51" s="2">
        <v>44168</v>
      </c>
      <c r="G51">
        <v>202106</v>
      </c>
      <c r="H51" t="s">
        <v>122</v>
      </c>
      <c r="I51" t="s">
        <v>123</v>
      </c>
      <c r="J51" t="s">
        <v>333</v>
      </c>
      <c r="K51" t="s">
        <v>75</v>
      </c>
      <c r="L51" t="s">
        <v>109</v>
      </c>
      <c r="M51" t="s">
        <v>110</v>
      </c>
      <c r="N51" t="s">
        <v>229</v>
      </c>
      <c r="O51" t="s">
        <v>93</v>
      </c>
      <c r="P51" t="str">
        <f>"201 202 0412                  "</f>
        <v xml:space="preserve">201 202 0412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8.24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0.1</v>
      </c>
      <c r="BJ51">
        <v>0.2</v>
      </c>
      <c r="BK51">
        <v>1</v>
      </c>
      <c r="BL51">
        <v>91.74</v>
      </c>
      <c r="BM51">
        <v>13.76</v>
      </c>
      <c r="BN51">
        <v>105.5</v>
      </c>
      <c r="BO51">
        <v>105.5</v>
      </c>
      <c r="BR51" t="s">
        <v>272</v>
      </c>
      <c r="BS51" s="2">
        <v>44169</v>
      </c>
      <c r="BT51" s="3">
        <v>0.70486111111111116</v>
      </c>
      <c r="BU51" t="s">
        <v>167</v>
      </c>
      <c r="BV51" t="s">
        <v>79</v>
      </c>
      <c r="BY51">
        <v>1200</v>
      </c>
      <c r="CC51" t="s">
        <v>110</v>
      </c>
      <c r="CD51">
        <v>2000</v>
      </c>
      <c r="CE51" t="s">
        <v>89</v>
      </c>
      <c r="CF51" s="2">
        <v>44170</v>
      </c>
      <c r="CI51">
        <v>1</v>
      </c>
      <c r="CJ51">
        <v>1</v>
      </c>
      <c r="CK51" t="s">
        <v>331</v>
      </c>
      <c r="CL51" t="s">
        <v>81</v>
      </c>
    </row>
    <row r="52" spans="1:90" x14ac:dyDescent="0.25">
      <c r="A52" t="s">
        <v>241</v>
      </c>
      <c r="B52" t="s">
        <v>228</v>
      </c>
      <c r="C52" t="s">
        <v>72</v>
      </c>
      <c r="E52" t="str">
        <f>"009939667694"</f>
        <v>009939667694</v>
      </c>
      <c r="F52" s="2">
        <v>44169</v>
      </c>
      <c r="G52">
        <v>202106</v>
      </c>
      <c r="H52" t="s">
        <v>90</v>
      </c>
      <c r="I52" t="s">
        <v>91</v>
      </c>
      <c r="J52" t="s">
        <v>312</v>
      </c>
      <c r="K52" t="s">
        <v>75</v>
      </c>
      <c r="L52" t="s">
        <v>109</v>
      </c>
      <c r="M52" t="s">
        <v>110</v>
      </c>
      <c r="N52" t="s">
        <v>234</v>
      </c>
      <c r="O52" t="s">
        <v>93</v>
      </c>
      <c r="P52" t="str">
        <f>"LINDI                         "</f>
        <v xml:space="preserve">LINDI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8.24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1</v>
      </c>
      <c r="BI52">
        <v>1</v>
      </c>
      <c r="BJ52">
        <v>2.4</v>
      </c>
      <c r="BK52">
        <v>3</v>
      </c>
      <c r="BL52">
        <v>91.74</v>
      </c>
      <c r="BM52">
        <v>13.76</v>
      </c>
      <c r="BN52">
        <v>105.5</v>
      </c>
      <c r="BO52">
        <v>105.5</v>
      </c>
      <c r="BQ52" t="s">
        <v>368</v>
      </c>
      <c r="BR52" t="s">
        <v>236</v>
      </c>
      <c r="BS52" s="2">
        <v>44172</v>
      </c>
      <c r="BT52" s="3">
        <v>0.53333333333333333</v>
      </c>
      <c r="BU52" t="s">
        <v>219</v>
      </c>
      <c r="BV52" t="s">
        <v>79</v>
      </c>
      <c r="BY52">
        <v>12000</v>
      </c>
      <c r="CC52" t="s">
        <v>110</v>
      </c>
      <c r="CD52">
        <v>2000</v>
      </c>
      <c r="CE52" t="s">
        <v>89</v>
      </c>
      <c r="CF52" s="2">
        <v>44173</v>
      </c>
      <c r="CI52">
        <v>1</v>
      </c>
      <c r="CJ52">
        <v>1</v>
      </c>
      <c r="CK52" t="s">
        <v>331</v>
      </c>
      <c r="CL52" t="s">
        <v>81</v>
      </c>
    </row>
    <row r="53" spans="1:90" hidden="1" x14ac:dyDescent="0.25">
      <c r="A53" t="s">
        <v>241</v>
      </c>
      <c r="B53" t="s">
        <v>228</v>
      </c>
      <c r="C53" t="s">
        <v>72</v>
      </c>
      <c r="E53" t="str">
        <f>"009939667688"</f>
        <v>009939667688</v>
      </c>
      <c r="F53" s="2">
        <v>44166</v>
      </c>
      <c r="G53">
        <v>202106</v>
      </c>
      <c r="H53" t="s">
        <v>90</v>
      </c>
      <c r="I53" t="s">
        <v>91</v>
      </c>
      <c r="J53" t="s">
        <v>233</v>
      </c>
      <c r="K53" t="s">
        <v>75</v>
      </c>
      <c r="L53" t="s">
        <v>193</v>
      </c>
      <c r="M53" t="s">
        <v>96</v>
      </c>
      <c r="N53" t="s">
        <v>233</v>
      </c>
      <c r="O53" t="s">
        <v>93</v>
      </c>
      <c r="P53" t="str">
        <f>"LINDI                         "</f>
        <v xml:space="preserve">LINDI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9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1</v>
      </c>
      <c r="BI53">
        <v>1</v>
      </c>
      <c r="BJ53">
        <v>1.2</v>
      </c>
      <c r="BK53">
        <v>2</v>
      </c>
      <c r="BL53">
        <v>99.71</v>
      </c>
      <c r="BM53">
        <v>14.96</v>
      </c>
      <c r="BN53">
        <v>114.67</v>
      </c>
      <c r="BO53">
        <v>114.67</v>
      </c>
      <c r="BQ53" t="s">
        <v>337</v>
      </c>
      <c r="BR53" t="s">
        <v>236</v>
      </c>
      <c r="BS53" s="2">
        <v>44168</v>
      </c>
      <c r="BT53" s="3">
        <v>0.34583333333333338</v>
      </c>
      <c r="BU53" t="s">
        <v>338</v>
      </c>
      <c r="BV53" t="s">
        <v>79</v>
      </c>
      <c r="BY53">
        <v>6000</v>
      </c>
      <c r="CA53" t="s">
        <v>179</v>
      </c>
      <c r="CC53" t="s">
        <v>96</v>
      </c>
      <c r="CD53">
        <v>7764</v>
      </c>
      <c r="CE53" t="s">
        <v>89</v>
      </c>
      <c r="CF53" s="2">
        <v>44169</v>
      </c>
      <c r="CI53">
        <v>3</v>
      </c>
      <c r="CJ53">
        <v>2</v>
      </c>
      <c r="CK53" t="s">
        <v>129</v>
      </c>
      <c r="CL53" t="s">
        <v>81</v>
      </c>
    </row>
    <row r="54" spans="1:90" hidden="1" x14ac:dyDescent="0.25">
      <c r="A54" t="s">
        <v>241</v>
      </c>
      <c r="B54" t="s">
        <v>228</v>
      </c>
      <c r="C54" t="s">
        <v>72</v>
      </c>
      <c r="E54" t="str">
        <f>"009940374919"</f>
        <v>009940374919</v>
      </c>
      <c r="F54" s="2">
        <v>44166</v>
      </c>
      <c r="G54">
        <v>202106</v>
      </c>
      <c r="H54" t="s">
        <v>109</v>
      </c>
      <c r="I54" t="s">
        <v>110</v>
      </c>
      <c r="J54" t="s">
        <v>242</v>
      </c>
      <c r="K54" t="s">
        <v>75</v>
      </c>
      <c r="L54" t="s">
        <v>109</v>
      </c>
      <c r="M54" t="s">
        <v>110</v>
      </c>
      <c r="N54" t="s">
        <v>580</v>
      </c>
      <c r="O54" t="s">
        <v>93</v>
      </c>
      <c r="P54" t="str">
        <f>"JNB2012010011                 "</f>
        <v xml:space="preserve">JNB2012010011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6.18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70.06</v>
      </c>
      <c r="BM54">
        <v>10.51</v>
      </c>
      <c r="BN54">
        <v>80.569999999999993</v>
      </c>
      <c r="BO54">
        <v>80.569999999999993</v>
      </c>
      <c r="BQ54" t="s">
        <v>200</v>
      </c>
      <c r="BR54" t="s">
        <v>272</v>
      </c>
      <c r="BS54" s="2">
        <v>44167</v>
      </c>
      <c r="BT54" s="3">
        <v>0.36944444444444446</v>
      </c>
      <c r="BU54" t="s">
        <v>240</v>
      </c>
      <c r="BV54" t="s">
        <v>79</v>
      </c>
      <c r="BY54">
        <v>1200</v>
      </c>
      <c r="CC54" t="s">
        <v>110</v>
      </c>
      <c r="CD54">
        <v>2013</v>
      </c>
      <c r="CE54" t="s">
        <v>89</v>
      </c>
      <c r="CF54" s="2">
        <v>44168</v>
      </c>
      <c r="CI54">
        <v>1</v>
      </c>
      <c r="CJ54">
        <v>1</v>
      </c>
      <c r="CK54" t="s">
        <v>190</v>
      </c>
      <c r="CL54" t="s">
        <v>81</v>
      </c>
    </row>
    <row r="55" spans="1:90" hidden="1" x14ac:dyDescent="0.25">
      <c r="A55" t="s">
        <v>241</v>
      </c>
      <c r="B55" t="s">
        <v>228</v>
      </c>
      <c r="C55" t="s">
        <v>72</v>
      </c>
      <c r="E55" t="str">
        <f>"009939667681"</f>
        <v>009939667681</v>
      </c>
      <c r="F55" s="2">
        <v>44166</v>
      </c>
      <c r="G55">
        <v>202106</v>
      </c>
      <c r="H55" t="s">
        <v>90</v>
      </c>
      <c r="I55" t="s">
        <v>91</v>
      </c>
      <c r="J55" t="s">
        <v>233</v>
      </c>
      <c r="K55" t="s">
        <v>75</v>
      </c>
      <c r="L55" t="s">
        <v>189</v>
      </c>
      <c r="M55" t="s">
        <v>201</v>
      </c>
      <c r="N55" t="s">
        <v>339</v>
      </c>
      <c r="O55" t="s">
        <v>93</v>
      </c>
      <c r="P55" t="str">
        <f>"LINDI                         "</f>
        <v xml:space="preserve">LINDI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9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99.71</v>
      </c>
      <c r="BM55">
        <v>14.96</v>
      </c>
      <c r="BN55">
        <v>114.67</v>
      </c>
      <c r="BO55">
        <v>114.67</v>
      </c>
      <c r="BQ55" t="s">
        <v>340</v>
      </c>
      <c r="BR55" t="s">
        <v>236</v>
      </c>
      <c r="BS55" s="2">
        <v>44168</v>
      </c>
      <c r="BT55" s="3">
        <v>6.9444444444444441E-3</v>
      </c>
      <c r="BU55" t="s">
        <v>341</v>
      </c>
      <c r="BV55" t="s">
        <v>79</v>
      </c>
      <c r="BY55">
        <v>1200</v>
      </c>
      <c r="CC55" t="s">
        <v>201</v>
      </c>
      <c r="CD55">
        <v>5319</v>
      </c>
      <c r="CE55" t="s">
        <v>89</v>
      </c>
      <c r="CF55" s="2">
        <v>44173</v>
      </c>
      <c r="CI55">
        <v>4</v>
      </c>
      <c r="CJ55">
        <v>2</v>
      </c>
      <c r="CK55" t="s">
        <v>127</v>
      </c>
      <c r="CL55" t="s">
        <v>81</v>
      </c>
    </row>
    <row r="56" spans="1:90" x14ac:dyDescent="0.25">
      <c r="A56" t="s">
        <v>241</v>
      </c>
      <c r="B56" t="s">
        <v>228</v>
      </c>
      <c r="C56" t="s">
        <v>72</v>
      </c>
      <c r="E56" t="str">
        <f>"009939667695"</f>
        <v>009939667695</v>
      </c>
      <c r="F56" s="2">
        <v>44169</v>
      </c>
      <c r="G56">
        <v>202106</v>
      </c>
      <c r="H56" t="s">
        <v>90</v>
      </c>
      <c r="I56" t="s">
        <v>91</v>
      </c>
      <c r="J56" t="s">
        <v>233</v>
      </c>
      <c r="K56" t="s">
        <v>75</v>
      </c>
      <c r="L56" t="s">
        <v>193</v>
      </c>
      <c r="M56" t="s">
        <v>96</v>
      </c>
      <c r="N56" t="s">
        <v>234</v>
      </c>
      <c r="O56" t="s">
        <v>93</v>
      </c>
      <c r="P56" t="str">
        <f>"LINDI                         "</f>
        <v xml:space="preserve">LINDI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9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2</v>
      </c>
      <c r="BI56">
        <v>2</v>
      </c>
      <c r="BJ56">
        <v>0.5</v>
      </c>
      <c r="BK56">
        <v>2</v>
      </c>
      <c r="BL56">
        <v>99.71</v>
      </c>
      <c r="BM56">
        <v>14.96</v>
      </c>
      <c r="BN56">
        <v>114.67</v>
      </c>
      <c r="BO56">
        <v>114.67</v>
      </c>
      <c r="BQ56" t="s">
        <v>372</v>
      </c>
      <c r="BR56" t="s">
        <v>236</v>
      </c>
      <c r="BS56" s="2">
        <v>44172</v>
      </c>
      <c r="BT56" s="3">
        <v>0.37222222222222223</v>
      </c>
      <c r="BU56" t="s">
        <v>373</v>
      </c>
      <c r="BV56" t="s">
        <v>79</v>
      </c>
      <c r="BY56">
        <v>1200</v>
      </c>
      <c r="CA56" t="s">
        <v>374</v>
      </c>
      <c r="CC56" t="s">
        <v>96</v>
      </c>
      <c r="CD56">
        <v>7760</v>
      </c>
      <c r="CE56" t="s">
        <v>89</v>
      </c>
      <c r="CF56" s="2">
        <v>44173</v>
      </c>
      <c r="CI56">
        <v>3</v>
      </c>
      <c r="CJ56">
        <v>1</v>
      </c>
      <c r="CK56" t="s">
        <v>129</v>
      </c>
      <c r="CL56" t="s">
        <v>81</v>
      </c>
    </row>
    <row r="57" spans="1:90" x14ac:dyDescent="0.25">
      <c r="A57" t="s">
        <v>241</v>
      </c>
      <c r="B57" t="s">
        <v>228</v>
      </c>
      <c r="C57" t="s">
        <v>72</v>
      </c>
      <c r="E57" t="str">
        <f>"009939667696"</f>
        <v>009939667696</v>
      </c>
      <c r="F57" s="2">
        <v>44169</v>
      </c>
      <c r="G57">
        <v>202106</v>
      </c>
      <c r="H57" t="s">
        <v>90</v>
      </c>
      <c r="I57" t="s">
        <v>91</v>
      </c>
      <c r="J57" t="s">
        <v>233</v>
      </c>
      <c r="K57" t="s">
        <v>75</v>
      </c>
      <c r="L57" t="s">
        <v>260</v>
      </c>
      <c r="M57" t="s">
        <v>261</v>
      </c>
      <c r="N57" t="s">
        <v>234</v>
      </c>
      <c r="O57" t="s">
        <v>93</v>
      </c>
      <c r="P57" t="str">
        <f>"LINDI                         "</f>
        <v xml:space="preserve">LINDI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8.93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1</v>
      </c>
      <c r="BI57">
        <v>2</v>
      </c>
      <c r="BJ57">
        <v>0.5</v>
      </c>
      <c r="BK57">
        <v>2</v>
      </c>
      <c r="BL57">
        <v>98.97</v>
      </c>
      <c r="BM57">
        <v>14.85</v>
      </c>
      <c r="BN57">
        <v>113.82</v>
      </c>
      <c r="BO57">
        <v>113.82</v>
      </c>
      <c r="BQ57" t="s">
        <v>369</v>
      </c>
      <c r="BR57" t="s">
        <v>236</v>
      </c>
      <c r="BS57" s="2">
        <v>44173</v>
      </c>
      <c r="BT57" s="3">
        <v>0.4375</v>
      </c>
      <c r="BU57" t="s">
        <v>370</v>
      </c>
      <c r="BV57" t="s">
        <v>79</v>
      </c>
      <c r="BY57">
        <v>2400</v>
      </c>
      <c r="CA57" t="s">
        <v>371</v>
      </c>
      <c r="CC57" t="s">
        <v>261</v>
      </c>
      <c r="CD57">
        <v>9301</v>
      </c>
      <c r="CE57" t="s">
        <v>89</v>
      </c>
      <c r="CF57" s="2">
        <v>44175</v>
      </c>
      <c r="CI57">
        <v>2</v>
      </c>
      <c r="CJ57">
        <v>2</v>
      </c>
      <c r="CK57" t="s">
        <v>194</v>
      </c>
      <c r="CL57" t="s">
        <v>81</v>
      </c>
    </row>
    <row r="58" spans="1:90" hidden="1" x14ac:dyDescent="0.25">
      <c r="A58" t="s">
        <v>241</v>
      </c>
      <c r="B58" t="s">
        <v>228</v>
      </c>
      <c r="C58" t="s">
        <v>72</v>
      </c>
      <c r="E58" t="str">
        <f>"009940427192"</f>
        <v>009940427192</v>
      </c>
      <c r="F58" s="2">
        <v>44166</v>
      </c>
      <c r="G58">
        <v>202106</v>
      </c>
      <c r="H58" t="s">
        <v>95</v>
      </c>
      <c r="I58" t="s">
        <v>96</v>
      </c>
      <c r="J58" t="s">
        <v>242</v>
      </c>
      <c r="K58" t="s">
        <v>75</v>
      </c>
      <c r="L58" t="s">
        <v>109</v>
      </c>
      <c r="M58" t="s">
        <v>110</v>
      </c>
      <c r="N58" t="s">
        <v>229</v>
      </c>
      <c r="O58" t="s">
        <v>93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9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1</v>
      </c>
      <c r="BI58">
        <v>0.3</v>
      </c>
      <c r="BJ58">
        <v>1.5</v>
      </c>
      <c r="BK58">
        <v>2</v>
      </c>
      <c r="BL58">
        <v>99.71</v>
      </c>
      <c r="BM58">
        <v>14.96</v>
      </c>
      <c r="BN58">
        <v>114.67</v>
      </c>
      <c r="BO58">
        <v>114.67</v>
      </c>
      <c r="BQ58" t="s">
        <v>348</v>
      </c>
      <c r="BR58" t="s">
        <v>175</v>
      </c>
      <c r="BS58" s="2">
        <v>44167</v>
      </c>
      <c r="BT58" s="3">
        <v>0.35694444444444445</v>
      </c>
      <c r="BU58" t="s">
        <v>240</v>
      </c>
      <c r="BV58" t="s">
        <v>79</v>
      </c>
      <c r="BY58">
        <v>7553.52</v>
      </c>
      <c r="CC58" t="s">
        <v>110</v>
      </c>
      <c r="CD58">
        <v>2013</v>
      </c>
      <c r="CE58" t="s">
        <v>89</v>
      </c>
      <c r="CF58" s="2">
        <v>44168</v>
      </c>
      <c r="CI58">
        <v>2</v>
      </c>
      <c r="CJ58">
        <v>1</v>
      </c>
      <c r="CK58" t="s">
        <v>129</v>
      </c>
      <c r="CL58" t="s">
        <v>81</v>
      </c>
    </row>
    <row r="59" spans="1:90" hidden="1" x14ac:dyDescent="0.25">
      <c r="A59" t="s">
        <v>241</v>
      </c>
      <c r="B59" t="s">
        <v>228</v>
      </c>
      <c r="C59" t="s">
        <v>72</v>
      </c>
      <c r="E59" t="str">
        <f>"009939667687"</f>
        <v>009939667687</v>
      </c>
      <c r="F59" s="2">
        <v>44166</v>
      </c>
      <c r="G59">
        <v>202106</v>
      </c>
      <c r="H59" t="s">
        <v>90</v>
      </c>
      <c r="I59" t="s">
        <v>91</v>
      </c>
      <c r="J59" t="s">
        <v>233</v>
      </c>
      <c r="K59" t="s">
        <v>75</v>
      </c>
      <c r="L59" t="s">
        <v>349</v>
      </c>
      <c r="M59" t="s">
        <v>350</v>
      </c>
      <c r="N59" t="s">
        <v>351</v>
      </c>
      <c r="O59" t="s">
        <v>93</v>
      </c>
      <c r="P59" t="str">
        <f>"LINDI                         "</f>
        <v xml:space="preserve">LINDI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9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1</v>
      </c>
      <c r="BI59">
        <v>1</v>
      </c>
      <c r="BJ59">
        <v>1.2</v>
      </c>
      <c r="BK59">
        <v>2</v>
      </c>
      <c r="BL59">
        <v>99.71</v>
      </c>
      <c r="BM59">
        <v>14.96</v>
      </c>
      <c r="BN59">
        <v>114.67</v>
      </c>
      <c r="BO59">
        <v>114.67</v>
      </c>
      <c r="BQ59" t="s">
        <v>352</v>
      </c>
      <c r="BR59" t="s">
        <v>236</v>
      </c>
      <c r="BS59" s="2">
        <v>44167</v>
      </c>
      <c r="BT59" s="3">
        <v>0.73333333333333339</v>
      </c>
      <c r="BU59" t="s">
        <v>353</v>
      </c>
      <c r="BV59" t="s">
        <v>79</v>
      </c>
      <c r="BY59">
        <v>6000</v>
      </c>
      <c r="CA59" t="s">
        <v>354</v>
      </c>
      <c r="CC59" t="s">
        <v>350</v>
      </c>
      <c r="CD59">
        <v>2571</v>
      </c>
      <c r="CE59" t="s">
        <v>89</v>
      </c>
      <c r="CF59" s="2">
        <v>44169</v>
      </c>
      <c r="CI59">
        <v>2</v>
      </c>
      <c r="CJ59">
        <v>1</v>
      </c>
      <c r="CK59" t="s">
        <v>129</v>
      </c>
      <c r="CL59" t="s">
        <v>81</v>
      </c>
    </row>
    <row r="60" spans="1:90" hidden="1" x14ac:dyDescent="0.25">
      <c r="A60" t="s">
        <v>241</v>
      </c>
      <c r="B60" t="s">
        <v>228</v>
      </c>
      <c r="C60" t="s">
        <v>72</v>
      </c>
      <c r="E60" t="str">
        <f>"009940759879"</f>
        <v>009940759879</v>
      </c>
      <c r="F60" s="2">
        <v>44166</v>
      </c>
      <c r="G60">
        <v>202106</v>
      </c>
      <c r="H60" t="s">
        <v>95</v>
      </c>
      <c r="I60" t="s">
        <v>96</v>
      </c>
      <c r="J60" t="s">
        <v>355</v>
      </c>
      <c r="K60" t="s">
        <v>75</v>
      </c>
      <c r="L60" t="s">
        <v>109</v>
      </c>
      <c r="M60" t="s">
        <v>110</v>
      </c>
      <c r="N60" t="s">
        <v>229</v>
      </c>
      <c r="O60" t="s">
        <v>93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9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1</v>
      </c>
      <c r="BI60">
        <v>0.2</v>
      </c>
      <c r="BJ60">
        <v>0.9</v>
      </c>
      <c r="BK60">
        <v>1</v>
      </c>
      <c r="BL60">
        <v>99.71</v>
      </c>
      <c r="BM60">
        <v>14.96</v>
      </c>
      <c r="BN60">
        <v>114.67</v>
      </c>
      <c r="BO60">
        <v>114.67</v>
      </c>
      <c r="BR60" t="s">
        <v>356</v>
      </c>
      <c r="BS60" s="2">
        <v>44167</v>
      </c>
      <c r="BT60" s="3">
        <v>0.37152777777777773</v>
      </c>
      <c r="BU60" t="s">
        <v>240</v>
      </c>
      <c r="BV60" t="s">
        <v>79</v>
      </c>
      <c r="BY60">
        <v>4594.9799999999996</v>
      </c>
      <c r="CC60" t="s">
        <v>110</v>
      </c>
      <c r="CD60">
        <v>2013</v>
      </c>
      <c r="CE60" t="s">
        <v>89</v>
      </c>
      <c r="CF60" s="2">
        <v>44193</v>
      </c>
      <c r="CI60">
        <v>2</v>
      </c>
      <c r="CJ60">
        <v>1</v>
      </c>
      <c r="CK60" t="s">
        <v>129</v>
      </c>
      <c r="CL60" t="s">
        <v>81</v>
      </c>
    </row>
    <row r="61" spans="1:90" hidden="1" x14ac:dyDescent="0.25">
      <c r="A61" t="s">
        <v>241</v>
      </c>
      <c r="B61" t="s">
        <v>228</v>
      </c>
      <c r="C61" t="s">
        <v>72</v>
      </c>
      <c r="E61" t="str">
        <f>"029908206864"</f>
        <v>029908206864</v>
      </c>
      <c r="F61" s="2">
        <v>44166</v>
      </c>
      <c r="G61">
        <v>202106</v>
      </c>
      <c r="H61" t="s">
        <v>122</v>
      </c>
      <c r="I61" t="s">
        <v>123</v>
      </c>
      <c r="J61" t="s">
        <v>229</v>
      </c>
      <c r="K61" t="s">
        <v>75</v>
      </c>
      <c r="L61" t="s">
        <v>193</v>
      </c>
      <c r="M61" t="s">
        <v>96</v>
      </c>
      <c r="N61" t="s">
        <v>581</v>
      </c>
      <c r="O61" t="s">
        <v>93</v>
      </c>
      <c r="P61" t="str">
        <f>"PATIENCE ANNE                 "</f>
        <v xml:space="preserve">PATIENCE ANNE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9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2</v>
      </c>
      <c r="BI61">
        <v>3</v>
      </c>
      <c r="BJ61">
        <v>12.2</v>
      </c>
      <c r="BK61">
        <v>13</v>
      </c>
      <c r="BL61">
        <v>99.71</v>
      </c>
      <c r="BM61">
        <v>14.96</v>
      </c>
      <c r="BN61">
        <v>114.67</v>
      </c>
      <c r="BO61">
        <v>114.67</v>
      </c>
      <c r="BQ61" t="s">
        <v>357</v>
      </c>
      <c r="BR61" t="s">
        <v>231</v>
      </c>
      <c r="BS61" s="2">
        <v>44168</v>
      </c>
      <c r="BT61" s="3">
        <v>0.53888888888888886</v>
      </c>
      <c r="BU61" t="s">
        <v>232</v>
      </c>
      <c r="BV61" t="s">
        <v>79</v>
      </c>
      <c r="BY61">
        <v>61020</v>
      </c>
      <c r="CA61" t="s">
        <v>222</v>
      </c>
      <c r="CC61" t="s">
        <v>96</v>
      </c>
      <c r="CD61">
        <v>8001</v>
      </c>
      <c r="CE61" t="s">
        <v>89</v>
      </c>
      <c r="CF61" s="2">
        <v>44169</v>
      </c>
      <c r="CI61">
        <v>3</v>
      </c>
      <c r="CJ61">
        <v>2</v>
      </c>
      <c r="CK61" t="s">
        <v>129</v>
      </c>
      <c r="CL61" t="s">
        <v>81</v>
      </c>
    </row>
    <row r="62" spans="1:90" hidden="1" x14ac:dyDescent="0.25">
      <c r="A62" t="s">
        <v>241</v>
      </c>
      <c r="B62" t="s">
        <v>228</v>
      </c>
      <c r="C62" t="s">
        <v>72</v>
      </c>
      <c r="E62" t="str">
        <f>"009940476465"</f>
        <v>009940476465</v>
      </c>
      <c r="F62" s="2">
        <v>44166</v>
      </c>
      <c r="G62">
        <v>202106</v>
      </c>
      <c r="H62" t="s">
        <v>112</v>
      </c>
      <c r="I62" t="s">
        <v>92</v>
      </c>
      <c r="J62" t="s">
        <v>583</v>
      </c>
      <c r="K62" t="s">
        <v>75</v>
      </c>
      <c r="L62" t="s">
        <v>109</v>
      </c>
      <c r="M62" t="s">
        <v>110</v>
      </c>
      <c r="N62" t="s">
        <v>581</v>
      </c>
      <c r="O62" t="s">
        <v>93</v>
      </c>
      <c r="P62" t="str">
        <f>"NOREF                         "</f>
        <v xml:space="preserve">NOREF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6.18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1</v>
      </c>
      <c r="BI62">
        <v>1</v>
      </c>
      <c r="BJ62">
        <v>0.5</v>
      </c>
      <c r="BK62">
        <v>1</v>
      </c>
      <c r="BL62">
        <v>70.06</v>
      </c>
      <c r="BM62">
        <v>10.51</v>
      </c>
      <c r="BN62">
        <v>80.569999999999993</v>
      </c>
      <c r="BO62">
        <v>80.569999999999993</v>
      </c>
      <c r="BQ62" t="s">
        <v>175</v>
      </c>
      <c r="BR62" t="s">
        <v>358</v>
      </c>
      <c r="BS62" s="2">
        <v>44167</v>
      </c>
      <c r="BT62" s="3">
        <v>0.35694444444444445</v>
      </c>
      <c r="BU62" t="s">
        <v>240</v>
      </c>
      <c r="BV62" t="s">
        <v>79</v>
      </c>
      <c r="BY62">
        <v>2400</v>
      </c>
      <c r="CC62" t="s">
        <v>110</v>
      </c>
      <c r="CD62">
        <v>2000</v>
      </c>
      <c r="CE62" t="s">
        <v>89</v>
      </c>
      <c r="CF62" s="2">
        <v>44168</v>
      </c>
      <c r="CI62">
        <v>0</v>
      </c>
      <c r="CJ62">
        <v>0</v>
      </c>
      <c r="CK62" t="s">
        <v>359</v>
      </c>
      <c r="CL62" t="s">
        <v>81</v>
      </c>
    </row>
    <row r="63" spans="1:90" hidden="1" x14ac:dyDescent="0.25">
      <c r="A63" t="s">
        <v>241</v>
      </c>
      <c r="B63" t="s">
        <v>228</v>
      </c>
      <c r="C63" t="s">
        <v>72</v>
      </c>
      <c r="E63" t="str">
        <f>"009940483951"</f>
        <v>009940483951</v>
      </c>
      <c r="F63" s="2">
        <v>44166</v>
      </c>
      <c r="G63">
        <v>202106</v>
      </c>
      <c r="H63" t="s">
        <v>180</v>
      </c>
      <c r="I63" t="s">
        <v>181</v>
      </c>
      <c r="J63" t="s">
        <v>242</v>
      </c>
      <c r="K63" t="s">
        <v>75</v>
      </c>
      <c r="L63" t="s">
        <v>109</v>
      </c>
      <c r="M63" t="s">
        <v>110</v>
      </c>
      <c r="N63" t="s">
        <v>581</v>
      </c>
      <c r="O63" t="s">
        <v>93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9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99.71</v>
      </c>
      <c r="BM63">
        <v>14.96</v>
      </c>
      <c r="BN63">
        <v>114.67</v>
      </c>
      <c r="BO63">
        <v>114.67</v>
      </c>
      <c r="BS63" s="2">
        <v>44168</v>
      </c>
      <c r="BT63" s="3">
        <v>0.34375</v>
      </c>
      <c r="BU63" t="s">
        <v>216</v>
      </c>
      <c r="BV63" t="s">
        <v>81</v>
      </c>
      <c r="BW63" t="s">
        <v>117</v>
      </c>
      <c r="BX63" t="s">
        <v>114</v>
      </c>
      <c r="BY63">
        <v>1200</v>
      </c>
      <c r="CC63" t="s">
        <v>110</v>
      </c>
      <c r="CD63">
        <v>2000</v>
      </c>
      <c r="CE63" t="s">
        <v>89</v>
      </c>
      <c r="CF63" s="2">
        <v>44169</v>
      </c>
      <c r="CI63">
        <v>1</v>
      </c>
      <c r="CJ63">
        <v>2</v>
      </c>
      <c r="CK63" t="s">
        <v>127</v>
      </c>
      <c r="CL63" t="s">
        <v>81</v>
      </c>
    </row>
    <row r="64" spans="1:90" hidden="1" x14ac:dyDescent="0.25">
      <c r="A64" t="s">
        <v>241</v>
      </c>
      <c r="B64" t="s">
        <v>228</v>
      </c>
      <c r="C64" t="s">
        <v>72</v>
      </c>
      <c r="E64" t="str">
        <f>"009940476475"</f>
        <v>009940476475</v>
      </c>
      <c r="F64" s="2">
        <v>44166</v>
      </c>
      <c r="G64">
        <v>202106</v>
      </c>
      <c r="H64" t="s">
        <v>112</v>
      </c>
      <c r="I64" t="s">
        <v>92</v>
      </c>
      <c r="J64" t="s">
        <v>242</v>
      </c>
      <c r="K64" t="s">
        <v>75</v>
      </c>
      <c r="L64" t="s">
        <v>109</v>
      </c>
      <c r="M64" t="s">
        <v>110</v>
      </c>
      <c r="N64" t="s">
        <v>229</v>
      </c>
      <c r="O64" t="s">
        <v>93</v>
      </c>
      <c r="P64" t="str">
        <f>"NOREF                         "</f>
        <v xml:space="preserve">NOREF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6.18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1</v>
      </c>
      <c r="BI64">
        <v>1</v>
      </c>
      <c r="BJ64">
        <v>0.5</v>
      </c>
      <c r="BK64">
        <v>1</v>
      </c>
      <c r="BL64">
        <v>70.06</v>
      </c>
      <c r="BM64">
        <v>10.51</v>
      </c>
      <c r="BN64">
        <v>80.569999999999993</v>
      </c>
      <c r="BO64">
        <v>80.569999999999993</v>
      </c>
      <c r="BQ64" t="s">
        <v>175</v>
      </c>
      <c r="BR64" t="s">
        <v>175</v>
      </c>
      <c r="BS64" s="2">
        <v>44167</v>
      </c>
      <c r="BT64" s="3">
        <v>0.35625000000000001</v>
      </c>
      <c r="BU64" t="s">
        <v>240</v>
      </c>
      <c r="BV64" t="s">
        <v>79</v>
      </c>
      <c r="BY64">
        <v>2400</v>
      </c>
      <c r="CC64" t="s">
        <v>110</v>
      </c>
      <c r="CD64">
        <v>2000</v>
      </c>
      <c r="CE64" t="s">
        <v>89</v>
      </c>
      <c r="CF64" s="2">
        <v>44168</v>
      </c>
      <c r="CI64">
        <v>0</v>
      </c>
      <c r="CJ64">
        <v>0</v>
      </c>
      <c r="CK64" t="s">
        <v>359</v>
      </c>
      <c r="CL64" t="s">
        <v>81</v>
      </c>
    </row>
    <row r="65" spans="1:90" hidden="1" x14ac:dyDescent="0.25">
      <c r="A65" t="s">
        <v>241</v>
      </c>
      <c r="B65" t="s">
        <v>228</v>
      </c>
      <c r="C65" t="s">
        <v>72</v>
      </c>
      <c r="E65" t="str">
        <f>"009940265344"</f>
        <v>009940265344</v>
      </c>
      <c r="F65" s="2">
        <v>44166</v>
      </c>
      <c r="G65">
        <v>202106</v>
      </c>
      <c r="H65" t="s">
        <v>109</v>
      </c>
      <c r="I65" t="s">
        <v>110</v>
      </c>
      <c r="J65" t="s">
        <v>243</v>
      </c>
      <c r="K65" t="s">
        <v>75</v>
      </c>
      <c r="L65" t="s">
        <v>109</v>
      </c>
      <c r="M65" t="s">
        <v>110</v>
      </c>
      <c r="N65" t="s">
        <v>581</v>
      </c>
      <c r="O65" t="s">
        <v>93</v>
      </c>
      <c r="P65" t="str">
        <f>"NA                            "</f>
        <v xml:space="preserve">NA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6.18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70.06</v>
      </c>
      <c r="BM65">
        <v>10.51</v>
      </c>
      <c r="BN65">
        <v>80.569999999999993</v>
      </c>
      <c r="BO65">
        <v>80.569999999999993</v>
      </c>
      <c r="BQ65" t="s">
        <v>200</v>
      </c>
      <c r="BR65" t="s">
        <v>244</v>
      </c>
      <c r="BS65" s="2">
        <v>44167</v>
      </c>
      <c r="BT65" s="3">
        <v>0.3576388888888889</v>
      </c>
      <c r="BU65" t="s">
        <v>240</v>
      </c>
      <c r="BV65" t="s">
        <v>79</v>
      </c>
      <c r="BY65">
        <v>1200</v>
      </c>
      <c r="CC65" t="s">
        <v>110</v>
      </c>
      <c r="CD65">
        <v>2000</v>
      </c>
      <c r="CE65" t="s">
        <v>89</v>
      </c>
      <c r="CF65" s="2">
        <v>44168</v>
      </c>
      <c r="CI65">
        <v>1</v>
      </c>
      <c r="CJ65">
        <v>1</v>
      </c>
      <c r="CK65" t="s">
        <v>190</v>
      </c>
      <c r="CL65" t="s">
        <v>81</v>
      </c>
    </row>
    <row r="66" spans="1:90" x14ac:dyDescent="0.25">
      <c r="A66" t="s">
        <v>241</v>
      </c>
      <c r="B66" t="s">
        <v>228</v>
      </c>
      <c r="C66" t="s">
        <v>72</v>
      </c>
      <c r="E66" t="str">
        <f>"009939667702"</f>
        <v>009939667702</v>
      </c>
      <c r="F66" s="2">
        <v>44174</v>
      </c>
      <c r="G66">
        <v>202106</v>
      </c>
      <c r="H66" t="s">
        <v>90</v>
      </c>
      <c r="I66" t="s">
        <v>91</v>
      </c>
      <c r="J66" t="s">
        <v>312</v>
      </c>
      <c r="K66" t="s">
        <v>75</v>
      </c>
      <c r="L66" t="s">
        <v>119</v>
      </c>
      <c r="M66" t="s">
        <v>120</v>
      </c>
      <c r="N66" t="s">
        <v>234</v>
      </c>
      <c r="O66" t="s">
        <v>184</v>
      </c>
      <c r="P66" t="str">
        <f>"T PERUMAL TO RECEIVE BY GATE O"</f>
        <v>T PERUMAL TO RECEIVE BY GATE O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8.24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1</v>
      </c>
      <c r="BI66">
        <v>2</v>
      </c>
      <c r="BJ66">
        <v>1.2</v>
      </c>
      <c r="BK66">
        <v>2</v>
      </c>
      <c r="BL66">
        <v>86.74</v>
      </c>
      <c r="BM66">
        <v>13.01</v>
      </c>
      <c r="BN66">
        <v>99.75</v>
      </c>
      <c r="BO66">
        <v>99.75</v>
      </c>
      <c r="BQ66" t="s">
        <v>407</v>
      </c>
      <c r="BR66" t="s">
        <v>236</v>
      </c>
      <c r="BS66" s="2">
        <v>44176</v>
      </c>
      <c r="BT66" s="3">
        <v>0.50416666666666665</v>
      </c>
      <c r="BU66" t="s">
        <v>408</v>
      </c>
      <c r="BV66" t="s">
        <v>81</v>
      </c>
      <c r="BW66" t="s">
        <v>143</v>
      </c>
      <c r="BX66" t="s">
        <v>160</v>
      </c>
      <c r="BY66">
        <v>6000</v>
      </c>
      <c r="BZ66" t="s">
        <v>185</v>
      </c>
      <c r="CC66" t="s">
        <v>120</v>
      </c>
      <c r="CD66">
        <v>1401</v>
      </c>
      <c r="CE66" t="s">
        <v>89</v>
      </c>
      <c r="CF66" s="2">
        <v>44176</v>
      </c>
      <c r="CI66">
        <v>1</v>
      </c>
      <c r="CJ66">
        <v>2</v>
      </c>
      <c r="CK66">
        <v>31</v>
      </c>
      <c r="CL66" t="s">
        <v>81</v>
      </c>
    </row>
    <row r="67" spans="1:90" hidden="1" x14ac:dyDescent="0.25">
      <c r="A67" t="s">
        <v>241</v>
      </c>
      <c r="B67" t="s">
        <v>228</v>
      </c>
      <c r="C67" t="s">
        <v>72</v>
      </c>
      <c r="E67" t="str">
        <f>"029908381343"</f>
        <v>029908381343</v>
      </c>
      <c r="F67" s="2">
        <v>44166</v>
      </c>
      <c r="G67">
        <v>202106</v>
      </c>
      <c r="H67" t="s">
        <v>122</v>
      </c>
      <c r="I67" t="s">
        <v>123</v>
      </c>
      <c r="J67" t="s">
        <v>229</v>
      </c>
      <c r="K67" t="s">
        <v>75</v>
      </c>
      <c r="L67" t="s">
        <v>109</v>
      </c>
      <c r="M67" t="s">
        <v>110</v>
      </c>
      <c r="N67" t="s">
        <v>229</v>
      </c>
      <c r="O67" t="s">
        <v>93</v>
      </c>
      <c r="P67" t="str">
        <f>"PATIENCE ANNE                 "</f>
        <v xml:space="preserve">PATIENCE ANNE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16.079999999999998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5</v>
      </c>
      <c r="BI67">
        <v>9</v>
      </c>
      <c r="BJ67">
        <v>40.200000000000003</v>
      </c>
      <c r="BK67">
        <v>41</v>
      </c>
      <c r="BL67">
        <v>174.2</v>
      </c>
      <c r="BM67">
        <v>26.13</v>
      </c>
      <c r="BN67">
        <v>200.33</v>
      </c>
      <c r="BO67">
        <v>200.33</v>
      </c>
      <c r="BQ67" t="s">
        <v>365</v>
      </c>
      <c r="BR67" t="s">
        <v>231</v>
      </c>
      <c r="BS67" s="2">
        <v>44168</v>
      </c>
      <c r="BT67" s="3">
        <v>0.52152777777777781</v>
      </c>
      <c r="BU67" t="s">
        <v>254</v>
      </c>
      <c r="BV67" t="s">
        <v>81</v>
      </c>
      <c r="BW67" t="s">
        <v>117</v>
      </c>
      <c r="BX67" t="s">
        <v>114</v>
      </c>
      <c r="BY67">
        <v>61020</v>
      </c>
      <c r="CC67" t="s">
        <v>110</v>
      </c>
      <c r="CD67">
        <v>2000</v>
      </c>
      <c r="CE67" t="s">
        <v>89</v>
      </c>
      <c r="CF67" s="2">
        <v>44169</v>
      </c>
      <c r="CI67">
        <v>1</v>
      </c>
      <c r="CJ67">
        <v>2</v>
      </c>
      <c r="CK67" t="s">
        <v>331</v>
      </c>
      <c r="CL67" t="s">
        <v>81</v>
      </c>
    </row>
    <row r="68" spans="1:90" x14ac:dyDescent="0.25">
      <c r="A68" t="s">
        <v>241</v>
      </c>
      <c r="B68" t="s">
        <v>228</v>
      </c>
      <c r="C68" t="s">
        <v>72</v>
      </c>
      <c r="E68" t="str">
        <f>"009939667703"</f>
        <v>009939667703</v>
      </c>
      <c r="F68" s="2">
        <v>44174</v>
      </c>
      <c r="G68">
        <v>202106</v>
      </c>
      <c r="H68" t="s">
        <v>90</v>
      </c>
      <c r="I68" t="s">
        <v>91</v>
      </c>
      <c r="J68" t="s">
        <v>312</v>
      </c>
      <c r="K68" t="s">
        <v>75</v>
      </c>
      <c r="L68" t="s">
        <v>168</v>
      </c>
      <c r="M68" t="s">
        <v>169</v>
      </c>
      <c r="N68" t="s">
        <v>234</v>
      </c>
      <c r="O68" t="s">
        <v>93</v>
      </c>
      <c r="P68" t="str">
        <f>"LINDI                         "</f>
        <v xml:space="preserve">LINDI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9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1</v>
      </c>
      <c r="BI68">
        <v>1</v>
      </c>
      <c r="BJ68">
        <v>1.2</v>
      </c>
      <c r="BK68">
        <v>2</v>
      </c>
      <c r="BL68">
        <v>99.71</v>
      </c>
      <c r="BM68">
        <v>14.96</v>
      </c>
      <c r="BN68">
        <v>114.67</v>
      </c>
      <c r="BO68">
        <v>114.67</v>
      </c>
      <c r="BQ68" t="s">
        <v>429</v>
      </c>
      <c r="BR68" t="s">
        <v>236</v>
      </c>
      <c r="BS68" s="2">
        <v>44187</v>
      </c>
      <c r="BT68" s="3">
        <v>0.39999999999999997</v>
      </c>
      <c r="BU68" t="s">
        <v>430</v>
      </c>
      <c r="BV68" t="s">
        <v>81</v>
      </c>
      <c r="BW68" t="s">
        <v>153</v>
      </c>
      <c r="BX68" t="s">
        <v>431</v>
      </c>
      <c r="BY68">
        <v>6000</v>
      </c>
      <c r="CC68" t="s">
        <v>169</v>
      </c>
      <c r="CD68">
        <v>1035</v>
      </c>
      <c r="CE68" t="s">
        <v>89</v>
      </c>
      <c r="CF68" s="2">
        <v>44195</v>
      </c>
      <c r="CI68">
        <v>1</v>
      </c>
      <c r="CJ68">
        <v>9</v>
      </c>
      <c r="CK68" t="s">
        <v>127</v>
      </c>
      <c r="CL68" t="s">
        <v>81</v>
      </c>
    </row>
    <row r="69" spans="1:90" x14ac:dyDescent="0.25">
      <c r="A69" t="s">
        <v>241</v>
      </c>
      <c r="B69" t="s">
        <v>228</v>
      </c>
      <c r="C69" t="s">
        <v>72</v>
      </c>
      <c r="E69" t="str">
        <f>"009939667704"</f>
        <v>009939667704</v>
      </c>
      <c r="F69" s="2">
        <v>44174</v>
      </c>
      <c r="G69">
        <v>202106</v>
      </c>
      <c r="H69" t="s">
        <v>90</v>
      </c>
      <c r="I69" t="s">
        <v>91</v>
      </c>
      <c r="J69" t="s">
        <v>312</v>
      </c>
      <c r="K69" t="s">
        <v>75</v>
      </c>
      <c r="L69" t="s">
        <v>119</v>
      </c>
      <c r="M69" t="s">
        <v>120</v>
      </c>
      <c r="N69" t="s">
        <v>234</v>
      </c>
      <c r="O69" t="s">
        <v>184</v>
      </c>
      <c r="P69" t="str">
        <f>"LINDI                         "</f>
        <v xml:space="preserve">LINDI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8.24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1</v>
      </c>
      <c r="BI69">
        <v>2</v>
      </c>
      <c r="BJ69">
        <v>1.2</v>
      </c>
      <c r="BK69">
        <v>2</v>
      </c>
      <c r="BL69">
        <v>86.74</v>
      </c>
      <c r="BM69">
        <v>13.01</v>
      </c>
      <c r="BN69">
        <v>99.75</v>
      </c>
      <c r="BO69">
        <v>99.75</v>
      </c>
      <c r="BQ69" t="s">
        <v>421</v>
      </c>
      <c r="BR69" t="s">
        <v>236</v>
      </c>
      <c r="BS69" s="2">
        <v>44175</v>
      </c>
      <c r="BT69" s="3">
        <v>0.47569444444444442</v>
      </c>
      <c r="BU69" t="s">
        <v>207</v>
      </c>
      <c r="BV69" t="s">
        <v>79</v>
      </c>
      <c r="BY69">
        <v>6000</v>
      </c>
      <c r="BZ69" t="s">
        <v>211</v>
      </c>
      <c r="CC69" t="s">
        <v>120</v>
      </c>
      <c r="CD69">
        <v>1401</v>
      </c>
      <c r="CE69" t="s">
        <v>89</v>
      </c>
      <c r="CF69" s="2">
        <v>44176</v>
      </c>
      <c r="CI69">
        <v>1</v>
      </c>
      <c r="CJ69">
        <v>1</v>
      </c>
      <c r="CK69">
        <v>31</v>
      </c>
      <c r="CL69" t="s">
        <v>81</v>
      </c>
    </row>
    <row r="70" spans="1:90" x14ac:dyDescent="0.25">
      <c r="A70" t="s">
        <v>241</v>
      </c>
      <c r="B70" t="s">
        <v>228</v>
      </c>
      <c r="C70" t="s">
        <v>72</v>
      </c>
      <c r="E70" t="str">
        <f>"009939667705"</f>
        <v>009939667705</v>
      </c>
      <c r="F70" s="2">
        <v>44174</v>
      </c>
      <c r="G70">
        <v>202106</v>
      </c>
      <c r="H70" t="s">
        <v>90</v>
      </c>
      <c r="I70" t="s">
        <v>91</v>
      </c>
      <c r="J70" t="s">
        <v>312</v>
      </c>
      <c r="K70" t="s">
        <v>75</v>
      </c>
      <c r="L70" t="s">
        <v>193</v>
      </c>
      <c r="M70" t="s">
        <v>96</v>
      </c>
      <c r="N70" t="s">
        <v>234</v>
      </c>
      <c r="O70" t="s">
        <v>93</v>
      </c>
      <c r="P70" t="str">
        <f>"LINDI                         "</f>
        <v xml:space="preserve">LINDI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9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1</v>
      </c>
      <c r="BI70">
        <v>1</v>
      </c>
      <c r="BJ70">
        <v>1.2</v>
      </c>
      <c r="BK70">
        <v>2</v>
      </c>
      <c r="BL70">
        <v>99.71</v>
      </c>
      <c r="BM70">
        <v>14.96</v>
      </c>
      <c r="BN70">
        <v>114.67</v>
      </c>
      <c r="BO70">
        <v>114.67</v>
      </c>
      <c r="BQ70" t="s">
        <v>432</v>
      </c>
      <c r="BR70" t="s">
        <v>236</v>
      </c>
      <c r="BS70" s="2">
        <v>44176</v>
      </c>
      <c r="BT70" s="3">
        <v>0.50486111111111109</v>
      </c>
      <c r="BU70" t="s">
        <v>433</v>
      </c>
      <c r="BV70" t="s">
        <v>79</v>
      </c>
      <c r="BY70">
        <v>6000</v>
      </c>
      <c r="CA70" t="s">
        <v>209</v>
      </c>
      <c r="CC70" t="s">
        <v>96</v>
      </c>
      <c r="CD70">
        <v>8001</v>
      </c>
      <c r="CE70" t="s">
        <v>89</v>
      </c>
      <c r="CF70" s="2">
        <v>44179</v>
      </c>
      <c r="CI70">
        <v>3</v>
      </c>
      <c r="CJ70">
        <v>2</v>
      </c>
      <c r="CK70" t="s">
        <v>129</v>
      </c>
      <c r="CL70" t="s">
        <v>81</v>
      </c>
    </row>
    <row r="71" spans="1:90" x14ac:dyDescent="0.25">
      <c r="A71" t="s">
        <v>241</v>
      </c>
      <c r="B71" t="s">
        <v>228</v>
      </c>
      <c r="C71" t="s">
        <v>72</v>
      </c>
      <c r="E71" t="str">
        <f>"009939667707"</f>
        <v>009939667707</v>
      </c>
      <c r="F71" s="2">
        <v>44180</v>
      </c>
      <c r="G71">
        <v>202106</v>
      </c>
      <c r="H71" t="s">
        <v>90</v>
      </c>
      <c r="I71" t="s">
        <v>91</v>
      </c>
      <c r="J71" t="s">
        <v>312</v>
      </c>
      <c r="K71" t="s">
        <v>75</v>
      </c>
      <c r="L71" t="s">
        <v>87</v>
      </c>
      <c r="M71" t="s">
        <v>88</v>
      </c>
      <c r="N71" t="s">
        <v>234</v>
      </c>
      <c r="O71" t="s">
        <v>93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8.93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98.97</v>
      </c>
      <c r="BM71">
        <v>14.85</v>
      </c>
      <c r="BN71">
        <v>113.82</v>
      </c>
      <c r="BO71">
        <v>113.82</v>
      </c>
      <c r="BQ71" t="s">
        <v>490</v>
      </c>
      <c r="BR71" t="s">
        <v>236</v>
      </c>
      <c r="BS71" s="2">
        <v>44183</v>
      </c>
      <c r="BT71" s="3">
        <v>0.37777777777777777</v>
      </c>
      <c r="BU71" t="s">
        <v>491</v>
      </c>
      <c r="BV71" t="s">
        <v>79</v>
      </c>
      <c r="BY71">
        <v>1200</v>
      </c>
      <c r="CA71" t="s">
        <v>130</v>
      </c>
      <c r="CC71" t="s">
        <v>88</v>
      </c>
      <c r="CD71">
        <v>6000</v>
      </c>
      <c r="CE71" t="s">
        <v>89</v>
      </c>
      <c r="CF71" s="2">
        <v>44183</v>
      </c>
      <c r="CI71">
        <v>2</v>
      </c>
      <c r="CJ71">
        <v>3</v>
      </c>
      <c r="CK71" t="s">
        <v>194</v>
      </c>
      <c r="CL71" t="s">
        <v>81</v>
      </c>
    </row>
    <row r="72" spans="1:90" x14ac:dyDescent="0.25">
      <c r="A72" t="s">
        <v>241</v>
      </c>
      <c r="B72" t="s">
        <v>228</v>
      </c>
      <c r="C72" t="s">
        <v>72</v>
      </c>
      <c r="E72" t="str">
        <f>"009939667708"</f>
        <v>009939667708</v>
      </c>
      <c r="F72" s="2">
        <v>44179</v>
      </c>
      <c r="G72">
        <v>202106</v>
      </c>
      <c r="H72" t="s">
        <v>90</v>
      </c>
      <c r="I72" t="s">
        <v>91</v>
      </c>
      <c r="J72" t="s">
        <v>312</v>
      </c>
      <c r="K72" t="s">
        <v>75</v>
      </c>
      <c r="L72" t="s">
        <v>87</v>
      </c>
      <c r="M72" t="s">
        <v>88</v>
      </c>
      <c r="N72" t="s">
        <v>234</v>
      </c>
      <c r="O72" t="s">
        <v>78</v>
      </c>
      <c r="P72" t="str">
        <f>"LINDI                         "</f>
        <v xml:space="preserve">LINDI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4.4000000000000004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G72">
        <v>0</v>
      </c>
      <c r="BH72">
        <v>1</v>
      </c>
      <c r="BI72">
        <v>2</v>
      </c>
      <c r="BJ72">
        <v>1.2</v>
      </c>
      <c r="BK72">
        <v>2</v>
      </c>
      <c r="BL72">
        <v>46.27</v>
      </c>
      <c r="BM72">
        <v>6.94</v>
      </c>
      <c r="BN72">
        <v>53.21</v>
      </c>
      <c r="BO72">
        <v>53.21</v>
      </c>
      <c r="BQ72" t="s">
        <v>460</v>
      </c>
      <c r="BR72" t="s">
        <v>441</v>
      </c>
      <c r="BS72" s="2">
        <v>44183</v>
      </c>
      <c r="BT72" s="3">
        <v>0.38819444444444445</v>
      </c>
      <c r="BU72" t="s">
        <v>461</v>
      </c>
      <c r="BV72" t="s">
        <v>81</v>
      </c>
      <c r="BW72" t="s">
        <v>97</v>
      </c>
      <c r="BX72" t="s">
        <v>152</v>
      </c>
      <c r="BY72">
        <v>6000</v>
      </c>
      <c r="BZ72" t="s">
        <v>80</v>
      </c>
      <c r="CA72" t="s">
        <v>188</v>
      </c>
      <c r="CC72" t="s">
        <v>88</v>
      </c>
      <c r="CD72">
        <v>6000</v>
      </c>
      <c r="CE72" t="s">
        <v>89</v>
      </c>
      <c r="CF72" s="2">
        <v>44183</v>
      </c>
      <c r="CI72">
        <v>1</v>
      </c>
      <c r="CJ72">
        <v>4</v>
      </c>
      <c r="CK72">
        <v>21</v>
      </c>
      <c r="CL72" t="s">
        <v>81</v>
      </c>
    </row>
    <row r="73" spans="1:90" hidden="1" x14ac:dyDescent="0.25">
      <c r="A73" t="s">
        <v>241</v>
      </c>
      <c r="B73" t="s">
        <v>228</v>
      </c>
      <c r="C73" t="s">
        <v>72</v>
      </c>
      <c r="E73" t="str">
        <f>"009939667697"</f>
        <v>009939667697</v>
      </c>
      <c r="F73" s="2">
        <v>44169</v>
      </c>
      <c r="G73">
        <v>202106</v>
      </c>
      <c r="H73" t="s">
        <v>90</v>
      </c>
      <c r="I73" t="s">
        <v>91</v>
      </c>
      <c r="J73" t="s">
        <v>233</v>
      </c>
      <c r="K73" t="s">
        <v>75</v>
      </c>
      <c r="L73" t="s">
        <v>193</v>
      </c>
      <c r="M73" t="s">
        <v>96</v>
      </c>
      <c r="N73" t="s">
        <v>377</v>
      </c>
      <c r="O73" t="s">
        <v>93</v>
      </c>
      <c r="P73" t="str">
        <f>"LINDI                         "</f>
        <v xml:space="preserve">LINDI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9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99.71</v>
      </c>
      <c r="BM73">
        <v>14.96</v>
      </c>
      <c r="BN73">
        <v>114.67</v>
      </c>
      <c r="BO73">
        <v>114.67</v>
      </c>
      <c r="BQ73" t="s">
        <v>378</v>
      </c>
      <c r="BR73" t="s">
        <v>236</v>
      </c>
      <c r="BS73" s="2">
        <v>44174</v>
      </c>
      <c r="BT73" s="3">
        <v>0.50277777777777777</v>
      </c>
      <c r="BU73" t="s">
        <v>379</v>
      </c>
      <c r="BV73" t="s">
        <v>79</v>
      </c>
      <c r="BY73">
        <v>1200</v>
      </c>
      <c r="CA73" t="s">
        <v>380</v>
      </c>
      <c r="CC73" t="s">
        <v>96</v>
      </c>
      <c r="CD73">
        <v>8000</v>
      </c>
      <c r="CE73" t="s">
        <v>89</v>
      </c>
      <c r="CF73" s="2">
        <v>44175</v>
      </c>
      <c r="CI73">
        <v>3</v>
      </c>
      <c r="CJ73">
        <v>3</v>
      </c>
      <c r="CK73" t="s">
        <v>129</v>
      </c>
      <c r="CL73" t="s">
        <v>81</v>
      </c>
    </row>
    <row r="74" spans="1:90" hidden="1" x14ac:dyDescent="0.25">
      <c r="A74" t="s">
        <v>241</v>
      </c>
      <c r="B74" t="s">
        <v>228</v>
      </c>
      <c r="C74" t="s">
        <v>72</v>
      </c>
      <c r="E74" t="str">
        <f>"009937273190"</f>
        <v>009937273190</v>
      </c>
      <c r="F74" s="2">
        <v>44169</v>
      </c>
      <c r="G74">
        <v>202106</v>
      </c>
      <c r="H74" t="s">
        <v>109</v>
      </c>
      <c r="I74" t="s">
        <v>110</v>
      </c>
      <c r="J74" t="s">
        <v>229</v>
      </c>
      <c r="K74" t="s">
        <v>75</v>
      </c>
      <c r="L74" t="s">
        <v>193</v>
      </c>
      <c r="M74" t="s">
        <v>96</v>
      </c>
      <c r="N74" t="s">
        <v>381</v>
      </c>
      <c r="O74" t="s">
        <v>93</v>
      </c>
      <c r="P74" t="str">
        <f>"NA                            "</f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9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G74">
        <v>0</v>
      </c>
      <c r="BH74">
        <v>1</v>
      </c>
      <c r="BI74">
        <v>0.6</v>
      </c>
      <c r="BJ74">
        <v>0.9</v>
      </c>
      <c r="BK74">
        <v>1</v>
      </c>
      <c r="BL74">
        <v>99.71</v>
      </c>
      <c r="BM74">
        <v>14.96</v>
      </c>
      <c r="BN74">
        <v>114.67</v>
      </c>
      <c r="BO74">
        <v>114.67</v>
      </c>
      <c r="BQ74" t="s">
        <v>382</v>
      </c>
      <c r="BR74" t="s">
        <v>247</v>
      </c>
      <c r="BS74" s="2">
        <v>44174</v>
      </c>
      <c r="BT74" s="3">
        <v>0.5</v>
      </c>
      <c r="BU74" t="s">
        <v>383</v>
      </c>
      <c r="BV74" t="s">
        <v>81</v>
      </c>
      <c r="BW74" t="s">
        <v>97</v>
      </c>
      <c r="BX74" t="s">
        <v>157</v>
      </c>
      <c r="BY74">
        <v>4307.9799999999996</v>
      </c>
      <c r="CC74" t="s">
        <v>96</v>
      </c>
      <c r="CD74">
        <v>7560</v>
      </c>
      <c r="CE74" t="s">
        <v>89</v>
      </c>
      <c r="CF74" s="2">
        <v>44175</v>
      </c>
      <c r="CI74">
        <v>2</v>
      </c>
      <c r="CJ74">
        <v>3</v>
      </c>
      <c r="CK74" t="s">
        <v>129</v>
      </c>
      <c r="CL74" t="s">
        <v>81</v>
      </c>
    </row>
    <row r="75" spans="1:90" hidden="1" x14ac:dyDescent="0.25">
      <c r="A75" t="s">
        <v>241</v>
      </c>
      <c r="B75" t="s">
        <v>228</v>
      </c>
      <c r="C75" t="s">
        <v>72</v>
      </c>
      <c r="E75" t="str">
        <f>"009940635817"</f>
        <v>009940635817</v>
      </c>
      <c r="F75" s="2">
        <v>44173</v>
      </c>
      <c r="G75">
        <v>202106</v>
      </c>
      <c r="H75" t="s">
        <v>84</v>
      </c>
      <c r="I75" t="s">
        <v>85</v>
      </c>
      <c r="J75" t="s">
        <v>242</v>
      </c>
      <c r="K75" t="s">
        <v>75</v>
      </c>
      <c r="L75" t="s">
        <v>109</v>
      </c>
      <c r="M75" t="s">
        <v>110</v>
      </c>
      <c r="N75" t="s">
        <v>229</v>
      </c>
      <c r="O75" t="s">
        <v>78</v>
      </c>
      <c r="P75" t="str">
        <f>"NA                            "</f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3.43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36.14</v>
      </c>
      <c r="BM75">
        <v>5.42</v>
      </c>
      <c r="BN75">
        <v>41.56</v>
      </c>
      <c r="BO75">
        <v>41.56</v>
      </c>
      <c r="BQ75" t="s">
        <v>200</v>
      </c>
      <c r="BR75" t="s">
        <v>384</v>
      </c>
      <c r="BS75" s="2">
        <v>44174</v>
      </c>
      <c r="BT75" s="3">
        <v>0.51250000000000007</v>
      </c>
      <c r="BU75" t="s">
        <v>240</v>
      </c>
      <c r="BV75" t="s">
        <v>81</v>
      </c>
      <c r="BW75" t="s">
        <v>113</v>
      </c>
      <c r="BX75" t="s">
        <v>121</v>
      </c>
      <c r="BY75">
        <v>1200</v>
      </c>
      <c r="BZ75" t="s">
        <v>80</v>
      </c>
      <c r="CC75" t="s">
        <v>110</v>
      </c>
      <c r="CD75">
        <v>2013</v>
      </c>
      <c r="CE75" t="s">
        <v>89</v>
      </c>
      <c r="CF75" s="2">
        <v>44175</v>
      </c>
      <c r="CI75">
        <v>1</v>
      </c>
      <c r="CJ75">
        <v>1</v>
      </c>
      <c r="CK75">
        <v>22</v>
      </c>
      <c r="CL75" t="s">
        <v>81</v>
      </c>
    </row>
    <row r="76" spans="1:90" hidden="1" x14ac:dyDescent="0.25">
      <c r="A76" t="s">
        <v>241</v>
      </c>
      <c r="B76" t="s">
        <v>228</v>
      </c>
      <c r="C76" t="s">
        <v>72</v>
      </c>
      <c r="E76" t="str">
        <f>"009940593378"</f>
        <v>009940593378</v>
      </c>
      <c r="F76" s="2">
        <v>44173</v>
      </c>
      <c r="G76">
        <v>202106</v>
      </c>
      <c r="H76" t="s">
        <v>112</v>
      </c>
      <c r="I76" t="s">
        <v>92</v>
      </c>
      <c r="J76" t="s">
        <v>575</v>
      </c>
      <c r="K76" t="s">
        <v>75</v>
      </c>
      <c r="L76" t="s">
        <v>109</v>
      </c>
      <c r="M76" t="s">
        <v>110</v>
      </c>
      <c r="N76" t="s">
        <v>580</v>
      </c>
      <c r="O76" t="s">
        <v>78</v>
      </c>
      <c r="P76" t="str">
        <f>"JNB2012080003                 "</f>
        <v xml:space="preserve">JNB2012080003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4.4000000000000004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46.27</v>
      </c>
      <c r="BM76">
        <v>6.94</v>
      </c>
      <c r="BN76">
        <v>53.21</v>
      </c>
      <c r="BO76">
        <v>53.21</v>
      </c>
      <c r="BQ76" t="s">
        <v>175</v>
      </c>
      <c r="BR76" t="s">
        <v>385</v>
      </c>
      <c r="BS76" s="2">
        <v>44174</v>
      </c>
      <c r="BT76" s="3">
        <v>0.67222222222222217</v>
      </c>
      <c r="BU76" t="s">
        <v>240</v>
      </c>
      <c r="BV76" t="s">
        <v>81</v>
      </c>
      <c r="BW76" t="s">
        <v>113</v>
      </c>
      <c r="BX76" t="s">
        <v>121</v>
      </c>
      <c r="BY76">
        <v>1200</v>
      </c>
      <c r="BZ76" t="s">
        <v>80</v>
      </c>
      <c r="CC76" t="s">
        <v>110</v>
      </c>
      <c r="CD76">
        <v>2000</v>
      </c>
      <c r="CE76" t="s">
        <v>89</v>
      </c>
      <c r="CF76" s="2">
        <v>44175</v>
      </c>
      <c r="CI76">
        <v>1</v>
      </c>
      <c r="CJ76">
        <v>1</v>
      </c>
      <c r="CK76">
        <v>21</v>
      </c>
      <c r="CL76" t="s">
        <v>81</v>
      </c>
    </row>
    <row r="77" spans="1:90" hidden="1" x14ac:dyDescent="0.25">
      <c r="A77" t="s">
        <v>241</v>
      </c>
      <c r="B77" t="s">
        <v>228</v>
      </c>
      <c r="C77" t="s">
        <v>72</v>
      </c>
      <c r="E77" t="str">
        <f>"009939667712"</f>
        <v>009939667712</v>
      </c>
      <c r="F77" s="2">
        <v>44172</v>
      </c>
      <c r="G77">
        <v>202106</v>
      </c>
      <c r="H77" t="s">
        <v>90</v>
      </c>
      <c r="I77" t="s">
        <v>91</v>
      </c>
      <c r="J77" t="s">
        <v>386</v>
      </c>
      <c r="K77" t="s">
        <v>75</v>
      </c>
      <c r="L77" t="s">
        <v>95</v>
      </c>
      <c r="M77" t="s">
        <v>96</v>
      </c>
      <c r="N77" t="s">
        <v>387</v>
      </c>
      <c r="O77" t="s">
        <v>184</v>
      </c>
      <c r="P77" t="str">
        <f>"LINDI                         "</f>
        <v xml:space="preserve">LINDI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8.24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G77">
        <v>0</v>
      </c>
      <c r="BH77">
        <v>1</v>
      </c>
      <c r="BI77">
        <v>2</v>
      </c>
      <c r="BJ77">
        <v>2.4</v>
      </c>
      <c r="BK77">
        <v>3</v>
      </c>
      <c r="BL77">
        <v>86.74</v>
      </c>
      <c r="BM77">
        <v>13.01</v>
      </c>
      <c r="BN77">
        <v>99.75</v>
      </c>
      <c r="BO77">
        <v>99.75</v>
      </c>
      <c r="BQ77" t="s">
        <v>388</v>
      </c>
      <c r="BR77" t="s">
        <v>236</v>
      </c>
      <c r="BS77" s="2">
        <v>44174</v>
      </c>
      <c r="BT77" s="3">
        <v>0.41666666666666669</v>
      </c>
      <c r="BU77" t="s">
        <v>389</v>
      </c>
      <c r="BV77" t="s">
        <v>81</v>
      </c>
      <c r="BW77" t="s">
        <v>97</v>
      </c>
      <c r="BX77" t="s">
        <v>131</v>
      </c>
      <c r="BY77">
        <v>12000</v>
      </c>
      <c r="BZ77" t="s">
        <v>185</v>
      </c>
      <c r="CC77" t="s">
        <v>96</v>
      </c>
      <c r="CD77">
        <v>8000</v>
      </c>
      <c r="CE77" t="s">
        <v>89</v>
      </c>
      <c r="CF77" s="2">
        <v>44175</v>
      </c>
      <c r="CI77">
        <v>1</v>
      </c>
      <c r="CJ77">
        <v>2</v>
      </c>
      <c r="CK77">
        <v>31</v>
      </c>
      <c r="CL77" t="s">
        <v>81</v>
      </c>
    </row>
    <row r="78" spans="1:90" hidden="1" x14ac:dyDescent="0.25">
      <c r="A78" t="s">
        <v>241</v>
      </c>
      <c r="B78" t="s">
        <v>228</v>
      </c>
      <c r="C78" t="s">
        <v>72</v>
      </c>
      <c r="E78" t="str">
        <f>"029908206862"</f>
        <v>029908206862</v>
      </c>
      <c r="F78" s="2">
        <v>44173</v>
      </c>
      <c r="G78">
        <v>202106</v>
      </c>
      <c r="H78" t="s">
        <v>122</v>
      </c>
      <c r="I78" t="s">
        <v>123</v>
      </c>
      <c r="J78" t="s">
        <v>229</v>
      </c>
      <c r="K78" t="s">
        <v>75</v>
      </c>
      <c r="L78" t="s">
        <v>95</v>
      </c>
      <c r="M78" t="s">
        <v>96</v>
      </c>
      <c r="N78" t="s">
        <v>229</v>
      </c>
      <c r="O78" t="s">
        <v>78</v>
      </c>
      <c r="P78" t="str">
        <f>"WENDY                         "</f>
        <v xml:space="preserve">WENDY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4.4000000000000004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G78">
        <v>0</v>
      </c>
      <c r="BH78">
        <v>1</v>
      </c>
      <c r="BI78">
        <v>1</v>
      </c>
      <c r="BJ78">
        <v>1.4</v>
      </c>
      <c r="BK78">
        <v>1.5</v>
      </c>
      <c r="BL78">
        <v>46.27</v>
      </c>
      <c r="BM78">
        <v>6.94</v>
      </c>
      <c r="BN78">
        <v>53.21</v>
      </c>
      <c r="BO78">
        <v>53.21</v>
      </c>
      <c r="BQ78" t="s">
        <v>230</v>
      </c>
      <c r="BR78" t="s">
        <v>231</v>
      </c>
      <c r="BS78" s="2">
        <v>44175</v>
      </c>
      <c r="BT78" s="3">
        <v>0.43472222222222223</v>
      </c>
      <c r="BU78" t="s">
        <v>232</v>
      </c>
      <c r="BV78" t="s">
        <v>81</v>
      </c>
      <c r="BW78" t="s">
        <v>97</v>
      </c>
      <c r="BX78" t="s">
        <v>131</v>
      </c>
      <c r="BY78">
        <v>7200</v>
      </c>
      <c r="BZ78" t="s">
        <v>80</v>
      </c>
      <c r="CA78" t="s">
        <v>142</v>
      </c>
      <c r="CC78" t="s">
        <v>96</v>
      </c>
      <c r="CD78">
        <v>7441</v>
      </c>
      <c r="CE78" t="s">
        <v>89</v>
      </c>
      <c r="CF78" s="2">
        <v>44176</v>
      </c>
      <c r="CI78">
        <v>1</v>
      </c>
      <c r="CJ78">
        <v>2</v>
      </c>
      <c r="CK78">
        <v>21</v>
      </c>
      <c r="CL78" t="s">
        <v>81</v>
      </c>
    </row>
    <row r="79" spans="1:90" hidden="1" x14ac:dyDescent="0.25">
      <c r="A79" t="s">
        <v>241</v>
      </c>
      <c r="B79" t="s">
        <v>228</v>
      </c>
      <c r="C79" t="s">
        <v>72</v>
      </c>
      <c r="E79" t="str">
        <f>"009940483955"</f>
        <v>009940483955</v>
      </c>
      <c r="F79" s="2">
        <v>44173</v>
      </c>
      <c r="G79">
        <v>202106</v>
      </c>
      <c r="H79" t="s">
        <v>180</v>
      </c>
      <c r="I79" t="s">
        <v>181</v>
      </c>
      <c r="J79" t="s">
        <v>242</v>
      </c>
      <c r="K79" t="s">
        <v>75</v>
      </c>
      <c r="L79" t="s">
        <v>109</v>
      </c>
      <c r="M79" t="s">
        <v>110</v>
      </c>
      <c r="N79" t="s">
        <v>582</v>
      </c>
      <c r="O79" t="s">
        <v>78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8.52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89.64</v>
      </c>
      <c r="BM79">
        <v>13.45</v>
      </c>
      <c r="BN79">
        <v>103.09</v>
      </c>
      <c r="BO79">
        <v>103.09</v>
      </c>
      <c r="BR79" t="s">
        <v>272</v>
      </c>
      <c r="BS79" s="2">
        <v>44174</v>
      </c>
      <c r="BT79" s="3">
        <v>0.51597222222222217</v>
      </c>
      <c r="BU79" t="s">
        <v>240</v>
      </c>
      <c r="BV79" t="s">
        <v>81</v>
      </c>
      <c r="BW79" t="s">
        <v>113</v>
      </c>
      <c r="BX79" t="s">
        <v>121</v>
      </c>
      <c r="BY79">
        <v>1200</v>
      </c>
      <c r="BZ79" t="s">
        <v>80</v>
      </c>
      <c r="CC79" t="s">
        <v>110</v>
      </c>
      <c r="CD79">
        <v>2013</v>
      </c>
      <c r="CE79" t="s">
        <v>89</v>
      </c>
      <c r="CF79" s="2">
        <v>44175</v>
      </c>
      <c r="CI79">
        <v>1</v>
      </c>
      <c r="CJ79">
        <v>1</v>
      </c>
      <c r="CK79">
        <v>23</v>
      </c>
      <c r="CL79" t="s">
        <v>81</v>
      </c>
    </row>
    <row r="80" spans="1:90" x14ac:dyDescent="0.25">
      <c r="A80" t="s">
        <v>241</v>
      </c>
      <c r="B80" t="s">
        <v>228</v>
      </c>
      <c r="C80" t="s">
        <v>72</v>
      </c>
      <c r="E80" t="str">
        <f>"009939667709"</f>
        <v>009939667709</v>
      </c>
      <c r="F80" s="2">
        <v>44174</v>
      </c>
      <c r="G80">
        <v>202106</v>
      </c>
      <c r="H80" t="s">
        <v>90</v>
      </c>
      <c r="I80" t="s">
        <v>91</v>
      </c>
      <c r="J80" t="s">
        <v>312</v>
      </c>
      <c r="K80" t="s">
        <v>75</v>
      </c>
      <c r="L80" t="s">
        <v>73</v>
      </c>
      <c r="M80" t="s">
        <v>74</v>
      </c>
      <c r="N80" t="s">
        <v>234</v>
      </c>
      <c r="O80" t="s">
        <v>184</v>
      </c>
      <c r="P80" t="str">
        <f>"082 28 1532                   "</f>
        <v xml:space="preserve">082 28 1532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8.24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G80">
        <v>0</v>
      </c>
      <c r="BH80">
        <v>1</v>
      </c>
      <c r="BI80">
        <v>2</v>
      </c>
      <c r="BJ80">
        <v>1.2</v>
      </c>
      <c r="BK80">
        <v>2</v>
      </c>
      <c r="BL80">
        <v>86.74</v>
      </c>
      <c r="BM80">
        <v>13.01</v>
      </c>
      <c r="BN80">
        <v>99.75</v>
      </c>
      <c r="BO80">
        <v>99.75</v>
      </c>
      <c r="BQ80" t="s">
        <v>404</v>
      </c>
      <c r="BR80" t="s">
        <v>405</v>
      </c>
      <c r="BS80" s="2">
        <v>44175</v>
      </c>
      <c r="BT80" s="3">
        <v>0.5625</v>
      </c>
      <c r="BU80" t="s">
        <v>406</v>
      </c>
      <c r="BV80" t="s">
        <v>81</v>
      </c>
      <c r="BW80" t="s">
        <v>113</v>
      </c>
      <c r="BX80" t="s">
        <v>198</v>
      </c>
      <c r="BY80">
        <v>6000</v>
      </c>
      <c r="BZ80" t="s">
        <v>185</v>
      </c>
      <c r="CC80" t="s">
        <v>74</v>
      </c>
      <c r="CD80">
        <v>1619</v>
      </c>
      <c r="CE80" t="s">
        <v>89</v>
      </c>
      <c r="CF80" s="2">
        <v>44176</v>
      </c>
      <c r="CI80">
        <v>1</v>
      </c>
      <c r="CJ80">
        <v>1</v>
      </c>
      <c r="CK80">
        <v>31</v>
      </c>
      <c r="CL80" t="s">
        <v>81</v>
      </c>
    </row>
    <row r="81" spans="1:90" hidden="1" x14ac:dyDescent="0.25">
      <c r="A81" t="s">
        <v>241</v>
      </c>
      <c r="B81" t="s">
        <v>228</v>
      </c>
      <c r="C81" t="s">
        <v>72</v>
      </c>
      <c r="E81" t="str">
        <f>"009940698195"</f>
        <v>009940698195</v>
      </c>
      <c r="F81" s="2">
        <v>44175</v>
      </c>
      <c r="G81">
        <v>202106</v>
      </c>
      <c r="H81" t="s">
        <v>109</v>
      </c>
      <c r="I81" t="s">
        <v>110</v>
      </c>
      <c r="J81" t="s">
        <v>277</v>
      </c>
      <c r="K81" t="s">
        <v>75</v>
      </c>
      <c r="L81" t="s">
        <v>109</v>
      </c>
      <c r="M81" t="s">
        <v>110</v>
      </c>
      <c r="N81" t="s">
        <v>580</v>
      </c>
      <c r="O81" t="s">
        <v>78</v>
      </c>
      <c r="P81" t="str">
        <f>"NA                            "</f>
        <v xml:space="preserve">NA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3.43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36.14</v>
      </c>
      <c r="BM81">
        <v>5.42</v>
      </c>
      <c r="BN81">
        <v>41.56</v>
      </c>
      <c r="BO81">
        <v>41.56</v>
      </c>
      <c r="BR81" t="s">
        <v>271</v>
      </c>
      <c r="BS81" s="2">
        <v>44176</v>
      </c>
      <c r="BT81" s="3">
        <v>0.37013888888888885</v>
      </c>
      <c r="BU81" t="s">
        <v>254</v>
      </c>
      <c r="BV81" t="s">
        <v>79</v>
      </c>
      <c r="BY81">
        <v>1200</v>
      </c>
      <c r="BZ81" t="s">
        <v>80</v>
      </c>
      <c r="CC81" t="s">
        <v>110</v>
      </c>
      <c r="CD81">
        <v>2013</v>
      </c>
      <c r="CE81" t="s">
        <v>89</v>
      </c>
      <c r="CF81" s="2">
        <v>44177</v>
      </c>
      <c r="CI81">
        <v>1</v>
      </c>
      <c r="CJ81">
        <v>1</v>
      </c>
      <c r="CK81">
        <v>22</v>
      </c>
      <c r="CL81" t="s">
        <v>81</v>
      </c>
    </row>
    <row r="82" spans="1:90" hidden="1" x14ac:dyDescent="0.25">
      <c r="A82" t="s">
        <v>241</v>
      </c>
      <c r="B82" t="s">
        <v>228</v>
      </c>
      <c r="C82" t="s">
        <v>72</v>
      </c>
      <c r="E82" t="str">
        <f>"009940759889"</f>
        <v>009940759889</v>
      </c>
      <c r="F82" s="2">
        <v>44173</v>
      </c>
      <c r="G82">
        <v>202106</v>
      </c>
      <c r="H82" t="s">
        <v>95</v>
      </c>
      <c r="I82" t="s">
        <v>96</v>
      </c>
      <c r="J82" t="s">
        <v>574</v>
      </c>
      <c r="K82" t="s">
        <v>75</v>
      </c>
      <c r="L82" t="s">
        <v>109</v>
      </c>
      <c r="M82" t="s">
        <v>110</v>
      </c>
      <c r="N82" t="s">
        <v>229</v>
      </c>
      <c r="O82" t="s">
        <v>93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9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G82">
        <v>0</v>
      </c>
      <c r="BH82">
        <v>1</v>
      </c>
      <c r="BI82">
        <v>0.2</v>
      </c>
      <c r="BJ82">
        <v>0.8</v>
      </c>
      <c r="BK82">
        <v>1</v>
      </c>
      <c r="BL82">
        <v>99.71</v>
      </c>
      <c r="BM82">
        <v>14.96</v>
      </c>
      <c r="BN82">
        <v>114.67</v>
      </c>
      <c r="BO82">
        <v>114.67</v>
      </c>
      <c r="BQ82" t="s">
        <v>175</v>
      </c>
      <c r="BR82" t="s">
        <v>175</v>
      </c>
      <c r="BS82" s="2">
        <v>44174</v>
      </c>
      <c r="BT82" s="3">
        <v>0.51874999999999993</v>
      </c>
      <c r="BU82" t="s">
        <v>240</v>
      </c>
      <c r="BV82" t="s">
        <v>79</v>
      </c>
      <c r="BY82">
        <v>4099.32</v>
      </c>
      <c r="CC82" t="s">
        <v>110</v>
      </c>
      <c r="CD82">
        <v>2013</v>
      </c>
      <c r="CE82" t="s">
        <v>89</v>
      </c>
      <c r="CF82" s="2">
        <v>44175</v>
      </c>
      <c r="CI82">
        <v>2</v>
      </c>
      <c r="CJ82">
        <v>1</v>
      </c>
      <c r="CK82" t="s">
        <v>129</v>
      </c>
      <c r="CL82" t="s">
        <v>81</v>
      </c>
    </row>
    <row r="83" spans="1:90" hidden="1" x14ac:dyDescent="0.25">
      <c r="A83" t="s">
        <v>241</v>
      </c>
      <c r="B83" t="s">
        <v>228</v>
      </c>
      <c r="C83" t="s">
        <v>72</v>
      </c>
      <c r="E83" t="str">
        <f>"009940427193"</f>
        <v>009940427193</v>
      </c>
      <c r="F83" s="2">
        <v>44173</v>
      </c>
      <c r="G83">
        <v>202106</v>
      </c>
      <c r="H83" t="s">
        <v>95</v>
      </c>
      <c r="I83" t="s">
        <v>96</v>
      </c>
      <c r="J83" t="s">
        <v>392</v>
      </c>
      <c r="K83" t="s">
        <v>75</v>
      </c>
      <c r="L83" t="s">
        <v>109</v>
      </c>
      <c r="M83" t="s">
        <v>110</v>
      </c>
      <c r="N83" t="s">
        <v>229</v>
      </c>
      <c r="O83" t="s">
        <v>93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9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G83">
        <v>0</v>
      </c>
      <c r="BH83">
        <v>1</v>
      </c>
      <c r="BI83">
        <v>0.5</v>
      </c>
      <c r="BJ83">
        <v>1.6</v>
      </c>
      <c r="BK83">
        <v>2</v>
      </c>
      <c r="BL83">
        <v>99.71</v>
      </c>
      <c r="BM83">
        <v>14.96</v>
      </c>
      <c r="BN83">
        <v>114.67</v>
      </c>
      <c r="BO83">
        <v>114.67</v>
      </c>
      <c r="BQ83" t="s">
        <v>313</v>
      </c>
      <c r="BR83" t="s">
        <v>393</v>
      </c>
      <c r="BS83" s="2">
        <v>44174</v>
      </c>
      <c r="BT83" s="3">
        <v>0.51527777777777783</v>
      </c>
      <c r="BU83" t="s">
        <v>240</v>
      </c>
      <c r="BV83" t="s">
        <v>79</v>
      </c>
      <c r="BY83">
        <v>8171.52</v>
      </c>
      <c r="CC83" t="s">
        <v>110</v>
      </c>
      <c r="CD83">
        <v>2013</v>
      </c>
      <c r="CE83" t="s">
        <v>89</v>
      </c>
      <c r="CF83" s="2">
        <v>44175</v>
      </c>
      <c r="CI83">
        <v>2</v>
      </c>
      <c r="CJ83">
        <v>1</v>
      </c>
      <c r="CK83" t="s">
        <v>129</v>
      </c>
      <c r="CL83" t="s">
        <v>81</v>
      </c>
    </row>
    <row r="84" spans="1:90" hidden="1" x14ac:dyDescent="0.25">
      <c r="A84" t="s">
        <v>241</v>
      </c>
      <c r="B84" t="s">
        <v>228</v>
      </c>
      <c r="C84" t="s">
        <v>72</v>
      </c>
      <c r="E84" t="str">
        <f>"009940425774"</f>
        <v>009940425774</v>
      </c>
      <c r="F84" s="2">
        <v>44173</v>
      </c>
      <c r="G84">
        <v>202106</v>
      </c>
      <c r="H84" t="s">
        <v>95</v>
      </c>
      <c r="I84" t="s">
        <v>96</v>
      </c>
      <c r="J84" t="s">
        <v>242</v>
      </c>
      <c r="K84" t="s">
        <v>75</v>
      </c>
      <c r="L84" t="s">
        <v>109</v>
      </c>
      <c r="M84" t="s">
        <v>110</v>
      </c>
      <c r="N84" t="s">
        <v>229</v>
      </c>
      <c r="O84" t="s">
        <v>93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9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G84">
        <v>0</v>
      </c>
      <c r="BH84">
        <v>1</v>
      </c>
      <c r="BI84">
        <v>0.3</v>
      </c>
      <c r="BJ84">
        <v>2.4</v>
      </c>
      <c r="BK84">
        <v>3</v>
      </c>
      <c r="BL84">
        <v>99.71</v>
      </c>
      <c r="BM84">
        <v>14.96</v>
      </c>
      <c r="BN84">
        <v>114.67</v>
      </c>
      <c r="BO84">
        <v>114.67</v>
      </c>
      <c r="BQ84" t="s">
        <v>175</v>
      </c>
      <c r="BR84" t="s">
        <v>175</v>
      </c>
      <c r="BS84" s="2">
        <v>44174</v>
      </c>
      <c r="BT84" s="3">
        <v>0.5131944444444444</v>
      </c>
      <c r="BU84" t="s">
        <v>240</v>
      </c>
      <c r="BV84" t="s">
        <v>79</v>
      </c>
      <c r="BY84">
        <v>12138.72</v>
      </c>
      <c r="CC84" t="s">
        <v>110</v>
      </c>
      <c r="CD84">
        <v>2013</v>
      </c>
      <c r="CE84" t="s">
        <v>89</v>
      </c>
      <c r="CF84" s="2">
        <v>44175</v>
      </c>
      <c r="CI84">
        <v>2</v>
      </c>
      <c r="CJ84">
        <v>1</v>
      </c>
      <c r="CK84" t="s">
        <v>129</v>
      </c>
      <c r="CL84" t="s">
        <v>81</v>
      </c>
    </row>
    <row r="85" spans="1:90" hidden="1" x14ac:dyDescent="0.25">
      <c r="A85" t="s">
        <v>241</v>
      </c>
      <c r="B85" t="s">
        <v>228</v>
      </c>
      <c r="C85" t="s">
        <v>72</v>
      </c>
      <c r="E85" t="str">
        <f>"009940476459"</f>
        <v>009940476459</v>
      </c>
      <c r="F85" s="2">
        <v>44173</v>
      </c>
      <c r="G85">
        <v>202106</v>
      </c>
      <c r="H85" t="s">
        <v>112</v>
      </c>
      <c r="I85" t="s">
        <v>92</v>
      </c>
      <c r="J85" t="s">
        <v>242</v>
      </c>
      <c r="K85" t="s">
        <v>75</v>
      </c>
      <c r="L85" t="s">
        <v>109</v>
      </c>
      <c r="M85" t="s">
        <v>110</v>
      </c>
      <c r="N85" t="s">
        <v>580</v>
      </c>
      <c r="O85" t="s">
        <v>93</v>
      </c>
      <c r="P85" t="str">
        <f>"NOREF                         "</f>
        <v xml:space="preserve">NOREF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6.18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G85">
        <v>0</v>
      </c>
      <c r="BH85">
        <v>1</v>
      </c>
      <c r="BI85">
        <v>1</v>
      </c>
      <c r="BJ85">
        <v>0.5</v>
      </c>
      <c r="BK85">
        <v>1</v>
      </c>
      <c r="BL85">
        <v>70.06</v>
      </c>
      <c r="BM85">
        <v>10.51</v>
      </c>
      <c r="BN85">
        <v>80.569999999999993</v>
      </c>
      <c r="BO85">
        <v>80.569999999999993</v>
      </c>
      <c r="BQ85" t="s">
        <v>200</v>
      </c>
      <c r="BR85" t="s">
        <v>394</v>
      </c>
      <c r="BS85" s="2">
        <v>44174</v>
      </c>
      <c r="BT85" s="3">
        <v>0.67152777777777783</v>
      </c>
      <c r="BU85" t="s">
        <v>254</v>
      </c>
      <c r="BV85" t="s">
        <v>79</v>
      </c>
      <c r="BY85">
        <v>2400</v>
      </c>
      <c r="CC85" t="s">
        <v>110</v>
      </c>
      <c r="CD85">
        <v>2000</v>
      </c>
      <c r="CE85" t="s">
        <v>89</v>
      </c>
      <c r="CF85" s="2">
        <v>44175</v>
      </c>
      <c r="CI85">
        <v>0</v>
      </c>
      <c r="CJ85">
        <v>0</v>
      </c>
      <c r="CK85" t="s">
        <v>359</v>
      </c>
      <c r="CL85" t="s">
        <v>81</v>
      </c>
    </row>
    <row r="86" spans="1:90" hidden="1" x14ac:dyDescent="0.25">
      <c r="A86" t="s">
        <v>241</v>
      </c>
      <c r="B86" t="s">
        <v>228</v>
      </c>
      <c r="C86" t="s">
        <v>72</v>
      </c>
      <c r="E86" t="str">
        <f>"009940476456"</f>
        <v>009940476456</v>
      </c>
      <c r="F86" s="2">
        <v>44173</v>
      </c>
      <c r="G86">
        <v>202106</v>
      </c>
      <c r="H86" t="s">
        <v>112</v>
      </c>
      <c r="I86" t="s">
        <v>92</v>
      </c>
      <c r="J86" t="s">
        <v>242</v>
      </c>
      <c r="K86" t="s">
        <v>75</v>
      </c>
      <c r="L86" t="s">
        <v>109</v>
      </c>
      <c r="M86" t="s">
        <v>110</v>
      </c>
      <c r="N86" t="s">
        <v>580</v>
      </c>
      <c r="O86" t="s">
        <v>93</v>
      </c>
      <c r="P86" t="str">
        <f>"NOREF                         "</f>
        <v xml:space="preserve">NOREF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6.18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G86">
        <v>0</v>
      </c>
      <c r="BH86">
        <v>1</v>
      </c>
      <c r="BI86">
        <v>1</v>
      </c>
      <c r="BJ86">
        <v>0.5</v>
      </c>
      <c r="BK86">
        <v>1</v>
      </c>
      <c r="BL86">
        <v>70.06</v>
      </c>
      <c r="BM86">
        <v>10.51</v>
      </c>
      <c r="BN86">
        <v>80.569999999999993</v>
      </c>
      <c r="BO86">
        <v>80.569999999999993</v>
      </c>
      <c r="BQ86" t="s">
        <v>175</v>
      </c>
      <c r="BR86" t="s">
        <v>200</v>
      </c>
      <c r="BS86" s="2">
        <v>44174</v>
      </c>
      <c r="BT86" s="3">
        <v>0.67291666666666661</v>
      </c>
      <c r="BU86" t="s">
        <v>240</v>
      </c>
      <c r="BV86" t="s">
        <v>79</v>
      </c>
      <c r="BY86">
        <v>2400</v>
      </c>
      <c r="CC86" t="s">
        <v>110</v>
      </c>
      <c r="CD86">
        <v>2000</v>
      </c>
      <c r="CE86" t="s">
        <v>89</v>
      </c>
      <c r="CF86" s="2">
        <v>44175</v>
      </c>
      <c r="CI86">
        <v>0</v>
      </c>
      <c r="CJ86">
        <v>0</v>
      </c>
      <c r="CK86" t="s">
        <v>359</v>
      </c>
      <c r="CL86" t="s">
        <v>81</v>
      </c>
    </row>
    <row r="87" spans="1:90" hidden="1" x14ac:dyDescent="0.25">
      <c r="A87" t="s">
        <v>241</v>
      </c>
      <c r="B87" t="s">
        <v>228</v>
      </c>
      <c r="C87" t="s">
        <v>72</v>
      </c>
      <c r="E87" t="str">
        <f>"009940154435"</f>
        <v>009940154435</v>
      </c>
      <c r="F87" s="2">
        <v>44175</v>
      </c>
      <c r="G87">
        <v>202106</v>
      </c>
      <c r="H87" t="s">
        <v>87</v>
      </c>
      <c r="I87" t="s">
        <v>88</v>
      </c>
      <c r="J87" t="s">
        <v>269</v>
      </c>
      <c r="K87" t="s">
        <v>75</v>
      </c>
      <c r="L87" t="s">
        <v>109</v>
      </c>
      <c r="M87" t="s">
        <v>110</v>
      </c>
      <c r="N87" t="s">
        <v>229</v>
      </c>
      <c r="O87" t="s">
        <v>93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9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G87">
        <v>0</v>
      </c>
      <c r="BH87">
        <v>1</v>
      </c>
      <c r="BI87">
        <v>1</v>
      </c>
      <c r="BJ87">
        <v>0.1</v>
      </c>
      <c r="BK87">
        <v>1</v>
      </c>
      <c r="BL87">
        <v>99.71</v>
      </c>
      <c r="BM87">
        <v>14.96</v>
      </c>
      <c r="BN87">
        <v>114.67</v>
      </c>
      <c r="BO87">
        <v>114.67</v>
      </c>
      <c r="BQ87" t="s">
        <v>252</v>
      </c>
      <c r="BR87" t="s">
        <v>273</v>
      </c>
      <c r="BS87" s="2">
        <v>44179</v>
      </c>
      <c r="BT87" s="3">
        <v>0.42291666666666666</v>
      </c>
      <c r="BU87" t="s">
        <v>254</v>
      </c>
      <c r="BV87" t="s">
        <v>79</v>
      </c>
      <c r="BY87">
        <v>600</v>
      </c>
      <c r="CC87" t="s">
        <v>110</v>
      </c>
      <c r="CD87">
        <v>2016</v>
      </c>
      <c r="CE87" t="s">
        <v>89</v>
      </c>
      <c r="CF87" s="2">
        <v>44180</v>
      </c>
      <c r="CI87">
        <v>2</v>
      </c>
      <c r="CJ87">
        <v>2</v>
      </c>
      <c r="CK87" t="s">
        <v>129</v>
      </c>
      <c r="CL87" t="s">
        <v>81</v>
      </c>
    </row>
    <row r="88" spans="1:90" hidden="1" x14ac:dyDescent="0.25">
      <c r="A88" t="s">
        <v>241</v>
      </c>
      <c r="B88" t="s">
        <v>228</v>
      </c>
      <c r="C88" t="s">
        <v>72</v>
      </c>
      <c r="E88" t="str">
        <f>"009940347773"</f>
        <v>009940347773</v>
      </c>
      <c r="F88" s="2">
        <v>44168</v>
      </c>
      <c r="G88">
        <v>202106</v>
      </c>
      <c r="H88" t="s">
        <v>177</v>
      </c>
      <c r="I88" t="s">
        <v>178</v>
      </c>
      <c r="J88" t="s">
        <v>395</v>
      </c>
      <c r="K88" t="s">
        <v>75</v>
      </c>
      <c r="L88" t="s">
        <v>109</v>
      </c>
      <c r="M88" t="s">
        <v>110</v>
      </c>
      <c r="N88" t="s">
        <v>229</v>
      </c>
      <c r="O88" t="s">
        <v>93</v>
      </c>
      <c r="P88" t="str">
        <f>"NA                            "</f>
        <v xml:space="preserve">NA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6.18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G88">
        <v>0</v>
      </c>
      <c r="BH88">
        <v>1</v>
      </c>
      <c r="BI88">
        <v>1</v>
      </c>
      <c r="BJ88">
        <v>9.6</v>
      </c>
      <c r="BK88">
        <v>10</v>
      </c>
      <c r="BL88">
        <v>70.06</v>
      </c>
      <c r="BM88">
        <v>10.51</v>
      </c>
      <c r="BN88">
        <v>80.569999999999993</v>
      </c>
      <c r="BO88">
        <v>80.569999999999993</v>
      </c>
      <c r="BQ88" t="s">
        <v>200</v>
      </c>
      <c r="BR88" t="s">
        <v>396</v>
      </c>
      <c r="BS88" s="2">
        <v>44169</v>
      </c>
      <c r="BT88" s="3">
        <v>0.70486111111111116</v>
      </c>
      <c r="BU88" t="s">
        <v>167</v>
      </c>
      <c r="BV88" t="s">
        <v>79</v>
      </c>
      <c r="BY88">
        <v>48000</v>
      </c>
      <c r="CC88" t="s">
        <v>110</v>
      </c>
      <c r="CD88">
        <v>2013</v>
      </c>
      <c r="CE88" t="s">
        <v>89</v>
      </c>
      <c r="CF88" s="2">
        <v>44170</v>
      </c>
      <c r="CI88">
        <v>1</v>
      </c>
      <c r="CJ88">
        <v>1</v>
      </c>
      <c r="CK88" t="s">
        <v>359</v>
      </c>
      <c r="CL88" t="s">
        <v>81</v>
      </c>
    </row>
    <row r="89" spans="1:90" x14ac:dyDescent="0.25">
      <c r="A89" t="s">
        <v>241</v>
      </c>
      <c r="B89" t="s">
        <v>228</v>
      </c>
      <c r="C89" t="s">
        <v>72</v>
      </c>
      <c r="E89" t="str">
        <f>"009939667710"</f>
        <v>009939667710</v>
      </c>
      <c r="F89" s="2">
        <v>44172</v>
      </c>
      <c r="G89">
        <v>202106</v>
      </c>
      <c r="H89" t="s">
        <v>90</v>
      </c>
      <c r="I89" t="s">
        <v>91</v>
      </c>
      <c r="J89" t="s">
        <v>229</v>
      </c>
      <c r="K89" t="s">
        <v>75</v>
      </c>
      <c r="L89" t="s">
        <v>95</v>
      </c>
      <c r="M89" t="s">
        <v>96</v>
      </c>
      <c r="N89" t="s">
        <v>324</v>
      </c>
      <c r="O89" t="s">
        <v>184</v>
      </c>
      <c r="P89" t="str">
        <f>"LINDI                         "</f>
        <v xml:space="preserve">LINDI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8.24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86.74</v>
      </c>
      <c r="BM89">
        <v>13.01</v>
      </c>
      <c r="BN89">
        <v>99.75</v>
      </c>
      <c r="BO89">
        <v>99.75</v>
      </c>
      <c r="BQ89" t="s">
        <v>324</v>
      </c>
      <c r="BR89" t="s">
        <v>236</v>
      </c>
      <c r="BS89" s="2">
        <v>44174</v>
      </c>
      <c r="BT89" s="3">
        <v>0.44166666666666665</v>
      </c>
      <c r="BU89" t="s">
        <v>325</v>
      </c>
      <c r="BV89" t="s">
        <v>81</v>
      </c>
      <c r="BW89" t="s">
        <v>97</v>
      </c>
      <c r="BX89" t="s">
        <v>131</v>
      </c>
      <c r="BY89">
        <v>1200</v>
      </c>
      <c r="BZ89" t="s">
        <v>211</v>
      </c>
      <c r="CA89" t="s">
        <v>151</v>
      </c>
      <c r="CC89" t="s">
        <v>96</v>
      </c>
      <c r="CD89">
        <v>8000</v>
      </c>
      <c r="CE89" t="s">
        <v>89</v>
      </c>
      <c r="CF89" s="2">
        <v>44175</v>
      </c>
      <c r="CI89">
        <v>1</v>
      </c>
      <c r="CJ89">
        <v>2</v>
      </c>
      <c r="CK89">
        <v>31</v>
      </c>
      <c r="CL89" t="s">
        <v>81</v>
      </c>
    </row>
    <row r="90" spans="1:90" x14ac:dyDescent="0.25">
      <c r="A90" t="s">
        <v>241</v>
      </c>
      <c r="B90" t="s">
        <v>228</v>
      </c>
      <c r="C90" t="s">
        <v>72</v>
      </c>
      <c r="E90" t="str">
        <f>"009939667711"</f>
        <v>009939667711</v>
      </c>
      <c r="F90" s="2">
        <v>44172</v>
      </c>
      <c r="G90">
        <v>202106</v>
      </c>
      <c r="H90" t="s">
        <v>90</v>
      </c>
      <c r="I90" t="s">
        <v>91</v>
      </c>
      <c r="J90" t="s">
        <v>259</v>
      </c>
      <c r="K90" t="s">
        <v>75</v>
      </c>
      <c r="L90" t="s">
        <v>260</v>
      </c>
      <c r="M90" t="s">
        <v>261</v>
      </c>
      <c r="N90" t="s">
        <v>586</v>
      </c>
      <c r="O90" t="s">
        <v>184</v>
      </c>
      <c r="P90" t="str">
        <f>"LINDI                         "</f>
        <v xml:space="preserve">LINDI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8.24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86.74</v>
      </c>
      <c r="BM90">
        <v>13.01</v>
      </c>
      <c r="BN90">
        <v>99.75</v>
      </c>
      <c r="BO90">
        <v>99.75</v>
      </c>
      <c r="BQ90" t="s">
        <v>263</v>
      </c>
      <c r="BR90" t="s">
        <v>236</v>
      </c>
      <c r="BS90" s="2">
        <v>44174</v>
      </c>
      <c r="BT90" s="3">
        <v>0.625</v>
      </c>
      <c r="BU90" t="s">
        <v>264</v>
      </c>
      <c r="BV90" t="s">
        <v>81</v>
      </c>
      <c r="BW90" t="s">
        <v>143</v>
      </c>
      <c r="BX90" t="s">
        <v>72</v>
      </c>
      <c r="BY90">
        <v>1200</v>
      </c>
      <c r="BZ90" t="s">
        <v>211</v>
      </c>
      <c r="CA90" t="s">
        <v>265</v>
      </c>
      <c r="CC90" t="s">
        <v>261</v>
      </c>
      <c r="CD90">
        <v>9300</v>
      </c>
      <c r="CE90" t="s">
        <v>89</v>
      </c>
      <c r="CF90" s="2">
        <v>44175</v>
      </c>
      <c r="CI90">
        <v>2</v>
      </c>
      <c r="CJ90">
        <v>2</v>
      </c>
      <c r="CK90">
        <v>31</v>
      </c>
      <c r="CL90" t="s">
        <v>81</v>
      </c>
    </row>
    <row r="91" spans="1:90" x14ac:dyDescent="0.25">
      <c r="A91" t="s">
        <v>241</v>
      </c>
      <c r="B91" t="s">
        <v>228</v>
      </c>
      <c r="C91" t="s">
        <v>72</v>
      </c>
      <c r="E91" t="str">
        <f>"009939667715"</f>
        <v>009939667715</v>
      </c>
      <c r="F91" s="2">
        <v>44169</v>
      </c>
      <c r="G91">
        <v>202106</v>
      </c>
      <c r="H91" t="s">
        <v>90</v>
      </c>
      <c r="I91" t="s">
        <v>91</v>
      </c>
      <c r="J91" t="s">
        <v>312</v>
      </c>
      <c r="K91" t="s">
        <v>75</v>
      </c>
      <c r="L91" t="s">
        <v>109</v>
      </c>
      <c r="M91" t="s">
        <v>110</v>
      </c>
      <c r="N91" t="s">
        <v>318</v>
      </c>
      <c r="O91" t="s">
        <v>184</v>
      </c>
      <c r="P91" t="str">
        <f>"LINDI                         "</f>
        <v xml:space="preserve">LINDI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8.24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G91">
        <v>0</v>
      </c>
      <c r="BH91">
        <v>1</v>
      </c>
      <c r="BI91">
        <v>1</v>
      </c>
      <c r="BJ91">
        <v>2.4</v>
      </c>
      <c r="BK91">
        <v>3</v>
      </c>
      <c r="BL91">
        <v>86.74</v>
      </c>
      <c r="BM91">
        <v>13.01</v>
      </c>
      <c r="BN91">
        <v>99.75</v>
      </c>
      <c r="BO91">
        <v>99.75</v>
      </c>
      <c r="BQ91" t="s">
        <v>318</v>
      </c>
      <c r="BR91" t="s">
        <v>236</v>
      </c>
      <c r="BS91" s="2">
        <v>44172</v>
      </c>
      <c r="BT91" s="3">
        <v>0.4861111111111111</v>
      </c>
      <c r="BU91" t="s">
        <v>319</v>
      </c>
      <c r="BV91" t="s">
        <v>79</v>
      </c>
      <c r="BY91">
        <v>12000</v>
      </c>
      <c r="BZ91" t="s">
        <v>185</v>
      </c>
      <c r="CC91" t="s">
        <v>110</v>
      </c>
      <c r="CD91">
        <v>2000</v>
      </c>
      <c r="CE91" t="s">
        <v>89</v>
      </c>
      <c r="CF91" s="2">
        <v>44173</v>
      </c>
      <c r="CI91">
        <v>1</v>
      </c>
      <c r="CJ91">
        <v>1</v>
      </c>
      <c r="CK91">
        <v>31</v>
      </c>
      <c r="CL91" t="s">
        <v>81</v>
      </c>
    </row>
    <row r="92" spans="1:90" x14ac:dyDescent="0.25">
      <c r="A92" t="s">
        <v>241</v>
      </c>
      <c r="B92" t="s">
        <v>228</v>
      </c>
      <c r="C92" t="s">
        <v>72</v>
      </c>
      <c r="E92" t="str">
        <f>"009940259482"</f>
        <v>009940259482</v>
      </c>
      <c r="F92" s="2">
        <v>44169</v>
      </c>
      <c r="G92">
        <v>202106</v>
      </c>
      <c r="H92" t="s">
        <v>360</v>
      </c>
      <c r="I92" t="s">
        <v>361</v>
      </c>
      <c r="J92" t="s">
        <v>362</v>
      </c>
      <c r="K92" t="s">
        <v>75</v>
      </c>
      <c r="L92" t="s">
        <v>109</v>
      </c>
      <c r="M92" t="s">
        <v>110</v>
      </c>
      <c r="N92" t="s">
        <v>234</v>
      </c>
      <c r="O92" t="s">
        <v>93</v>
      </c>
      <c r="P92" t="str">
        <f>"SHERVAL NAIDOO                "</f>
        <v xml:space="preserve">SHERVAL NAIDOO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12.36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135.12</v>
      </c>
      <c r="BM92">
        <v>20.27</v>
      </c>
      <c r="BN92">
        <v>155.38999999999999</v>
      </c>
      <c r="BO92">
        <v>155.38999999999999</v>
      </c>
      <c r="BQ92" t="s">
        <v>348</v>
      </c>
      <c r="BR92" t="s">
        <v>363</v>
      </c>
      <c r="BS92" s="2">
        <v>44172</v>
      </c>
      <c r="BT92" s="3">
        <v>0.42777777777777781</v>
      </c>
      <c r="BU92" t="s">
        <v>240</v>
      </c>
      <c r="BV92" t="s">
        <v>79</v>
      </c>
      <c r="BY92">
        <v>1200</v>
      </c>
      <c r="CC92" t="s">
        <v>110</v>
      </c>
      <c r="CD92">
        <v>2013</v>
      </c>
      <c r="CE92" t="s">
        <v>89</v>
      </c>
      <c r="CF92" s="2">
        <v>44173</v>
      </c>
      <c r="CI92">
        <v>1</v>
      </c>
      <c r="CJ92">
        <v>1</v>
      </c>
      <c r="CK92" t="s">
        <v>364</v>
      </c>
      <c r="CL92" t="s">
        <v>81</v>
      </c>
    </row>
    <row r="93" spans="1:90" hidden="1" x14ac:dyDescent="0.25">
      <c r="A93" t="s">
        <v>241</v>
      </c>
      <c r="B93" t="s">
        <v>228</v>
      </c>
      <c r="C93" t="s">
        <v>72</v>
      </c>
      <c r="E93" t="str">
        <f>"009937273188"</f>
        <v>009937273188</v>
      </c>
      <c r="F93" s="2">
        <v>44176</v>
      </c>
      <c r="G93">
        <v>202106</v>
      </c>
      <c r="H93" t="s">
        <v>109</v>
      </c>
      <c r="I93" t="s">
        <v>110</v>
      </c>
      <c r="J93" t="s">
        <v>229</v>
      </c>
      <c r="K93" t="s">
        <v>75</v>
      </c>
      <c r="L93" t="s">
        <v>146</v>
      </c>
      <c r="M93" t="s">
        <v>147</v>
      </c>
      <c r="N93" t="s">
        <v>229</v>
      </c>
      <c r="O93" t="s">
        <v>78</v>
      </c>
      <c r="P93" t="str">
        <f>"NA                            "</f>
        <v xml:space="preserve">NA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18.14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G93">
        <v>0</v>
      </c>
      <c r="BH93">
        <v>1</v>
      </c>
      <c r="BI93">
        <v>2.9</v>
      </c>
      <c r="BJ93">
        <v>4.5</v>
      </c>
      <c r="BK93">
        <v>4.5</v>
      </c>
      <c r="BL93">
        <v>190.86</v>
      </c>
      <c r="BM93">
        <v>28.63</v>
      </c>
      <c r="BN93">
        <v>219.49</v>
      </c>
      <c r="BO93">
        <v>219.49</v>
      </c>
      <c r="BQ93" t="s">
        <v>200</v>
      </c>
      <c r="BR93" t="s">
        <v>247</v>
      </c>
      <c r="BS93" s="2">
        <v>44179</v>
      </c>
      <c r="BT93" s="3">
        <v>0.49444444444444446</v>
      </c>
      <c r="BU93" t="s">
        <v>409</v>
      </c>
      <c r="BV93" t="s">
        <v>79</v>
      </c>
      <c r="BY93">
        <v>22592.2</v>
      </c>
      <c r="BZ93" t="s">
        <v>80</v>
      </c>
      <c r="CA93" t="s">
        <v>148</v>
      </c>
      <c r="CC93" t="s">
        <v>147</v>
      </c>
      <c r="CD93">
        <v>3370</v>
      </c>
      <c r="CE93" t="s">
        <v>89</v>
      </c>
      <c r="CF93" s="2">
        <v>44182</v>
      </c>
      <c r="CI93">
        <v>3</v>
      </c>
      <c r="CJ93">
        <v>1</v>
      </c>
      <c r="CK93">
        <v>23</v>
      </c>
      <c r="CL93" t="s">
        <v>81</v>
      </c>
    </row>
    <row r="94" spans="1:90" hidden="1" x14ac:dyDescent="0.25">
      <c r="A94" t="s">
        <v>241</v>
      </c>
      <c r="B94" t="s">
        <v>228</v>
      </c>
      <c r="C94" t="s">
        <v>72</v>
      </c>
      <c r="E94" t="str">
        <f>"009937273186"</f>
        <v>009937273186</v>
      </c>
      <c r="F94" s="2">
        <v>44176</v>
      </c>
      <c r="G94">
        <v>202106</v>
      </c>
      <c r="H94" t="s">
        <v>109</v>
      </c>
      <c r="I94" t="s">
        <v>110</v>
      </c>
      <c r="J94" t="s">
        <v>229</v>
      </c>
      <c r="K94" t="s">
        <v>75</v>
      </c>
      <c r="L94" t="s">
        <v>109</v>
      </c>
      <c r="M94" t="s">
        <v>110</v>
      </c>
      <c r="N94" t="s">
        <v>410</v>
      </c>
      <c r="O94" t="s">
        <v>184</v>
      </c>
      <c r="P94" t="str">
        <f>"NA                            "</f>
        <v xml:space="preserve">NA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3.43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36.14</v>
      </c>
      <c r="BM94">
        <v>5.42</v>
      </c>
      <c r="BN94">
        <v>41.56</v>
      </c>
      <c r="BO94">
        <v>41.56</v>
      </c>
      <c r="BQ94" t="s">
        <v>200</v>
      </c>
      <c r="BR94" t="s">
        <v>247</v>
      </c>
      <c r="BS94" s="2">
        <v>44179</v>
      </c>
      <c r="BT94" s="3">
        <v>0.40902777777777777</v>
      </c>
      <c r="BU94" t="s">
        <v>411</v>
      </c>
      <c r="BV94" t="s">
        <v>79</v>
      </c>
      <c r="BY94">
        <v>1200</v>
      </c>
      <c r="BZ94" t="s">
        <v>185</v>
      </c>
      <c r="CC94" t="s">
        <v>110</v>
      </c>
      <c r="CD94">
        <v>2196</v>
      </c>
      <c r="CE94" t="s">
        <v>89</v>
      </c>
      <c r="CF94" s="2">
        <v>44179</v>
      </c>
      <c r="CI94">
        <v>1</v>
      </c>
      <c r="CJ94">
        <v>1</v>
      </c>
      <c r="CK94">
        <v>32</v>
      </c>
      <c r="CL94" t="s">
        <v>81</v>
      </c>
    </row>
    <row r="95" spans="1:90" hidden="1" x14ac:dyDescent="0.25">
      <c r="A95" t="s">
        <v>241</v>
      </c>
      <c r="B95" t="s">
        <v>228</v>
      </c>
      <c r="C95" t="s">
        <v>72</v>
      </c>
      <c r="E95" t="str">
        <f>"009937273187"</f>
        <v>009937273187</v>
      </c>
      <c r="F95" s="2">
        <v>44176</v>
      </c>
      <c r="G95">
        <v>202106</v>
      </c>
      <c r="H95" t="s">
        <v>109</v>
      </c>
      <c r="I95" t="s">
        <v>110</v>
      </c>
      <c r="J95" t="s">
        <v>229</v>
      </c>
      <c r="K95" t="s">
        <v>75</v>
      </c>
      <c r="L95" t="s">
        <v>122</v>
      </c>
      <c r="M95" t="s">
        <v>123</v>
      </c>
      <c r="N95" t="s">
        <v>584</v>
      </c>
      <c r="O95" t="s">
        <v>184</v>
      </c>
      <c r="P95" t="str">
        <f>"NA                            "</f>
        <v xml:space="preserve">NA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8.24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86.74</v>
      </c>
      <c r="BM95">
        <v>13.01</v>
      </c>
      <c r="BN95">
        <v>99.75</v>
      </c>
      <c r="BO95">
        <v>99.75</v>
      </c>
      <c r="BQ95" t="s">
        <v>200</v>
      </c>
      <c r="BR95" t="s">
        <v>247</v>
      </c>
      <c r="BS95" s="2">
        <v>44179</v>
      </c>
      <c r="BT95" s="3">
        <v>0.53125</v>
      </c>
      <c r="BU95" t="s">
        <v>412</v>
      </c>
      <c r="BV95" t="s">
        <v>79</v>
      </c>
      <c r="BY95">
        <v>1200</v>
      </c>
      <c r="BZ95" t="s">
        <v>185</v>
      </c>
      <c r="CA95" t="s">
        <v>166</v>
      </c>
      <c r="CC95" t="s">
        <v>123</v>
      </c>
      <c r="CD95">
        <v>4000</v>
      </c>
      <c r="CE95" t="s">
        <v>89</v>
      </c>
      <c r="CF95" s="2">
        <v>44180</v>
      </c>
      <c r="CI95">
        <v>1</v>
      </c>
      <c r="CJ95">
        <v>1</v>
      </c>
      <c r="CK95">
        <v>31</v>
      </c>
      <c r="CL95" t="s">
        <v>81</v>
      </c>
    </row>
    <row r="96" spans="1:90" hidden="1" x14ac:dyDescent="0.25">
      <c r="A96" t="s">
        <v>241</v>
      </c>
      <c r="B96" t="s">
        <v>228</v>
      </c>
      <c r="C96" t="s">
        <v>72</v>
      </c>
      <c r="E96" t="str">
        <f>"009940615462"</f>
        <v>009940615462</v>
      </c>
      <c r="F96" s="2">
        <v>44174</v>
      </c>
      <c r="G96">
        <v>202106</v>
      </c>
      <c r="H96" t="s">
        <v>136</v>
      </c>
      <c r="I96" t="s">
        <v>137</v>
      </c>
      <c r="J96" t="s">
        <v>413</v>
      </c>
      <c r="K96" t="s">
        <v>75</v>
      </c>
      <c r="L96" t="s">
        <v>109</v>
      </c>
      <c r="M96" t="s">
        <v>110</v>
      </c>
      <c r="N96" t="s">
        <v>580</v>
      </c>
      <c r="O96" t="s">
        <v>93</v>
      </c>
      <c r="P96" t="str">
        <f>"NA                            "</f>
        <v xml:space="preserve">NA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6.18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G96">
        <v>0</v>
      </c>
      <c r="BH96">
        <v>1</v>
      </c>
      <c r="BI96">
        <v>0.2</v>
      </c>
      <c r="BJ96">
        <v>1</v>
      </c>
      <c r="BK96">
        <v>1</v>
      </c>
      <c r="BL96">
        <v>70.06</v>
      </c>
      <c r="BM96">
        <v>10.51</v>
      </c>
      <c r="BN96">
        <v>80.569999999999993</v>
      </c>
      <c r="BO96">
        <v>80.569999999999993</v>
      </c>
      <c r="BQ96" t="s">
        <v>200</v>
      </c>
      <c r="BR96" t="s">
        <v>200</v>
      </c>
      <c r="BS96" s="2">
        <v>44175</v>
      </c>
      <c r="BT96" s="3">
        <v>0.39166666666666666</v>
      </c>
      <c r="BU96" t="s">
        <v>254</v>
      </c>
      <c r="BV96" t="s">
        <v>79</v>
      </c>
      <c r="BY96">
        <v>5036.0600000000004</v>
      </c>
      <c r="CC96" t="s">
        <v>110</v>
      </c>
      <c r="CD96">
        <v>2013</v>
      </c>
      <c r="CE96" t="s">
        <v>89</v>
      </c>
      <c r="CF96" s="2">
        <v>44175</v>
      </c>
      <c r="CI96">
        <v>1</v>
      </c>
      <c r="CJ96">
        <v>1</v>
      </c>
      <c r="CK96" t="s">
        <v>190</v>
      </c>
      <c r="CL96" t="s">
        <v>81</v>
      </c>
    </row>
    <row r="97" spans="1:90" x14ac:dyDescent="0.25">
      <c r="A97" t="s">
        <v>241</v>
      </c>
      <c r="B97" t="s">
        <v>228</v>
      </c>
      <c r="C97" t="s">
        <v>72</v>
      </c>
      <c r="E97" t="str">
        <f>"009940569406"</f>
        <v>009940569406</v>
      </c>
      <c r="F97" s="2">
        <v>44183</v>
      </c>
      <c r="G97">
        <v>202106</v>
      </c>
      <c r="H97" t="s">
        <v>90</v>
      </c>
      <c r="I97" t="s">
        <v>91</v>
      </c>
      <c r="J97" t="s">
        <v>312</v>
      </c>
      <c r="K97" t="s">
        <v>75</v>
      </c>
      <c r="L97" t="s">
        <v>360</v>
      </c>
      <c r="M97" t="s">
        <v>361</v>
      </c>
      <c r="N97" t="s">
        <v>234</v>
      </c>
      <c r="O97" t="s">
        <v>93</v>
      </c>
      <c r="P97" t="str">
        <f>".                             "</f>
        <v xml:space="preserve">.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8.24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91.74</v>
      </c>
      <c r="BM97">
        <v>13.76</v>
      </c>
      <c r="BN97">
        <v>105.5</v>
      </c>
      <c r="BO97">
        <v>105.5</v>
      </c>
      <c r="BP97" t="s">
        <v>518</v>
      </c>
      <c r="BQ97" t="s">
        <v>519</v>
      </c>
      <c r="BR97" t="s">
        <v>236</v>
      </c>
      <c r="BS97" s="2">
        <v>44187</v>
      </c>
      <c r="BT97" s="3">
        <v>0.8652777777777777</v>
      </c>
      <c r="BU97" t="s">
        <v>446</v>
      </c>
      <c r="BV97" t="s">
        <v>81</v>
      </c>
      <c r="BW97" t="s">
        <v>191</v>
      </c>
      <c r="BX97" t="s">
        <v>124</v>
      </c>
      <c r="BY97">
        <v>1200</v>
      </c>
      <c r="CA97" t="s">
        <v>174</v>
      </c>
      <c r="CC97" t="s">
        <v>361</v>
      </c>
      <c r="CD97">
        <v>4285</v>
      </c>
      <c r="CE97" t="s">
        <v>89</v>
      </c>
      <c r="CF97" s="2">
        <v>44188</v>
      </c>
      <c r="CI97">
        <v>2</v>
      </c>
      <c r="CJ97">
        <v>2</v>
      </c>
      <c r="CK97" t="s">
        <v>126</v>
      </c>
      <c r="CL97" t="s">
        <v>81</v>
      </c>
    </row>
    <row r="98" spans="1:90" x14ac:dyDescent="0.25">
      <c r="A98" t="s">
        <v>241</v>
      </c>
      <c r="B98" t="s">
        <v>228</v>
      </c>
      <c r="C98" t="s">
        <v>72</v>
      </c>
      <c r="E98" t="str">
        <f>"009940569489"</f>
        <v>009940569489</v>
      </c>
      <c r="F98" s="2">
        <v>44183</v>
      </c>
      <c r="G98">
        <v>202106</v>
      </c>
      <c r="H98" t="s">
        <v>90</v>
      </c>
      <c r="I98" t="s">
        <v>91</v>
      </c>
      <c r="J98" t="s">
        <v>312</v>
      </c>
      <c r="K98" t="s">
        <v>75</v>
      </c>
      <c r="L98" t="s">
        <v>193</v>
      </c>
      <c r="M98" t="s">
        <v>96</v>
      </c>
      <c r="N98" t="s">
        <v>234</v>
      </c>
      <c r="O98" t="s">
        <v>93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9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99.71</v>
      </c>
      <c r="BM98">
        <v>14.96</v>
      </c>
      <c r="BN98">
        <v>114.67</v>
      </c>
      <c r="BO98">
        <v>114.67</v>
      </c>
      <c r="BQ98" t="s">
        <v>514</v>
      </c>
      <c r="BR98" t="s">
        <v>441</v>
      </c>
      <c r="BS98" s="2">
        <v>44187</v>
      </c>
      <c r="BT98" s="3">
        <v>0.3979166666666667</v>
      </c>
      <c r="BU98" t="s">
        <v>515</v>
      </c>
      <c r="BV98" t="s">
        <v>79</v>
      </c>
      <c r="BY98">
        <v>1200</v>
      </c>
      <c r="CA98" t="s">
        <v>217</v>
      </c>
      <c r="CC98" t="s">
        <v>96</v>
      </c>
      <c r="CD98">
        <v>8000</v>
      </c>
      <c r="CE98" t="s">
        <v>89</v>
      </c>
      <c r="CF98" s="2">
        <v>44188</v>
      </c>
      <c r="CI98">
        <v>3</v>
      </c>
      <c r="CJ98">
        <v>2</v>
      </c>
      <c r="CK98" t="s">
        <v>129</v>
      </c>
      <c r="CL98" t="s">
        <v>81</v>
      </c>
    </row>
    <row r="99" spans="1:90" x14ac:dyDescent="0.25">
      <c r="A99" t="s">
        <v>241</v>
      </c>
      <c r="B99" t="s">
        <v>228</v>
      </c>
      <c r="C99" t="s">
        <v>72</v>
      </c>
      <c r="E99" t="str">
        <f>"009940569490"</f>
        <v>009940569490</v>
      </c>
      <c r="F99" s="2">
        <v>44183</v>
      </c>
      <c r="G99">
        <v>202106</v>
      </c>
      <c r="H99" t="s">
        <v>90</v>
      </c>
      <c r="I99" t="s">
        <v>91</v>
      </c>
      <c r="J99" t="s">
        <v>312</v>
      </c>
      <c r="K99" t="s">
        <v>75</v>
      </c>
      <c r="L99" t="s">
        <v>180</v>
      </c>
      <c r="M99" t="s">
        <v>181</v>
      </c>
      <c r="N99" t="s">
        <v>234</v>
      </c>
      <c r="O99" t="s">
        <v>93</v>
      </c>
      <c r="P99" t="str">
        <f>"CARDIES                       "</f>
        <v xml:space="preserve">CARDIES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7.56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84.52</v>
      </c>
      <c r="BM99">
        <v>12.68</v>
      </c>
      <c r="BN99">
        <v>97.2</v>
      </c>
      <c r="BO99">
        <v>97.2</v>
      </c>
      <c r="BQ99" t="s">
        <v>508</v>
      </c>
      <c r="BR99" t="s">
        <v>475</v>
      </c>
      <c r="BS99" s="2">
        <v>44186</v>
      </c>
      <c r="BT99" s="3">
        <v>0.35902777777777778</v>
      </c>
      <c r="BU99" t="s">
        <v>509</v>
      </c>
      <c r="BV99" t="s">
        <v>79</v>
      </c>
      <c r="BY99">
        <v>1200</v>
      </c>
      <c r="CA99" t="s">
        <v>145</v>
      </c>
      <c r="CC99" t="s">
        <v>181</v>
      </c>
      <c r="CD99">
        <v>4399</v>
      </c>
      <c r="CE99" t="s">
        <v>89</v>
      </c>
      <c r="CF99" s="2">
        <v>44189</v>
      </c>
      <c r="CI99">
        <v>1</v>
      </c>
      <c r="CJ99">
        <v>1</v>
      </c>
      <c r="CK99" t="s">
        <v>94</v>
      </c>
      <c r="CL99" t="s">
        <v>81</v>
      </c>
    </row>
    <row r="100" spans="1:90" hidden="1" x14ac:dyDescent="0.25">
      <c r="A100" t="s">
        <v>241</v>
      </c>
      <c r="B100" t="s">
        <v>228</v>
      </c>
      <c r="C100" t="s">
        <v>72</v>
      </c>
      <c r="E100" t="str">
        <f>"009940482994"</f>
        <v>009940482994</v>
      </c>
      <c r="F100" s="2">
        <v>44175</v>
      </c>
      <c r="G100">
        <v>202106</v>
      </c>
      <c r="H100" t="s">
        <v>122</v>
      </c>
      <c r="I100" t="s">
        <v>123</v>
      </c>
      <c r="J100" t="s">
        <v>422</v>
      </c>
      <c r="K100" t="s">
        <v>75</v>
      </c>
      <c r="L100" t="s">
        <v>109</v>
      </c>
      <c r="M100" t="s">
        <v>110</v>
      </c>
      <c r="N100" t="s">
        <v>229</v>
      </c>
      <c r="O100" t="s">
        <v>93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8.24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G100">
        <v>0</v>
      </c>
      <c r="BH100">
        <v>1</v>
      </c>
      <c r="BI100">
        <v>0.2</v>
      </c>
      <c r="BJ100">
        <v>0.2</v>
      </c>
      <c r="BK100">
        <v>1</v>
      </c>
      <c r="BL100">
        <v>91.74</v>
      </c>
      <c r="BM100">
        <v>13.76</v>
      </c>
      <c r="BN100">
        <v>105.5</v>
      </c>
      <c r="BO100">
        <v>105.5</v>
      </c>
      <c r="BR100" t="s">
        <v>423</v>
      </c>
      <c r="BS100" s="2">
        <v>44176</v>
      </c>
      <c r="BT100" s="3">
        <v>0.36944444444444446</v>
      </c>
      <c r="BU100" t="s">
        <v>254</v>
      </c>
      <c r="BV100" t="s">
        <v>79</v>
      </c>
      <c r="BY100">
        <v>1200</v>
      </c>
      <c r="CC100" t="s">
        <v>110</v>
      </c>
      <c r="CD100">
        <v>2013</v>
      </c>
      <c r="CE100" t="s">
        <v>89</v>
      </c>
      <c r="CF100" s="2">
        <v>44177</v>
      </c>
      <c r="CI100">
        <v>1</v>
      </c>
      <c r="CJ100">
        <v>1</v>
      </c>
      <c r="CK100" t="s">
        <v>331</v>
      </c>
      <c r="CL100" t="s">
        <v>81</v>
      </c>
    </row>
    <row r="101" spans="1:90" hidden="1" x14ac:dyDescent="0.25">
      <c r="A101" t="s">
        <v>241</v>
      </c>
      <c r="B101" t="s">
        <v>228</v>
      </c>
      <c r="C101" t="s">
        <v>72</v>
      </c>
      <c r="E101" t="str">
        <f>"009940569493"</f>
        <v>009940569493</v>
      </c>
      <c r="F101" s="2">
        <v>44174</v>
      </c>
      <c r="G101">
        <v>202106</v>
      </c>
      <c r="H101" t="s">
        <v>90</v>
      </c>
      <c r="I101" t="s">
        <v>91</v>
      </c>
      <c r="J101" t="s">
        <v>312</v>
      </c>
      <c r="K101" t="s">
        <v>75</v>
      </c>
      <c r="L101" t="s">
        <v>122</v>
      </c>
      <c r="M101" t="s">
        <v>123</v>
      </c>
      <c r="N101" t="s">
        <v>424</v>
      </c>
      <c r="O101" t="s">
        <v>93</v>
      </c>
      <c r="P101" t="str">
        <f>"LINDI                         "</f>
        <v xml:space="preserve">LINDI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6.18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G101">
        <v>0</v>
      </c>
      <c r="BH101">
        <v>1</v>
      </c>
      <c r="BI101">
        <v>1</v>
      </c>
      <c r="BJ101">
        <v>2.4</v>
      </c>
      <c r="BK101">
        <v>3</v>
      </c>
      <c r="BL101">
        <v>70.06</v>
      </c>
      <c r="BM101">
        <v>10.51</v>
      </c>
      <c r="BN101">
        <v>80.569999999999993</v>
      </c>
      <c r="BO101">
        <v>80.569999999999993</v>
      </c>
      <c r="BQ101" t="s">
        <v>425</v>
      </c>
      <c r="BR101" t="s">
        <v>236</v>
      </c>
      <c r="BS101" s="2">
        <v>44175</v>
      </c>
      <c r="BT101" s="3">
        <v>0.41597222222222219</v>
      </c>
      <c r="BU101" t="s">
        <v>426</v>
      </c>
      <c r="BV101" t="s">
        <v>79</v>
      </c>
      <c r="BY101">
        <v>12000</v>
      </c>
      <c r="CA101" t="s">
        <v>427</v>
      </c>
      <c r="CC101" t="s">
        <v>123</v>
      </c>
      <c r="CD101">
        <v>3629</v>
      </c>
      <c r="CE101" t="s">
        <v>89</v>
      </c>
      <c r="CF101" s="2">
        <v>44175</v>
      </c>
      <c r="CI101">
        <v>1</v>
      </c>
      <c r="CJ101">
        <v>1</v>
      </c>
      <c r="CK101" t="s">
        <v>190</v>
      </c>
      <c r="CL101" t="s">
        <v>81</v>
      </c>
    </row>
    <row r="102" spans="1:90" x14ac:dyDescent="0.25">
      <c r="A102" t="s">
        <v>241</v>
      </c>
      <c r="B102" t="s">
        <v>228</v>
      </c>
      <c r="C102" t="s">
        <v>72</v>
      </c>
      <c r="E102" t="str">
        <f>"009940569491"</f>
        <v>009940569491</v>
      </c>
      <c r="F102" s="2">
        <v>44183</v>
      </c>
      <c r="G102">
        <v>202106</v>
      </c>
      <c r="H102" t="s">
        <v>90</v>
      </c>
      <c r="I102" t="s">
        <v>91</v>
      </c>
      <c r="J102" t="s">
        <v>312</v>
      </c>
      <c r="K102" t="s">
        <v>75</v>
      </c>
      <c r="L102" t="s">
        <v>87</v>
      </c>
      <c r="M102" t="s">
        <v>88</v>
      </c>
      <c r="N102" t="s">
        <v>234</v>
      </c>
      <c r="O102" t="s">
        <v>93</v>
      </c>
      <c r="P102" t="str">
        <f>"CARDIES                       "</f>
        <v xml:space="preserve">CARDIES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8.93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98.97</v>
      </c>
      <c r="BM102">
        <v>14.85</v>
      </c>
      <c r="BN102">
        <v>113.82</v>
      </c>
      <c r="BO102">
        <v>113.82</v>
      </c>
      <c r="BQ102" t="s">
        <v>510</v>
      </c>
      <c r="BS102" t="s">
        <v>133</v>
      </c>
      <c r="BW102" t="s">
        <v>153</v>
      </c>
      <c r="BX102" t="s">
        <v>149</v>
      </c>
      <c r="BY102">
        <v>1200</v>
      </c>
      <c r="CC102" t="s">
        <v>88</v>
      </c>
      <c r="CD102">
        <v>6000</v>
      </c>
      <c r="CE102" t="s">
        <v>89</v>
      </c>
      <c r="CI102">
        <v>2</v>
      </c>
      <c r="CJ102" t="s">
        <v>133</v>
      </c>
      <c r="CK102" t="s">
        <v>194</v>
      </c>
      <c r="CL102" t="s">
        <v>81</v>
      </c>
    </row>
    <row r="103" spans="1:90" x14ac:dyDescent="0.25">
      <c r="A103" t="s">
        <v>241</v>
      </c>
      <c r="B103" t="s">
        <v>228</v>
      </c>
      <c r="C103" t="s">
        <v>72</v>
      </c>
      <c r="E103" t="str">
        <f>"009940569492"</f>
        <v>009940569492</v>
      </c>
      <c r="F103" s="2">
        <v>44174</v>
      </c>
      <c r="G103">
        <v>202106</v>
      </c>
      <c r="H103" t="s">
        <v>90</v>
      </c>
      <c r="I103" t="s">
        <v>91</v>
      </c>
      <c r="J103" t="s">
        <v>312</v>
      </c>
      <c r="K103" t="s">
        <v>75</v>
      </c>
      <c r="L103" t="s">
        <v>360</v>
      </c>
      <c r="M103" t="s">
        <v>361</v>
      </c>
      <c r="N103" t="s">
        <v>234</v>
      </c>
      <c r="O103" t="s">
        <v>78</v>
      </c>
      <c r="P103" t="str">
        <f>"BUZZ GATE OR PHONE CUSTOMER   "</f>
        <v xml:space="preserve">BUZZ GATE OR PHONE CUSTOMER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15.22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G103">
        <v>0</v>
      </c>
      <c r="BH103">
        <v>2</v>
      </c>
      <c r="BI103">
        <v>2</v>
      </c>
      <c r="BJ103">
        <v>4.8</v>
      </c>
      <c r="BK103">
        <v>5</v>
      </c>
      <c r="BL103">
        <v>160.13999999999999</v>
      </c>
      <c r="BM103">
        <v>24.02</v>
      </c>
      <c r="BN103">
        <v>184.16</v>
      </c>
      <c r="BO103">
        <v>184.16</v>
      </c>
      <c r="BQ103" t="s">
        <v>402</v>
      </c>
      <c r="BR103" t="s">
        <v>236</v>
      </c>
      <c r="BS103" s="2">
        <v>44175</v>
      </c>
      <c r="BT103" s="3">
        <v>0.41666666666666669</v>
      </c>
      <c r="BU103" t="s">
        <v>403</v>
      </c>
      <c r="BV103" t="s">
        <v>79</v>
      </c>
      <c r="BY103">
        <v>12000</v>
      </c>
      <c r="BZ103" t="s">
        <v>80</v>
      </c>
      <c r="CA103" t="s">
        <v>174</v>
      </c>
      <c r="CC103" t="s">
        <v>361</v>
      </c>
      <c r="CD103">
        <v>4285</v>
      </c>
      <c r="CE103" t="s">
        <v>89</v>
      </c>
      <c r="CF103" s="2">
        <v>44176</v>
      </c>
      <c r="CI103">
        <v>2</v>
      </c>
      <c r="CJ103">
        <v>1</v>
      </c>
      <c r="CK103">
        <v>24</v>
      </c>
      <c r="CL103" t="s">
        <v>81</v>
      </c>
    </row>
    <row r="104" spans="1:90" x14ac:dyDescent="0.25">
      <c r="A104" t="s">
        <v>241</v>
      </c>
      <c r="B104" t="s">
        <v>228</v>
      </c>
      <c r="C104" t="s">
        <v>72</v>
      </c>
      <c r="E104" t="str">
        <f>"009940569495"</f>
        <v>009940569495</v>
      </c>
      <c r="F104" s="2">
        <v>44174</v>
      </c>
      <c r="G104">
        <v>202106</v>
      </c>
      <c r="H104" t="s">
        <v>90</v>
      </c>
      <c r="I104" t="s">
        <v>91</v>
      </c>
      <c r="J104" t="s">
        <v>312</v>
      </c>
      <c r="K104" t="s">
        <v>75</v>
      </c>
      <c r="L104" t="s">
        <v>414</v>
      </c>
      <c r="M104" t="s">
        <v>415</v>
      </c>
      <c r="N104" t="s">
        <v>234</v>
      </c>
      <c r="O104" t="s">
        <v>184</v>
      </c>
      <c r="P104" t="str">
        <f>"LINDI                         "</f>
        <v xml:space="preserve">LINDI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8.24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G104">
        <v>0</v>
      </c>
      <c r="BH104">
        <v>1</v>
      </c>
      <c r="BI104">
        <v>2</v>
      </c>
      <c r="BJ104">
        <v>1.2</v>
      </c>
      <c r="BK104">
        <v>2</v>
      </c>
      <c r="BL104">
        <v>86.74</v>
      </c>
      <c r="BM104">
        <v>13.01</v>
      </c>
      <c r="BN104">
        <v>99.75</v>
      </c>
      <c r="BO104">
        <v>99.75</v>
      </c>
      <c r="BQ104" t="s">
        <v>416</v>
      </c>
      <c r="BR104" t="s">
        <v>236</v>
      </c>
      <c r="BS104" s="2">
        <v>44176</v>
      </c>
      <c r="BT104" s="3">
        <v>0.42708333333333331</v>
      </c>
      <c r="BU104" t="s">
        <v>417</v>
      </c>
      <c r="BV104" t="s">
        <v>81</v>
      </c>
      <c r="BY104">
        <v>6000</v>
      </c>
      <c r="BZ104" t="s">
        <v>211</v>
      </c>
      <c r="CC104" t="s">
        <v>415</v>
      </c>
      <c r="CD104">
        <v>1201</v>
      </c>
      <c r="CE104" t="s">
        <v>89</v>
      </c>
      <c r="CF104" s="2">
        <v>44179</v>
      </c>
      <c r="CI104">
        <v>1</v>
      </c>
      <c r="CJ104">
        <v>2</v>
      </c>
      <c r="CK104">
        <v>31</v>
      </c>
      <c r="CL104" t="s">
        <v>81</v>
      </c>
    </row>
    <row r="105" spans="1:90" hidden="1" x14ac:dyDescent="0.25">
      <c r="A105" t="s">
        <v>241</v>
      </c>
      <c r="B105" t="s">
        <v>228</v>
      </c>
      <c r="C105" t="s">
        <v>72</v>
      </c>
      <c r="E105" t="str">
        <f>"009940535334"</f>
        <v>009940535334</v>
      </c>
      <c r="F105" s="2">
        <v>44175</v>
      </c>
      <c r="G105">
        <v>202106</v>
      </c>
      <c r="H105" t="s">
        <v>106</v>
      </c>
      <c r="I105" t="s">
        <v>107</v>
      </c>
      <c r="J105" t="s">
        <v>242</v>
      </c>
      <c r="K105" t="s">
        <v>75</v>
      </c>
      <c r="L105" t="s">
        <v>109</v>
      </c>
      <c r="M105" t="s">
        <v>110</v>
      </c>
      <c r="N105" t="s">
        <v>580</v>
      </c>
      <c r="O105" t="s">
        <v>78</v>
      </c>
      <c r="P105" t="str">
        <f>"NA                            "</f>
        <v xml:space="preserve">NA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3.43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G105">
        <v>0</v>
      </c>
      <c r="BH105">
        <v>1</v>
      </c>
      <c r="BI105">
        <v>0.2</v>
      </c>
      <c r="BJ105">
        <v>1.2</v>
      </c>
      <c r="BK105">
        <v>2</v>
      </c>
      <c r="BL105">
        <v>36.14</v>
      </c>
      <c r="BM105">
        <v>5.42</v>
      </c>
      <c r="BN105">
        <v>41.56</v>
      </c>
      <c r="BO105">
        <v>41.56</v>
      </c>
      <c r="BQ105" t="s">
        <v>200</v>
      </c>
      <c r="BR105" t="s">
        <v>434</v>
      </c>
      <c r="BS105" s="2">
        <v>44176</v>
      </c>
      <c r="BT105" s="3">
        <v>0.37083333333333335</v>
      </c>
      <c r="BU105" t="s">
        <v>254</v>
      </c>
      <c r="BV105" t="s">
        <v>79</v>
      </c>
      <c r="BY105">
        <v>5941.52</v>
      </c>
      <c r="BZ105" t="s">
        <v>80</v>
      </c>
      <c r="CC105" t="s">
        <v>110</v>
      </c>
      <c r="CD105">
        <v>2013</v>
      </c>
      <c r="CE105" t="s">
        <v>89</v>
      </c>
      <c r="CF105" s="2">
        <v>44177</v>
      </c>
      <c r="CI105">
        <v>1</v>
      </c>
      <c r="CJ105">
        <v>1</v>
      </c>
      <c r="CK105">
        <v>22</v>
      </c>
      <c r="CL105" t="s">
        <v>81</v>
      </c>
    </row>
    <row r="106" spans="1:90" hidden="1" x14ac:dyDescent="0.25">
      <c r="A106" t="s">
        <v>241</v>
      </c>
      <c r="B106" t="s">
        <v>228</v>
      </c>
      <c r="C106" t="s">
        <v>72</v>
      </c>
      <c r="E106" t="str">
        <f>"009940758099"</f>
        <v>009940758099</v>
      </c>
      <c r="F106" s="2">
        <v>44175</v>
      </c>
      <c r="G106">
        <v>202106</v>
      </c>
      <c r="H106" t="s">
        <v>95</v>
      </c>
      <c r="I106" t="s">
        <v>96</v>
      </c>
      <c r="J106" t="s">
        <v>242</v>
      </c>
      <c r="K106" t="s">
        <v>75</v>
      </c>
      <c r="L106" t="s">
        <v>109</v>
      </c>
      <c r="M106" t="s">
        <v>110</v>
      </c>
      <c r="N106" t="s">
        <v>580</v>
      </c>
      <c r="O106" t="s">
        <v>78</v>
      </c>
      <c r="P106" t="str">
        <f>"NA                            "</f>
        <v xml:space="preserve">NA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5.49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G106">
        <v>0</v>
      </c>
      <c r="BH106">
        <v>1</v>
      </c>
      <c r="BI106">
        <v>0.4</v>
      </c>
      <c r="BJ106">
        <v>2.1</v>
      </c>
      <c r="BK106">
        <v>2.5</v>
      </c>
      <c r="BL106">
        <v>57.82</v>
      </c>
      <c r="BM106">
        <v>8.67</v>
      </c>
      <c r="BN106">
        <v>66.489999999999995</v>
      </c>
      <c r="BO106">
        <v>66.489999999999995</v>
      </c>
      <c r="BQ106" t="s">
        <v>175</v>
      </c>
      <c r="BR106" t="s">
        <v>435</v>
      </c>
      <c r="BS106" s="2">
        <v>44176</v>
      </c>
      <c r="BT106" s="3">
        <v>0.36944444444444446</v>
      </c>
      <c r="BU106" t="s">
        <v>254</v>
      </c>
      <c r="BV106" t="s">
        <v>79</v>
      </c>
      <c r="BY106">
        <v>10711.89</v>
      </c>
      <c r="BZ106" t="s">
        <v>211</v>
      </c>
      <c r="CC106" t="s">
        <v>110</v>
      </c>
      <c r="CD106">
        <v>2013</v>
      </c>
      <c r="CE106" t="s">
        <v>436</v>
      </c>
      <c r="CF106" s="2">
        <v>44177</v>
      </c>
      <c r="CI106">
        <v>1</v>
      </c>
      <c r="CJ106">
        <v>1</v>
      </c>
      <c r="CK106">
        <v>21</v>
      </c>
      <c r="CL106" t="s">
        <v>81</v>
      </c>
    </row>
    <row r="107" spans="1:90" hidden="1" x14ac:dyDescent="0.25">
      <c r="A107" t="s">
        <v>241</v>
      </c>
      <c r="B107" t="s">
        <v>228</v>
      </c>
      <c r="C107" t="s">
        <v>72</v>
      </c>
      <c r="E107" t="str">
        <f>"009937273140"</f>
        <v>009937273140</v>
      </c>
      <c r="F107" s="2">
        <v>44175</v>
      </c>
      <c r="G107">
        <v>202106</v>
      </c>
      <c r="H107" t="s">
        <v>109</v>
      </c>
      <c r="I107" t="s">
        <v>110</v>
      </c>
      <c r="J107" t="s">
        <v>229</v>
      </c>
      <c r="K107" t="s">
        <v>75</v>
      </c>
      <c r="L107" t="s">
        <v>99</v>
      </c>
      <c r="M107" t="s">
        <v>100</v>
      </c>
      <c r="N107" t="s">
        <v>437</v>
      </c>
      <c r="O107" t="s">
        <v>78</v>
      </c>
      <c r="P107" t="str">
        <f>"NA                            "</f>
        <v xml:space="preserve">NA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6.18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65.06</v>
      </c>
      <c r="BM107">
        <v>9.76</v>
      </c>
      <c r="BN107">
        <v>74.819999999999993</v>
      </c>
      <c r="BO107">
        <v>74.819999999999993</v>
      </c>
      <c r="BQ107" t="s">
        <v>438</v>
      </c>
      <c r="BR107" t="s">
        <v>247</v>
      </c>
      <c r="BS107" s="2">
        <v>44176</v>
      </c>
      <c r="BT107" s="3">
        <v>0.42708333333333331</v>
      </c>
      <c r="BU107" t="s">
        <v>135</v>
      </c>
      <c r="BV107" t="s">
        <v>79</v>
      </c>
      <c r="BY107">
        <v>1200</v>
      </c>
      <c r="BZ107" t="s">
        <v>80</v>
      </c>
      <c r="CC107" t="s">
        <v>100</v>
      </c>
      <c r="CD107">
        <v>1739</v>
      </c>
      <c r="CE107" t="s">
        <v>89</v>
      </c>
      <c r="CF107" s="2">
        <v>44176</v>
      </c>
      <c r="CI107">
        <v>1</v>
      </c>
      <c r="CJ107">
        <v>1</v>
      </c>
      <c r="CK107">
        <v>24</v>
      </c>
      <c r="CL107" t="s">
        <v>81</v>
      </c>
    </row>
    <row r="108" spans="1:90" hidden="1" x14ac:dyDescent="0.25">
      <c r="A108" t="s">
        <v>241</v>
      </c>
      <c r="B108" t="s">
        <v>228</v>
      </c>
      <c r="C108" t="s">
        <v>72</v>
      </c>
      <c r="E108" t="str">
        <f>"009940266955"</f>
        <v>009940266955</v>
      </c>
      <c r="F108" s="2">
        <v>44175</v>
      </c>
      <c r="G108">
        <v>202106</v>
      </c>
      <c r="H108" t="s">
        <v>122</v>
      </c>
      <c r="I108" t="s">
        <v>123</v>
      </c>
      <c r="J108" t="s">
        <v>242</v>
      </c>
      <c r="K108" t="s">
        <v>75</v>
      </c>
      <c r="L108" t="s">
        <v>109</v>
      </c>
      <c r="M108" t="s">
        <v>110</v>
      </c>
      <c r="N108" t="s">
        <v>581</v>
      </c>
      <c r="O108" t="s">
        <v>78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4.4000000000000004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G108">
        <v>0</v>
      </c>
      <c r="BH108">
        <v>1</v>
      </c>
      <c r="BI108">
        <v>1</v>
      </c>
      <c r="BJ108">
        <v>0.3</v>
      </c>
      <c r="BK108">
        <v>1</v>
      </c>
      <c r="BL108">
        <v>46.27</v>
      </c>
      <c r="BM108">
        <v>6.94</v>
      </c>
      <c r="BN108">
        <v>53.21</v>
      </c>
      <c r="BO108">
        <v>53.21</v>
      </c>
      <c r="BR108" t="s">
        <v>272</v>
      </c>
      <c r="BS108" s="2">
        <v>44176</v>
      </c>
      <c r="BT108" s="3">
        <v>0.36944444444444446</v>
      </c>
      <c r="BU108" t="s">
        <v>254</v>
      </c>
      <c r="BV108" t="s">
        <v>79</v>
      </c>
      <c r="BY108">
        <v>1560</v>
      </c>
      <c r="BZ108" t="s">
        <v>211</v>
      </c>
      <c r="CC108" t="s">
        <v>110</v>
      </c>
      <c r="CD108">
        <v>2013</v>
      </c>
      <c r="CE108" t="s">
        <v>89</v>
      </c>
      <c r="CF108" s="2">
        <v>44177</v>
      </c>
      <c r="CI108">
        <v>1</v>
      </c>
      <c r="CJ108">
        <v>1</v>
      </c>
      <c r="CK108">
        <v>21</v>
      </c>
      <c r="CL108" t="s">
        <v>81</v>
      </c>
    </row>
    <row r="109" spans="1:90" hidden="1" x14ac:dyDescent="0.25">
      <c r="A109" t="s">
        <v>241</v>
      </c>
      <c r="B109" t="s">
        <v>228</v>
      </c>
      <c r="C109" t="s">
        <v>72</v>
      </c>
      <c r="E109" t="str">
        <f>"009938332812"</f>
        <v>009938332812</v>
      </c>
      <c r="F109" s="2">
        <v>44175</v>
      </c>
      <c r="G109">
        <v>202106</v>
      </c>
      <c r="H109" t="s">
        <v>203</v>
      </c>
      <c r="I109" t="s">
        <v>204</v>
      </c>
      <c r="J109" t="s">
        <v>242</v>
      </c>
      <c r="K109" t="s">
        <v>75</v>
      </c>
      <c r="L109" t="s">
        <v>109</v>
      </c>
      <c r="M109" t="s">
        <v>110</v>
      </c>
      <c r="N109" t="s">
        <v>580</v>
      </c>
      <c r="O109" t="s">
        <v>78</v>
      </c>
      <c r="P109" t="str">
        <f>"NA                            "</f>
        <v xml:space="preserve">NA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3.43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G109">
        <v>0</v>
      </c>
      <c r="BH109">
        <v>1</v>
      </c>
      <c r="BI109">
        <v>0.8</v>
      </c>
      <c r="BJ109">
        <v>2.2999999999999998</v>
      </c>
      <c r="BK109">
        <v>3</v>
      </c>
      <c r="BL109">
        <v>36.14</v>
      </c>
      <c r="BM109">
        <v>5.42</v>
      </c>
      <c r="BN109">
        <v>41.56</v>
      </c>
      <c r="BO109">
        <v>41.56</v>
      </c>
      <c r="BQ109" t="s">
        <v>200</v>
      </c>
      <c r="BR109" t="s">
        <v>258</v>
      </c>
      <c r="BS109" s="2">
        <v>44176</v>
      </c>
      <c r="BT109" s="3">
        <v>0.37013888888888885</v>
      </c>
      <c r="BU109" t="s">
        <v>254</v>
      </c>
      <c r="BV109" t="s">
        <v>79</v>
      </c>
      <c r="BY109">
        <v>11278.36</v>
      </c>
      <c r="BZ109" t="s">
        <v>211</v>
      </c>
      <c r="CC109" t="s">
        <v>110</v>
      </c>
      <c r="CD109">
        <v>2013</v>
      </c>
      <c r="CE109" t="s">
        <v>89</v>
      </c>
      <c r="CF109" s="2">
        <v>44177</v>
      </c>
      <c r="CI109">
        <v>1</v>
      </c>
      <c r="CJ109">
        <v>1</v>
      </c>
      <c r="CK109">
        <v>22</v>
      </c>
      <c r="CL109" t="s">
        <v>81</v>
      </c>
    </row>
    <row r="110" spans="1:90" hidden="1" x14ac:dyDescent="0.25">
      <c r="A110" t="s">
        <v>241</v>
      </c>
      <c r="B110" t="s">
        <v>228</v>
      </c>
      <c r="C110" t="s">
        <v>72</v>
      </c>
      <c r="E110" t="str">
        <f>"009940427195"</f>
        <v>009940427195</v>
      </c>
      <c r="F110" s="2">
        <v>44180</v>
      </c>
      <c r="G110">
        <v>202106</v>
      </c>
      <c r="H110" t="s">
        <v>95</v>
      </c>
      <c r="I110" t="s">
        <v>96</v>
      </c>
      <c r="J110" t="s">
        <v>392</v>
      </c>
      <c r="K110" t="s">
        <v>75</v>
      </c>
      <c r="L110" t="s">
        <v>109</v>
      </c>
      <c r="M110" t="s">
        <v>110</v>
      </c>
      <c r="N110" t="s">
        <v>229</v>
      </c>
      <c r="O110" t="s">
        <v>93</v>
      </c>
      <c r="P110" t="str">
        <f>"NA                            "</f>
        <v xml:space="preserve">NA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9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G110">
        <v>0</v>
      </c>
      <c r="BH110">
        <v>1</v>
      </c>
      <c r="BI110">
        <v>0.6</v>
      </c>
      <c r="BJ110">
        <v>1.9</v>
      </c>
      <c r="BK110">
        <v>2</v>
      </c>
      <c r="BL110">
        <v>99.71</v>
      </c>
      <c r="BM110">
        <v>14.96</v>
      </c>
      <c r="BN110">
        <v>114.67</v>
      </c>
      <c r="BO110">
        <v>114.67</v>
      </c>
      <c r="BQ110" t="s">
        <v>348</v>
      </c>
      <c r="BR110" t="s">
        <v>393</v>
      </c>
      <c r="BS110" s="2">
        <v>44182</v>
      </c>
      <c r="BT110" s="3">
        <v>0.36249999999999999</v>
      </c>
      <c r="BU110" t="s">
        <v>254</v>
      </c>
      <c r="BV110" t="s">
        <v>79</v>
      </c>
      <c r="BY110">
        <v>9668.61</v>
      </c>
      <c r="CC110" t="s">
        <v>110</v>
      </c>
      <c r="CD110">
        <v>2013</v>
      </c>
      <c r="CE110" t="s">
        <v>89</v>
      </c>
      <c r="CF110" s="2">
        <v>44183</v>
      </c>
      <c r="CI110">
        <v>2</v>
      </c>
      <c r="CJ110">
        <v>2</v>
      </c>
      <c r="CK110" t="s">
        <v>129</v>
      </c>
      <c r="CL110" t="s">
        <v>81</v>
      </c>
    </row>
    <row r="111" spans="1:90" hidden="1" x14ac:dyDescent="0.25">
      <c r="A111" t="s">
        <v>241</v>
      </c>
      <c r="B111" t="s">
        <v>228</v>
      </c>
      <c r="C111" t="s">
        <v>72</v>
      </c>
      <c r="E111" t="str">
        <f>"009940265342"</f>
        <v>009940265342</v>
      </c>
      <c r="F111" s="2">
        <v>44180</v>
      </c>
      <c r="G111">
        <v>202106</v>
      </c>
      <c r="H111" t="s">
        <v>109</v>
      </c>
      <c r="I111" t="s">
        <v>110</v>
      </c>
      <c r="J111" t="s">
        <v>243</v>
      </c>
      <c r="K111" t="s">
        <v>75</v>
      </c>
      <c r="L111" t="s">
        <v>109</v>
      </c>
      <c r="M111" t="s">
        <v>110</v>
      </c>
      <c r="N111" t="s">
        <v>581</v>
      </c>
      <c r="O111" t="s">
        <v>93</v>
      </c>
      <c r="P111" t="str">
        <f>"NA                            "</f>
        <v xml:space="preserve">NA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6.18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G111">
        <v>0</v>
      </c>
      <c r="BH111">
        <v>1</v>
      </c>
      <c r="BI111">
        <v>0.2</v>
      </c>
      <c r="BJ111">
        <v>2.9</v>
      </c>
      <c r="BK111">
        <v>3</v>
      </c>
      <c r="BL111">
        <v>70.06</v>
      </c>
      <c r="BM111">
        <v>10.51</v>
      </c>
      <c r="BN111">
        <v>80.569999999999993</v>
      </c>
      <c r="BO111">
        <v>80.569999999999993</v>
      </c>
      <c r="BQ111" t="s">
        <v>200</v>
      </c>
      <c r="BR111" t="s">
        <v>439</v>
      </c>
      <c r="BS111" s="2">
        <v>44182</v>
      </c>
      <c r="BT111" s="3">
        <v>0.36180555555555555</v>
      </c>
      <c r="BU111" t="s">
        <v>254</v>
      </c>
      <c r="BV111" t="s">
        <v>79</v>
      </c>
      <c r="BY111">
        <v>14629.9</v>
      </c>
      <c r="CC111" t="s">
        <v>110</v>
      </c>
      <c r="CD111">
        <v>2000</v>
      </c>
      <c r="CE111" t="s">
        <v>89</v>
      </c>
      <c r="CF111" s="2">
        <v>44183</v>
      </c>
      <c r="CI111">
        <v>1</v>
      </c>
      <c r="CJ111">
        <v>2</v>
      </c>
      <c r="CK111" t="s">
        <v>190</v>
      </c>
      <c r="CL111" t="s">
        <v>81</v>
      </c>
    </row>
    <row r="112" spans="1:90" hidden="1" x14ac:dyDescent="0.25">
      <c r="A112" t="s">
        <v>241</v>
      </c>
      <c r="B112" t="s">
        <v>228</v>
      </c>
      <c r="C112" t="s">
        <v>72</v>
      </c>
      <c r="E112" t="str">
        <f>"009940493393"</f>
        <v>009940493393</v>
      </c>
      <c r="F112" s="2">
        <v>44176</v>
      </c>
      <c r="G112">
        <v>202106</v>
      </c>
      <c r="H112" t="s">
        <v>177</v>
      </c>
      <c r="I112" t="s">
        <v>178</v>
      </c>
      <c r="J112" t="s">
        <v>242</v>
      </c>
      <c r="K112" t="s">
        <v>75</v>
      </c>
      <c r="L112" t="s">
        <v>109</v>
      </c>
      <c r="M112" t="s">
        <v>110</v>
      </c>
      <c r="N112" t="s">
        <v>580</v>
      </c>
      <c r="O112" t="s">
        <v>78</v>
      </c>
      <c r="P112" t="str">
        <f>"NA                            "</f>
        <v xml:space="preserve">NA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15.22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G112">
        <v>0</v>
      </c>
      <c r="BH112">
        <v>1</v>
      </c>
      <c r="BI112">
        <v>0.9</v>
      </c>
      <c r="BJ112">
        <v>5</v>
      </c>
      <c r="BK112">
        <v>5</v>
      </c>
      <c r="BL112">
        <v>160.13999999999999</v>
      </c>
      <c r="BM112">
        <v>24.02</v>
      </c>
      <c r="BN112">
        <v>184.16</v>
      </c>
      <c r="BO112">
        <v>184.16</v>
      </c>
      <c r="BQ112" t="s">
        <v>271</v>
      </c>
      <c r="BR112" t="s">
        <v>271</v>
      </c>
      <c r="BS112" s="2">
        <v>44179</v>
      </c>
      <c r="BT112" s="3">
        <v>0.42291666666666666</v>
      </c>
      <c r="BU112" t="s">
        <v>252</v>
      </c>
      <c r="BV112" t="s">
        <v>79</v>
      </c>
      <c r="BY112">
        <v>25172</v>
      </c>
      <c r="BZ112" t="s">
        <v>80</v>
      </c>
      <c r="CC112" t="s">
        <v>110</v>
      </c>
      <c r="CD112">
        <v>2013</v>
      </c>
      <c r="CE112" t="s">
        <v>89</v>
      </c>
      <c r="CF112" s="2">
        <v>44180</v>
      </c>
      <c r="CI112">
        <v>1</v>
      </c>
      <c r="CJ112">
        <v>1</v>
      </c>
      <c r="CK112">
        <v>24</v>
      </c>
      <c r="CL112" t="s">
        <v>81</v>
      </c>
    </row>
    <row r="113" spans="1:90" x14ac:dyDescent="0.25">
      <c r="A113" t="s">
        <v>241</v>
      </c>
      <c r="B113" t="s">
        <v>228</v>
      </c>
      <c r="C113" t="s">
        <v>72</v>
      </c>
      <c r="E113" t="str">
        <f>"009940569496"</f>
        <v>009940569496</v>
      </c>
      <c r="F113" s="2">
        <v>44174</v>
      </c>
      <c r="G113">
        <v>202106</v>
      </c>
      <c r="H113" t="s">
        <v>90</v>
      </c>
      <c r="I113" t="s">
        <v>91</v>
      </c>
      <c r="J113" t="s">
        <v>312</v>
      </c>
      <c r="K113" t="s">
        <v>75</v>
      </c>
      <c r="L113" t="s">
        <v>155</v>
      </c>
      <c r="M113" t="s">
        <v>156</v>
      </c>
      <c r="N113" t="s">
        <v>234</v>
      </c>
      <c r="O113" t="s">
        <v>93</v>
      </c>
      <c r="P113" t="str">
        <f>"LINDI                         "</f>
        <v xml:space="preserve">LINDI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8.24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G113">
        <v>0</v>
      </c>
      <c r="BH113">
        <v>1</v>
      </c>
      <c r="BI113">
        <v>2</v>
      </c>
      <c r="BJ113">
        <v>1.2</v>
      </c>
      <c r="BK113">
        <v>2</v>
      </c>
      <c r="BL113">
        <v>91.74</v>
      </c>
      <c r="BM113">
        <v>13.76</v>
      </c>
      <c r="BN113">
        <v>105.5</v>
      </c>
      <c r="BO113">
        <v>105.5</v>
      </c>
      <c r="BQ113" t="s">
        <v>428</v>
      </c>
      <c r="BR113" t="s">
        <v>236</v>
      </c>
      <c r="BS113" s="2">
        <v>44175</v>
      </c>
      <c r="BT113" s="3">
        <v>0.55486111111111114</v>
      </c>
      <c r="BU113" t="s">
        <v>141</v>
      </c>
      <c r="BV113" t="s">
        <v>79</v>
      </c>
      <c r="BY113">
        <v>6000</v>
      </c>
      <c r="CC113" t="s">
        <v>156</v>
      </c>
      <c r="CD113">
        <v>1501</v>
      </c>
      <c r="CE113" t="s">
        <v>89</v>
      </c>
      <c r="CF113" s="2">
        <v>44176</v>
      </c>
      <c r="CI113">
        <v>1</v>
      </c>
      <c r="CJ113">
        <v>1</v>
      </c>
      <c r="CK113" t="s">
        <v>331</v>
      </c>
      <c r="CL113" t="s">
        <v>81</v>
      </c>
    </row>
    <row r="114" spans="1:90" x14ac:dyDescent="0.25">
      <c r="A114" t="s">
        <v>241</v>
      </c>
      <c r="B114" t="s">
        <v>228</v>
      </c>
      <c r="C114" t="s">
        <v>72</v>
      </c>
      <c r="E114" t="str">
        <f>"009940569497"</f>
        <v>009940569497</v>
      </c>
      <c r="F114" s="2">
        <v>44174</v>
      </c>
      <c r="G114">
        <v>202106</v>
      </c>
      <c r="H114" t="s">
        <v>90</v>
      </c>
      <c r="I114" t="s">
        <v>91</v>
      </c>
      <c r="J114" t="s">
        <v>312</v>
      </c>
      <c r="K114" t="s">
        <v>75</v>
      </c>
      <c r="L114" t="s">
        <v>95</v>
      </c>
      <c r="M114" t="s">
        <v>96</v>
      </c>
      <c r="N114" t="s">
        <v>234</v>
      </c>
      <c r="O114" t="s">
        <v>184</v>
      </c>
      <c r="P114" t="str">
        <f>"LINDI                         "</f>
        <v xml:space="preserve">LINDI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8.24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G114">
        <v>0</v>
      </c>
      <c r="BH114">
        <v>1</v>
      </c>
      <c r="BI114">
        <v>1</v>
      </c>
      <c r="BJ114">
        <v>1.2</v>
      </c>
      <c r="BK114">
        <v>2</v>
      </c>
      <c r="BL114">
        <v>86.74</v>
      </c>
      <c r="BM114">
        <v>13.01</v>
      </c>
      <c r="BN114">
        <v>99.75</v>
      </c>
      <c r="BO114">
        <v>99.75</v>
      </c>
      <c r="BQ114" t="s">
        <v>418</v>
      </c>
      <c r="BR114" t="s">
        <v>236</v>
      </c>
      <c r="BS114" s="2">
        <v>44176</v>
      </c>
      <c r="BT114" s="3">
        <v>0.42222222222222222</v>
      </c>
      <c r="BU114" t="s">
        <v>419</v>
      </c>
      <c r="BV114" t="s">
        <v>81</v>
      </c>
      <c r="BW114" t="s">
        <v>97</v>
      </c>
      <c r="BX114" t="s">
        <v>131</v>
      </c>
      <c r="BY114">
        <v>6000</v>
      </c>
      <c r="BZ114" t="s">
        <v>211</v>
      </c>
      <c r="CA114" t="s">
        <v>420</v>
      </c>
      <c r="CC114" t="s">
        <v>96</v>
      </c>
      <c r="CD114">
        <v>8000</v>
      </c>
      <c r="CE114" t="s">
        <v>89</v>
      </c>
      <c r="CF114" s="2">
        <v>44179</v>
      </c>
      <c r="CI114">
        <v>1</v>
      </c>
      <c r="CJ114">
        <v>2</v>
      </c>
      <c r="CK114">
        <v>31</v>
      </c>
      <c r="CL114" t="s">
        <v>81</v>
      </c>
    </row>
    <row r="115" spans="1:90" x14ac:dyDescent="0.25">
      <c r="A115" t="s">
        <v>241</v>
      </c>
      <c r="B115" t="s">
        <v>228</v>
      </c>
      <c r="C115" t="s">
        <v>72</v>
      </c>
      <c r="E115" t="str">
        <f>"009940569498"</f>
        <v>009940569498</v>
      </c>
      <c r="F115" s="2">
        <v>44174</v>
      </c>
      <c r="G115">
        <v>202106</v>
      </c>
      <c r="H115" t="s">
        <v>90</v>
      </c>
      <c r="I115" t="s">
        <v>91</v>
      </c>
      <c r="J115" t="s">
        <v>312</v>
      </c>
      <c r="K115" t="s">
        <v>75</v>
      </c>
      <c r="L115" t="s">
        <v>397</v>
      </c>
      <c r="M115" t="s">
        <v>398</v>
      </c>
      <c r="N115" t="s">
        <v>234</v>
      </c>
      <c r="O115" t="s">
        <v>184</v>
      </c>
      <c r="P115" t="str">
        <f>"LINDI                         "</f>
        <v xml:space="preserve">LINDI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8.24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G115">
        <v>0</v>
      </c>
      <c r="BH115">
        <v>1</v>
      </c>
      <c r="BI115">
        <v>1</v>
      </c>
      <c r="BJ115">
        <v>2.4</v>
      </c>
      <c r="BK115">
        <v>3</v>
      </c>
      <c r="BL115">
        <v>86.74</v>
      </c>
      <c r="BM115">
        <v>13.01</v>
      </c>
      <c r="BN115">
        <v>99.75</v>
      </c>
      <c r="BO115">
        <v>99.75</v>
      </c>
      <c r="BQ115" t="s">
        <v>399</v>
      </c>
      <c r="BR115" t="s">
        <v>236</v>
      </c>
      <c r="BS115" s="2">
        <v>44176</v>
      </c>
      <c r="BT115" s="3">
        <v>0.4236111111111111</v>
      </c>
      <c r="BU115" t="s">
        <v>400</v>
      </c>
      <c r="BV115" t="s">
        <v>79</v>
      </c>
      <c r="BY115">
        <v>12000</v>
      </c>
      <c r="BZ115" t="s">
        <v>185</v>
      </c>
      <c r="CA115" t="s">
        <v>401</v>
      </c>
      <c r="CC115" t="s">
        <v>398</v>
      </c>
      <c r="CD115">
        <v>8301</v>
      </c>
      <c r="CE115" t="s">
        <v>89</v>
      </c>
      <c r="CF115" s="2">
        <v>44179</v>
      </c>
      <c r="CI115">
        <v>2</v>
      </c>
      <c r="CJ115">
        <v>2</v>
      </c>
      <c r="CK115">
        <v>31</v>
      </c>
      <c r="CL115" t="s">
        <v>81</v>
      </c>
    </row>
    <row r="116" spans="1:90" hidden="1" x14ac:dyDescent="0.25">
      <c r="A116" t="s">
        <v>241</v>
      </c>
      <c r="B116" t="s">
        <v>228</v>
      </c>
      <c r="C116" t="s">
        <v>72</v>
      </c>
      <c r="E116" t="str">
        <f>"009939926567"</f>
        <v>009939926567</v>
      </c>
      <c r="F116" s="2">
        <v>44179</v>
      </c>
      <c r="G116">
        <v>202106</v>
      </c>
      <c r="H116" t="s">
        <v>95</v>
      </c>
      <c r="I116" t="s">
        <v>96</v>
      </c>
      <c r="J116" t="s">
        <v>229</v>
      </c>
      <c r="K116" t="s">
        <v>75</v>
      </c>
      <c r="L116" t="s">
        <v>109</v>
      </c>
      <c r="M116" t="s">
        <v>110</v>
      </c>
      <c r="N116" t="s">
        <v>229</v>
      </c>
      <c r="O116" t="s">
        <v>78</v>
      </c>
      <c r="P116" t="str">
        <f>"NA                            "</f>
        <v xml:space="preserve">NA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4.4000000000000004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G116">
        <v>0</v>
      </c>
      <c r="BH116">
        <v>1</v>
      </c>
      <c r="BI116">
        <v>0.2</v>
      </c>
      <c r="BJ116">
        <v>0.7</v>
      </c>
      <c r="BK116">
        <v>1</v>
      </c>
      <c r="BL116">
        <v>46.27</v>
      </c>
      <c r="BM116">
        <v>6.94</v>
      </c>
      <c r="BN116">
        <v>53.21</v>
      </c>
      <c r="BO116">
        <v>53.21</v>
      </c>
      <c r="BR116" t="s">
        <v>250</v>
      </c>
      <c r="BS116" s="2">
        <v>44180</v>
      </c>
      <c r="BT116" s="3">
        <v>0.53333333333333333</v>
      </c>
      <c r="BU116" t="s">
        <v>254</v>
      </c>
      <c r="BV116" t="s">
        <v>81</v>
      </c>
      <c r="BW116" t="s">
        <v>143</v>
      </c>
      <c r="BX116" t="s">
        <v>144</v>
      </c>
      <c r="BY116">
        <v>3496.88</v>
      </c>
      <c r="BZ116" t="s">
        <v>80</v>
      </c>
      <c r="CC116" t="s">
        <v>110</v>
      </c>
      <c r="CD116">
        <v>2013</v>
      </c>
      <c r="CE116" t="s">
        <v>89</v>
      </c>
      <c r="CF116" s="2">
        <v>44180</v>
      </c>
      <c r="CI116">
        <v>1</v>
      </c>
      <c r="CJ116">
        <v>1</v>
      </c>
      <c r="CK116">
        <v>21</v>
      </c>
      <c r="CL116" t="s">
        <v>81</v>
      </c>
    </row>
    <row r="117" spans="1:90" hidden="1" x14ac:dyDescent="0.25">
      <c r="A117" t="s">
        <v>241</v>
      </c>
      <c r="B117" t="s">
        <v>228</v>
      </c>
      <c r="C117" t="s">
        <v>72</v>
      </c>
      <c r="E117" t="str">
        <f>"009939926568"</f>
        <v>009939926568</v>
      </c>
      <c r="F117" s="2">
        <v>44179</v>
      </c>
      <c r="G117">
        <v>202106</v>
      </c>
      <c r="H117" t="s">
        <v>95</v>
      </c>
      <c r="I117" t="s">
        <v>96</v>
      </c>
      <c r="J117" t="s">
        <v>229</v>
      </c>
      <c r="K117" t="s">
        <v>75</v>
      </c>
      <c r="L117" t="s">
        <v>109</v>
      </c>
      <c r="M117" t="s">
        <v>110</v>
      </c>
      <c r="N117" t="s">
        <v>229</v>
      </c>
      <c r="O117" t="s">
        <v>78</v>
      </c>
      <c r="P117" t="str">
        <f>"NA                            "</f>
        <v xml:space="preserve">NA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5.49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G117">
        <v>0</v>
      </c>
      <c r="BH117">
        <v>1</v>
      </c>
      <c r="BI117">
        <v>1.2</v>
      </c>
      <c r="BJ117">
        <v>2.4</v>
      </c>
      <c r="BK117">
        <v>2.5</v>
      </c>
      <c r="BL117">
        <v>57.82</v>
      </c>
      <c r="BM117">
        <v>8.67</v>
      </c>
      <c r="BN117">
        <v>66.489999999999995</v>
      </c>
      <c r="BO117">
        <v>66.489999999999995</v>
      </c>
      <c r="BQ117" t="s">
        <v>447</v>
      </c>
      <c r="BR117" t="s">
        <v>250</v>
      </c>
      <c r="BS117" s="2">
        <v>44180</v>
      </c>
      <c r="BT117" s="3">
        <v>0.53402777777777777</v>
      </c>
      <c r="BU117" t="s">
        <v>254</v>
      </c>
      <c r="BV117" t="s">
        <v>81</v>
      </c>
      <c r="BW117" t="s">
        <v>143</v>
      </c>
      <c r="BX117" t="s">
        <v>144</v>
      </c>
      <c r="BY117">
        <v>11758.78</v>
      </c>
      <c r="BZ117" t="s">
        <v>80</v>
      </c>
      <c r="CC117" t="s">
        <v>110</v>
      </c>
      <c r="CD117">
        <v>2013</v>
      </c>
      <c r="CE117" t="s">
        <v>89</v>
      </c>
      <c r="CF117" s="2">
        <v>44180</v>
      </c>
      <c r="CI117">
        <v>1</v>
      </c>
      <c r="CJ117">
        <v>1</v>
      </c>
      <c r="CK117">
        <v>21</v>
      </c>
      <c r="CL117" t="s">
        <v>81</v>
      </c>
    </row>
    <row r="118" spans="1:90" x14ac:dyDescent="0.25">
      <c r="A118" t="s">
        <v>241</v>
      </c>
      <c r="B118" t="s">
        <v>228</v>
      </c>
      <c r="C118" t="s">
        <v>72</v>
      </c>
      <c r="E118" t="str">
        <f>"009940728291"</f>
        <v>009940728291</v>
      </c>
      <c r="F118" s="2">
        <v>44179</v>
      </c>
      <c r="G118">
        <v>202106</v>
      </c>
      <c r="H118" t="s">
        <v>90</v>
      </c>
      <c r="I118" t="s">
        <v>91</v>
      </c>
      <c r="J118" t="s">
        <v>312</v>
      </c>
      <c r="K118" t="s">
        <v>75</v>
      </c>
      <c r="L118" t="s">
        <v>136</v>
      </c>
      <c r="M118" t="s">
        <v>137</v>
      </c>
      <c r="N118" t="s">
        <v>234</v>
      </c>
      <c r="O118" t="s">
        <v>78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4.4000000000000004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46.27</v>
      </c>
      <c r="BM118">
        <v>6.94</v>
      </c>
      <c r="BN118">
        <v>53.21</v>
      </c>
      <c r="BO118">
        <v>53.21</v>
      </c>
      <c r="BQ118" t="s">
        <v>456</v>
      </c>
      <c r="BR118" t="s">
        <v>441</v>
      </c>
      <c r="BS118" s="2">
        <v>44180</v>
      </c>
      <c r="BT118" s="3">
        <v>0.43194444444444446</v>
      </c>
      <c r="BU118" t="s">
        <v>457</v>
      </c>
      <c r="BV118" t="s">
        <v>79</v>
      </c>
      <c r="BY118">
        <v>1200</v>
      </c>
      <c r="BZ118" t="s">
        <v>80</v>
      </c>
      <c r="CC118" t="s">
        <v>137</v>
      </c>
      <c r="CD118">
        <v>1725</v>
      </c>
      <c r="CE118" t="s">
        <v>89</v>
      </c>
      <c r="CF118" s="2">
        <v>44180</v>
      </c>
      <c r="CI118">
        <v>1</v>
      </c>
      <c r="CJ118">
        <v>1</v>
      </c>
      <c r="CK118">
        <v>21</v>
      </c>
      <c r="CL118" t="s">
        <v>81</v>
      </c>
    </row>
    <row r="119" spans="1:90" hidden="1" x14ac:dyDescent="0.25">
      <c r="A119" t="s">
        <v>241</v>
      </c>
      <c r="B119" t="s">
        <v>228</v>
      </c>
      <c r="C119" t="s">
        <v>72</v>
      </c>
      <c r="E119" t="str">
        <f>"009939096572"</f>
        <v>009939096572</v>
      </c>
      <c r="F119" s="2">
        <v>44179</v>
      </c>
      <c r="G119">
        <v>202106</v>
      </c>
      <c r="H119" t="s">
        <v>109</v>
      </c>
      <c r="I119" t="s">
        <v>110</v>
      </c>
      <c r="J119" t="s">
        <v>229</v>
      </c>
      <c r="K119" t="s">
        <v>75</v>
      </c>
      <c r="L119" t="s">
        <v>95</v>
      </c>
      <c r="M119" t="s">
        <v>96</v>
      </c>
      <c r="N119" t="s">
        <v>229</v>
      </c>
      <c r="O119" t="s">
        <v>78</v>
      </c>
      <c r="P119" t="str">
        <f>"NA                            "</f>
        <v xml:space="preserve">NA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4.4000000000000004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G119">
        <v>0</v>
      </c>
      <c r="BH119">
        <v>1</v>
      </c>
      <c r="BI119">
        <v>0.8</v>
      </c>
      <c r="BJ119">
        <v>1.5</v>
      </c>
      <c r="BK119">
        <v>1.5</v>
      </c>
      <c r="BL119">
        <v>46.27</v>
      </c>
      <c r="BM119">
        <v>6.94</v>
      </c>
      <c r="BN119">
        <v>53.21</v>
      </c>
      <c r="BO119">
        <v>53.21</v>
      </c>
      <c r="BQ119" t="s">
        <v>449</v>
      </c>
      <c r="BR119" t="s">
        <v>247</v>
      </c>
      <c r="BS119" s="2">
        <v>44180</v>
      </c>
      <c r="BT119" s="3">
        <v>0.39861111111111108</v>
      </c>
      <c r="BU119" t="s">
        <v>450</v>
      </c>
      <c r="BV119" t="s">
        <v>79</v>
      </c>
      <c r="BY119">
        <v>7450.53</v>
      </c>
      <c r="BZ119" t="s">
        <v>80</v>
      </c>
      <c r="CC119" t="s">
        <v>96</v>
      </c>
      <c r="CD119">
        <v>7441</v>
      </c>
      <c r="CE119" t="s">
        <v>89</v>
      </c>
      <c r="CF119" s="2">
        <v>44182</v>
      </c>
      <c r="CI119">
        <v>1</v>
      </c>
      <c r="CJ119">
        <v>1</v>
      </c>
      <c r="CK119">
        <v>21</v>
      </c>
      <c r="CL119" t="s">
        <v>81</v>
      </c>
    </row>
    <row r="120" spans="1:90" x14ac:dyDescent="0.25">
      <c r="A120" t="s">
        <v>241</v>
      </c>
      <c r="B120" t="s">
        <v>228</v>
      </c>
      <c r="C120" t="s">
        <v>72</v>
      </c>
      <c r="E120" t="str">
        <f>"009940728293"</f>
        <v>009940728293</v>
      </c>
      <c r="F120" s="2">
        <v>44179</v>
      </c>
      <c r="G120">
        <v>202106</v>
      </c>
      <c r="H120" t="s">
        <v>90</v>
      </c>
      <c r="I120" t="s">
        <v>91</v>
      </c>
      <c r="J120" t="s">
        <v>312</v>
      </c>
      <c r="K120" t="s">
        <v>75</v>
      </c>
      <c r="L120" t="s">
        <v>158</v>
      </c>
      <c r="M120" t="s">
        <v>159</v>
      </c>
      <c r="N120" t="s">
        <v>234</v>
      </c>
      <c r="O120" t="s">
        <v>78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8.52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G120">
        <v>0</v>
      </c>
      <c r="BH120">
        <v>1</v>
      </c>
      <c r="BI120">
        <v>2</v>
      </c>
      <c r="BJ120">
        <v>1.2</v>
      </c>
      <c r="BK120">
        <v>2</v>
      </c>
      <c r="BL120">
        <v>89.64</v>
      </c>
      <c r="BM120">
        <v>13.45</v>
      </c>
      <c r="BN120">
        <v>103.09</v>
      </c>
      <c r="BO120">
        <v>103.09</v>
      </c>
      <c r="BQ120" t="s">
        <v>451</v>
      </c>
      <c r="BR120" t="s">
        <v>441</v>
      </c>
      <c r="BS120" s="2">
        <v>44182</v>
      </c>
      <c r="BT120" s="3">
        <v>0.41666666666666669</v>
      </c>
      <c r="BU120" t="s">
        <v>452</v>
      </c>
      <c r="BV120" t="s">
        <v>81</v>
      </c>
      <c r="BW120" t="s">
        <v>97</v>
      </c>
      <c r="BX120" t="s">
        <v>98</v>
      </c>
      <c r="BY120">
        <v>6000</v>
      </c>
      <c r="BZ120" t="s">
        <v>80</v>
      </c>
      <c r="CC120" t="s">
        <v>159</v>
      </c>
      <c r="CD120">
        <v>7130</v>
      </c>
      <c r="CE120" t="s">
        <v>89</v>
      </c>
      <c r="CF120" s="2">
        <v>44183</v>
      </c>
      <c r="CI120">
        <v>1</v>
      </c>
      <c r="CJ120">
        <v>3</v>
      </c>
      <c r="CK120">
        <v>23</v>
      </c>
      <c r="CL120" t="s">
        <v>81</v>
      </c>
    </row>
    <row r="121" spans="1:90" x14ac:dyDescent="0.25">
      <c r="A121" t="s">
        <v>241</v>
      </c>
      <c r="B121" t="s">
        <v>228</v>
      </c>
      <c r="C121" t="s">
        <v>72</v>
      </c>
      <c r="E121" t="str">
        <f>"009940728294"</f>
        <v>009940728294</v>
      </c>
      <c r="F121" s="2">
        <v>44179</v>
      </c>
      <c r="G121">
        <v>202106</v>
      </c>
      <c r="H121" t="s">
        <v>90</v>
      </c>
      <c r="I121" t="s">
        <v>91</v>
      </c>
      <c r="J121" t="s">
        <v>312</v>
      </c>
      <c r="K121" t="s">
        <v>75</v>
      </c>
      <c r="L121" t="s">
        <v>90</v>
      </c>
      <c r="M121" t="s">
        <v>91</v>
      </c>
      <c r="N121" t="s">
        <v>234</v>
      </c>
      <c r="O121" t="s">
        <v>78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3.43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36.14</v>
      </c>
      <c r="BM121">
        <v>5.42</v>
      </c>
      <c r="BN121">
        <v>41.56</v>
      </c>
      <c r="BO121">
        <v>41.56</v>
      </c>
      <c r="BQ121" t="s">
        <v>453</v>
      </c>
      <c r="BR121" t="s">
        <v>441</v>
      </c>
      <c r="BS121" s="2">
        <v>44180</v>
      </c>
      <c r="BT121" s="3">
        <v>0.51041666666666663</v>
      </c>
      <c r="BU121" t="s">
        <v>454</v>
      </c>
      <c r="BV121" t="s">
        <v>79</v>
      </c>
      <c r="BY121">
        <v>1200</v>
      </c>
      <c r="BZ121" t="s">
        <v>80</v>
      </c>
      <c r="CA121" t="s">
        <v>208</v>
      </c>
      <c r="CC121" t="s">
        <v>91</v>
      </c>
      <c r="CD121">
        <v>3610</v>
      </c>
      <c r="CE121" t="s">
        <v>89</v>
      </c>
      <c r="CF121" s="2">
        <v>44180</v>
      </c>
      <c r="CI121">
        <v>1</v>
      </c>
      <c r="CJ121">
        <v>1</v>
      </c>
      <c r="CK121">
        <v>22</v>
      </c>
      <c r="CL121" t="s">
        <v>81</v>
      </c>
    </row>
    <row r="122" spans="1:90" hidden="1" x14ac:dyDescent="0.25">
      <c r="A122" t="s">
        <v>241</v>
      </c>
      <c r="B122" t="s">
        <v>228</v>
      </c>
      <c r="C122" t="s">
        <v>72</v>
      </c>
      <c r="E122" t="str">
        <f>"009937273185"</f>
        <v>009937273185</v>
      </c>
      <c r="F122" s="2">
        <v>44179</v>
      </c>
      <c r="G122">
        <v>202106</v>
      </c>
      <c r="H122" t="s">
        <v>109</v>
      </c>
      <c r="I122" t="s">
        <v>110</v>
      </c>
      <c r="J122" t="s">
        <v>229</v>
      </c>
      <c r="K122" t="s">
        <v>75</v>
      </c>
      <c r="L122" t="s">
        <v>146</v>
      </c>
      <c r="M122" t="s">
        <v>147</v>
      </c>
      <c r="N122" t="s">
        <v>229</v>
      </c>
      <c r="O122" t="s">
        <v>78</v>
      </c>
      <c r="P122" t="str">
        <f>"NA                            "</f>
        <v xml:space="preserve">NA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8.52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G122">
        <v>0</v>
      </c>
      <c r="BH122">
        <v>1</v>
      </c>
      <c r="BI122">
        <v>0.5</v>
      </c>
      <c r="BJ122">
        <v>1.5</v>
      </c>
      <c r="BK122">
        <v>1.5</v>
      </c>
      <c r="BL122">
        <v>89.64</v>
      </c>
      <c r="BM122">
        <v>13.45</v>
      </c>
      <c r="BN122">
        <v>103.09</v>
      </c>
      <c r="BO122">
        <v>103.09</v>
      </c>
      <c r="BQ122" t="s">
        <v>455</v>
      </c>
      <c r="BR122" t="s">
        <v>247</v>
      </c>
      <c r="BS122" s="2">
        <v>44180</v>
      </c>
      <c r="BT122" s="3">
        <v>0.61458333333333337</v>
      </c>
      <c r="BU122" t="s">
        <v>409</v>
      </c>
      <c r="BV122" t="s">
        <v>79</v>
      </c>
      <c r="BY122">
        <v>7354.07</v>
      </c>
      <c r="BZ122" t="s">
        <v>139</v>
      </c>
      <c r="CA122" t="s">
        <v>148</v>
      </c>
      <c r="CC122" t="s">
        <v>147</v>
      </c>
      <c r="CD122">
        <v>3381</v>
      </c>
      <c r="CE122" t="s">
        <v>89</v>
      </c>
      <c r="CF122" s="2">
        <v>44183</v>
      </c>
      <c r="CI122">
        <v>4</v>
      </c>
      <c r="CJ122">
        <v>1</v>
      </c>
      <c r="CK122">
        <v>23</v>
      </c>
      <c r="CL122" t="s">
        <v>81</v>
      </c>
    </row>
    <row r="123" spans="1:90" x14ac:dyDescent="0.25">
      <c r="A123" t="s">
        <v>241</v>
      </c>
      <c r="B123" t="s">
        <v>228</v>
      </c>
      <c r="C123" t="s">
        <v>72</v>
      </c>
      <c r="E123" t="str">
        <f>"009940728295"</f>
        <v>009940728295</v>
      </c>
      <c r="F123" s="2">
        <v>44179</v>
      </c>
      <c r="G123">
        <v>202106</v>
      </c>
      <c r="H123" t="s">
        <v>90</v>
      </c>
      <c r="I123" t="s">
        <v>91</v>
      </c>
      <c r="J123" t="s">
        <v>312</v>
      </c>
      <c r="K123" t="s">
        <v>75</v>
      </c>
      <c r="L123" t="s">
        <v>122</v>
      </c>
      <c r="M123" t="s">
        <v>123</v>
      </c>
      <c r="N123" t="s">
        <v>234</v>
      </c>
      <c r="O123" t="s">
        <v>78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3.43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36.14</v>
      </c>
      <c r="BM123">
        <v>5.42</v>
      </c>
      <c r="BN123">
        <v>41.56</v>
      </c>
      <c r="BO123">
        <v>41.56</v>
      </c>
      <c r="BQ123" t="s">
        <v>443</v>
      </c>
      <c r="BR123" t="s">
        <v>441</v>
      </c>
      <c r="BS123" s="2">
        <v>44180</v>
      </c>
      <c r="BT123" s="3">
        <v>0.4145833333333333</v>
      </c>
      <c r="BU123" t="s">
        <v>444</v>
      </c>
      <c r="BV123" t="s">
        <v>79</v>
      </c>
      <c r="BY123">
        <v>1200</v>
      </c>
      <c r="BZ123" t="s">
        <v>80</v>
      </c>
      <c r="CA123" t="s">
        <v>166</v>
      </c>
      <c r="CC123" t="s">
        <v>123</v>
      </c>
      <c r="CD123">
        <v>4093</v>
      </c>
      <c r="CE123" t="s">
        <v>89</v>
      </c>
      <c r="CF123" s="2">
        <v>44180</v>
      </c>
      <c r="CI123">
        <v>1</v>
      </c>
      <c r="CJ123">
        <v>1</v>
      </c>
      <c r="CK123">
        <v>22</v>
      </c>
      <c r="CL123" t="s">
        <v>81</v>
      </c>
    </row>
    <row r="124" spans="1:90" x14ac:dyDescent="0.25">
      <c r="A124" t="s">
        <v>241</v>
      </c>
      <c r="B124" t="s">
        <v>228</v>
      </c>
      <c r="C124" t="s">
        <v>72</v>
      </c>
      <c r="E124" t="str">
        <f>"009940728296"</f>
        <v>009940728296</v>
      </c>
      <c r="F124" s="2">
        <v>44179</v>
      </c>
      <c r="G124">
        <v>202106</v>
      </c>
      <c r="H124" t="s">
        <v>90</v>
      </c>
      <c r="I124" t="s">
        <v>91</v>
      </c>
      <c r="J124" t="s">
        <v>312</v>
      </c>
      <c r="K124" t="s">
        <v>75</v>
      </c>
      <c r="L124" t="s">
        <v>122</v>
      </c>
      <c r="M124" t="s">
        <v>123</v>
      </c>
      <c r="N124" t="s">
        <v>234</v>
      </c>
      <c r="O124" t="s">
        <v>78</v>
      </c>
      <c r="P124" t="str">
        <f>"071 320 8249                  "</f>
        <v xml:space="preserve">071 320 8249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3.43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G124">
        <v>0</v>
      </c>
      <c r="BH124">
        <v>1</v>
      </c>
      <c r="BI124">
        <v>2</v>
      </c>
      <c r="BJ124">
        <v>1.2</v>
      </c>
      <c r="BK124">
        <v>2</v>
      </c>
      <c r="BL124">
        <v>36.14</v>
      </c>
      <c r="BM124">
        <v>5.42</v>
      </c>
      <c r="BN124">
        <v>41.56</v>
      </c>
      <c r="BO124">
        <v>41.56</v>
      </c>
      <c r="BQ124" t="s">
        <v>440</v>
      </c>
      <c r="BR124" t="s">
        <v>441</v>
      </c>
      <c r="BS124" s="2">
        <v>44180</v>
      </c>
      <c r="BT124" s="3">
        <v>0.52083333333333337</v>
      </c>
      <c r="BU124" t="s">
        <v>442</v>
      </c>
      <c r="BV124" t="s">
        <v>81</v>
      </c>
      <c r="BW124" t="s">
        <v>117</v>
      </c>
      <c r="BX124" t="s">
        <v>150</v>
      </c>
      <c r="BY124">
        <v>6000</v>
      </c>
      <c r="BZ124" t="s">
        <v>80</v>
      </c>
      <c r="CC124" t="s">
        <v>123</v>
      </c>
      <c r="CD124">
        <v>4091</v>
      </c>
      <c r="CE124" t="s">
        <v>89</v>
      </c>
      <c r="CF124" s="2">
        <v>44180</v>
      </c>
      <c r="CI124">
        <v>1</v>
      </c>
      <c r="CJ124">
        <v>1</v>
      </c>
      <c r="CK124">
        <v>22</v>
      </c>
      <c r="CL124" t="s">
        <v>81</v>
      </c>
    </row>
    <row r="125" spans="1:90" x14ac:dyDescent="0.25">
      <c r="A125" t="s">
        <v>241</v>
      </c>
      <c r="B125" t="s">
        <v>228</v>
      </c>
      <c r="C125" t="s">
        <v>72</v>
      </c>
      <c r="E125" t="str">
        <f>"009940728297"</f>
        <v>009940728297</v>
      </c>
      <c r="F125" s="2">
        <v>44179</v>
      </c>
      <c r="G125">
        <v>202106</v>
      </c>
      <c r="H125" t="s">
        <v>90</v>
      </c>
      <c r="I125" t="s">
        <v>91</v>
      </c>
      <c r="J125" t="s">
        <v>312</v>
      </c>
      <c r="K125" t="s">
        <v>75</v>
      </c>
      <c r="L125" t="s">
        <v>155</v>
      </c>
      <c r="M125" t="s">
        <v>156</v>
      </c>
      <c r="N125" t="s">
        <v>234</v>
      </c>
      <c r="O125" t="s">
        <v>78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4.4000000000000004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G125">
        <v>0</v>
      </c>
      <c r="BH125">
        <v>1</v>
      </c>
      <c r="BI125">
        <v>2</v>
      </c>
      <c r="BJ125">
        <v>1.2</v>
      </c>
      <c r="BK125">
        <v>2</v>
      </c>
      <c r="BL125">
        <v>46.27</v>
      </c>
      <c r="BM125">
        <v>6.94</v>
      </c>
      <c r="BN125">
        <v>53.21</v>
      </c>
      <c r="BO125">
        <v>53.21</v>
      </c>
      <c r="BQ125" t="s">
        <v>462</v>
      </c>
      <c r="BR125" t="s">
        <v>441</v>
      </c>
      <c r="BS125" s="2">
        <v>44180</v>
      </c>
      <c r="BT125" s="3">
        <v>0.54861111111111105</v>
      </c>
      <c r="BU125" t="s">
        <v>223</v>
      </c>
      <c r="BV125" t="s">
        <v>81</v>
      </c>
      <c r="BW125" t="s">
        <v>113</v>
      </c>
      <c r="BX125" t="s">
        <v>121</v>
      </c>
      <c r="BY125">
        <v>6000</v>
      </c>
      <c r="BZ125" t="s">
        <v>80</v>
      </c>
      <c r="CC125" t="s">
        <v>156</v>
      </c>
      <c r="CD125">
        <v>1501</v>
      </c>
      <c r="CE125" t="s">
        <v>89</v>
      </c>
      <c r="CF125" s="2">
        <v>44180</v>
      </c>
      <c r="CI125">
        <v>1</v>
      </c>
      <c r="CJ125">
        <v>1</v>
      </c>
      <c r="CK125">
        <v>21</v>
      </c>
      <c r="CL125" t="s">
        <v>81</v>
      </c>
    </row>
    <row r="126" spans="1:90" x14ac:dyDescent="0.25">
      <c r="A126" t="s">
        <v>241</v>
      </c>
      <c r="B126" t="s">
        <v>228</v>
      </c>
      <c r="C126" t="s">
        <v>72</v>
      </c>
      <c r="E126" t="str">
        <f>"009940728298"</f>
        <v>009940728298</v>
      </c>
      <c r="F126" s="2">
        <v>44179</v>
      </c>
      <c r="G126">
        <v>202106</v>
      </c>
      <c r="H126" t="s">
        <v>90</v>
      </c>
      <c r="I126" t="s">
        <v>91</v>
      </c>
      <c r="J126" t="s">
        <v>312</v>
      </c>
      <c r="K126" t="s">
        <v>75</v>
      </c>
      <c r="L126" t="s">
        <v>84</v>
      </c>
      <c r="M126" t="s">
        <v>85</v>
      </c>
      <c r="N126" t="s">
        <v>234</v>
      </c>
      <c r="O126" t="s">
        <v>78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4.4000000000000004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46.27</v>
      </c>
      <c r="BM126">
        <v>6.94</v>
      </c>
      <c r="BN126">
        <v>53.21</v>
      </c>
      <c r="BO126">
        <v>53.21</v>
      </c>
      <c r="BQ126" t="s">
        <v>448</v>
      </c>
      <c r="BR126" t="s">
        <v>441</v>
      </c>
      <c r="BS126" s="2">
        <v>44180</v>
      </c>
      <c r="BT126" s="3">
        <v>0.3298611111111111</v>
      </c>
      <c r="BU126" t="s">
        <v>213</v>
      </c>
      <c r="BV126" t="s">
        <v>79</v>
      </c>
      <c r="BY126">
        <v>1200</v>
      </c>
      <c r="BZ126" t="s">
        <v>80</v>
      </c>
      <c r="CC126" t="s">
        <v>85</v>
      </c>
      <c r="CD126">
        <v>1459</v>
      </c>
      <c r="CE126" t="s">
        <v>89</v>
      </c>
      <c r="CF126" s="2">
        <v>44180</v>
      </c>
      <c r="CI126">
        <v>1</v>
      </c>
      <c r="CJ126">
        <v>1</v>
      </c>
      <c r="CK126">
        <v>21</v>
      </c>
      <c r="CL126" t="s">
        <v>81</v>
      </c>
    </row>
    <row r="127" spans="1:90" hidden="1" x14ac:dyDescent="0.25">
      <c r="A127" t="s">
        <v>241</v>
      </c>
      <c r="B127" t="s">
        <v>228</v>
      </c>
      <c r="C127" t="s">
        <v>72</v>
      </c>
      <c r="E127" t="str">
        <f>"009939096514"</f>
        <v>009939096514</v>
      </c>
      <c r="F127" s="2">
        <v>44179</v>
      </c>
      <c r="G127">
        <v>202106</v>
      </c>
      <c r="H127" t="s">
        <v>109</v>
      </c>
      <c r="I127" t="s">
        <v>110</v>
      </c>
      <c r="J127" t="s">
        <v>229</v>
      </c>
      <c r="K127" t="s">
        <v>75</v>
      </c>
      <c r="L127" t="s">
        <v>122</v>
      </c>
      <c r="M127" t="s">
        <v>123</v>
      </c>
      <c r="N127" t="s">
        <v>229</v>
      </c>
      <c r="O127" t="s">
        <v>78</v>
      </c>
      <c r="P127" t="str">
        <f>"NA                            "</f>
        <v xml:space="preserve">NA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18.670000000000002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G127">
        <v>0</v>
      </c>
      <c r="BH127">
        <v>1</v>
      </c>
      <c r="BI127">
        <v>3.3</v>
      </c>
      <c r="BJ127">
        <v>8.1</v>
      </c>
      <c r="BK127">
        <v>8.5</v>
      </c>
      <c r="BL127">
        <v>196.52</v>
      </c>
      <c r="BM127">
        <v>29.48</v>
      </c>
      <c r="BN127">
        <v>226</v>
      </c>
      <c r="BO127">
        <v>226</v>
      </c>
      <c r="BQ127" t="s">
        <v>463</v>
      </c>
      <c r="BR127" t="s">
        <v>247</v>
      </c>
      <c r="BS127" s="2">
        <v>44180</v>
      </c>
      <c r="BT127" s="3">
        <v>0.375</v>
      </c>
      <c r="BU127" t="s">
        <v>248</v>
      </c>
      <c r="BV127" t="s">
        <v>79</v>
      </c>
      <c r="BY127">
        <v>40330.22</v>
      </c>
      <c r="BZ127" t="s">
        <v>80</v>
      </c>
      <c r="CA127" t="s">
        <v>249</v>
      </c>
      <c r="CC127" t="s">
        <v>123</v>
      </c>
      <c r="CD127">
        <v>3630</v>
      </c>
      <c r="CE127" t="s">
        <v>89</v>
      </c>
      <c r="CF127" s="2">
        <v>44180</v>
      </c>
      <c r="CI127">
        <v>1</v>
      </c>
      <c r="CJ127">
        <v>1</v>
      </c>
      <c r="CK127">
        <v>21</v>
      </c>
      <c r="CL127" t="s">
        <v>81</v>
      </c>
    </row>
    <row r="128" spans="1:90" hidden="1" x14ac:dyDescent="0.25">
      <c r="A128" t="s">
        <v>241</v>
      </c>
      <c r="B128" t="s">
        <v>228</v>
      </c>
      <c r="C128" t="s">
        <v>72</v>
      </c>
      <c r="E128" t="str">
        <f>"009940728292"</f>
        <v>009940728292</v>
      </c>
      <c r="F128" s="2">
        <v>44179</v>
      </c>
      <c r="G128">
        <v>202106</v>
      </c>
      <c r="H128" t="s">
        <v>90</v>
      </c>
      <c r="I128" t="s">
        <v>91</v>
      </c>
      <c r="J128" t="s">
        <v>312</v>
      </c>
      <c r="K128" t="s">
        <v>75</v>
      </c>
      <c r="L128" t="s">
        <v>122</v>
      </c>
      <c r="M128" t="s">
        <v>123</v>
      </c>
      <c r="N128" t="s">
        <v>464</v>
      </c>
      <c r="O128" t="s">
        <v>78</v>
      </c>
      <c r="P128" t="str">
        <f>"KIA                           "</f>
        <v xml:space="preserve">KIA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3.43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G128">
        <v>0</v>
      </c>
      <c r="BH128">
        <v>1</v>
      </c>
      <c r="BI128">
        <v>2</v>
      </c>
      <c r="BJ128">
        <v>1.2</v>
      </c>
      <c r="BK128">
        <v>2</v>
      </c>
      <c r="BL128">
        <v>36.14</v>
      </c>
      <c r="BM128">
        <v>5.42</v>
      </c>
      <c r="BN128">
        <v>41.56</v>
      </c>
      <c r="BO128">
        <v>41.56</v>
      </c>
      <c r="BQ128" t="s">
        <v>465</v>
      </c>
      <c r="BR128" t="s">
        <v>441</v>
      </c>
      <c r="BS128" s="2">
        <v>44180</v>
      </c>
      <c r="BT128" s="3">
        <v>0.35347222222222219</v>
      </c>
      <c r="BU128" t="s">
        <v>183</v>
      </c>
      <c r="BV128" t="s">
        <v>79</v>
      </c>
      <c r="BY128">
        <v>6000</v>
      </c>
      <c r="BZ128" t="s">
        <v>80</v>
      </c>
      <c r="CC128" t="s">
        <v>123</v>
      </c>
      <c r="CD128">
        <v>3629</v>
      </c>
      <c r="CE128" t="s">
        <v>89</v>
      </c>
      <c r="CF128" s="2">
        <v>44180</v>
      </c>
      <c r="CI128">
        <v>1</v>
      </c>
      <c r="CJ128">
        <v>1</v>
      </c>
      <c r="CK128">
        <v>22</v>
      </c>
      <c r="CL128" t="s">
        <v>81</v>
      </c>
    </row>
    <row r="129" spans="1:90" hidden="1" x14ac:dyDescent="0.25">
      <c r="A129" t="s">
        <v>241</v>
      </c>
      <c r="B129" t="s">
        <v>228</v>
      </c>
      <c r="C129" t="s">
        <v>72</v>
      </c>
      <c r="E129" t="str">
        <f>"009940728290"</f>
        <v>009940728290</v>
      </c>
      <c r="F129" s="2">
        <v>44179</v>
      </c>
      <c r="G129">
        <v>202106</v>
      </c>
      <c r="H129" t="s">
        <v>90</v>
      </c>
      <c r="I129" t="s">
        <v>91</v>
      </c>
      <c r="J129" t="s">
        <v>312</v>
      </c>
      <c r="K129" t="s">
        <v>75</v>
      </c>
      <c r="L129" t="s">
        <v>172</v>
      </c>
      <c r="M129" t="s">
        <v>173</v>
      </c>
      <c r="N129" t="s">
        <v>466</v>
      </c>
      <c r="O129" t="s">
        <v>78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6.18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G129">
        <v>0</v>
      </c>
      <c r="BH129">
        <v>1</v>
      </c>
      <c r="BI129">
        <v>2</v>
      </c>
      <c r="BJ129">
        <v>1.2</v>
      </c>
      <c r="BK129">
        <v>2</v>
      </c>
      <c r="BL129">
        <v>65.06</v>
      </c>
      <c r="BM129">
        <v>9.76</v>
      </c>
      <c r="BN129">
        <v>74.819999999999993</v>
      </c>
      <c r="BO129">
        <v>74.819999999999993</v>
      </c>
      <c r="BQ129" t="s">
        <v>467</v>
      </c>
      <c r="BR129" t="s">
        <v>441</v>
      </c>
      <c r="BS129" s="2">
        <v>44182</v>
      </c>
      <c r="BT129" s="3">
        <v>0.65625</v>
      </c>
      <c r="BU129" t="s">
        <v>468</v>
      </c>
      <c r="BV129" t="s">
        <v>79</v>
      </c>
      <c r="BY129">
        <v>6000</v>
      </c>
      <c r="BZ129" t="s">
        <v>80</v>
      </c>
      <c r="CA129" t="s">
        <v>174</v>
      </c>
      <c r="CC129" t="s">
        <v>173</v>
      </c>
      <c r="CD129">
        <v>4240</v>
      </c>
      <c r="CE129" t="s">
        <v>89</v>
      </c>
      <c r="CF129" s="2">
        <v>44183</v>
      </c>
      <c r="CI129">
        <v>2</v>
      </c>
      <c r="CJ129">
        <v>3</v>
      </c>
      <c r="CK129">
        <v>24</v>
      </c>
      <c r="CL129" t="s">
        <v>81</v>
      </c>
    </row>
    <row r="130" spans="1:90" hidden="1" x14ac:dyDescent="0.25">
      <c r="A130" t="s">
        <v>241</v>
      </c>
      <c r="B130" t="s">
        <v>228</v>
      </c>
      <c r="C130" t="s">
        <v>72</v>
      </c>
      <c r="E130" t="str">
        <f>"009939926566"</f>
        <v>009939926566</v>
      </c>
      <c r="F130" s="2">
        <v>44179</v>
      </c>
      <c r="G130">
        <v>202106</v>
      </c>
      <c r="H130" t="s">
        <v>95</v>
      </c>
      <c r="I130" t="s">
        <v>96</v>
      </c>
      <c r="J130" t="s">
        <v>229</v>
      </c>
      <c r="K130" t="s">
        <v>75</v>
      </c>
      <c r="L130" t="s">
        <v>122</v>
      </c>
      <c r="M130" t="s">
        <v>123</v>
      </c>
      <c r="N130" t="s">
        <v>229</v>
      </c>
      <c r="O130" t="s">
        <v>93</v>
      </c>
      <c r="P130" t="str">
        <f>"NA                            "</f>
        <v xml:space="preserve">NA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9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G130">
        <v>0</v>
      </c>
      <c r="BH130">
        <v>1</v>
      </c>
      <c r="BI130">
        <v>4.0999999999999996</v>
      </c>
      <c r="BJ130">
        <v>3.6</v>
      </c>
      <c r="BK130">
        <v>5</v>
      </c>
      <c r="BL130">
        <v>99.71</v>
      </c>
      <c r="BM130">
        <v>14.96</v>
      </c>
      <c r="BN130">
        <v>114.67</v>
      </c>
      <c r="BO130">
        <v>114.67</v>
      </c>
      <c r="BQ130" t="s">
        <v>463</v>
      </c>
      <c r="BR130" t="s">
        <v>250</v>
      </c>
      <c r="BS130" s="2">
        <v>44182</v>
      </c>
      <c r="BT130" s="3">
        <v>0.41805555555555557</v>
      </c>
      <c r="BU130" t="s">
        <v>248</v>
      </c>
      <c r="BV130" t="s">
        <v>79</v>
      </c>
      <c r="BY130">
        <v>17756.16</v>
      </c>
      <c r="CA130" t="s">
        <v>249</v>
      </c>
      <c r="CC130" t="s">
        <v>123</v>
      </c>
      <c r="CD130">
        <v>3630</v>
      </c>
      <c r="CE130" t="s">
        <v>89</v>
      </c>
      <c r="CF130" s="2">
        <v>44182</v>
      </c>
      <c r="CI130">
        <v>2</v>
      </c>
      <c r="CJ130">
        <v>3</v>
      </c>
      <c r="CK130" t="s">
        <v>129</v>
      </c>
      <c r="CL130" t="s">
        <v>81</v>
      </c>
    </row>
    <row r="131" spans="1:90" hidden="1" x14ac:dyDescent="0.25">
      <c r="A131" t="s">
        <v>241</v>
      </c>
      <c r="B131" t="s">
        <v>228</v>
      </c>
      <c r="C131" t="s">
        <v>72</v>
      </c>
      <c r="E131" t="str">
        <f>"009940688098"</f>
        <v>009940688098</v>
      </c>
      <c r="F131" s="2">
        <v>44176</v>
      </c>
      <c r="G131">
        <v>202106</v>
      </c>
      <c r="H131" t="s">
        <v>109</v>
      </c>
      <c r="I131" t="s">
        <v>110</v>
      </c>
      <c r="J131" t="s">
        <v>275</v>
      </c>
      <c r="K131" t="s">
        <v>75</v>
      </c>
      <c r="L131" t="s">
        <v>109</v>
      </c>
      <c r="M131" t="s">
        <v>110</v>
      </c>
      <c r="N131" t="s">
        <v>580</v>
      </c>
      <c r="O131" t="s">
        <v>78</v>
      </c>
      <c r="P131" t="str">
        <f>"PHONE                         "</f>
        <v xml:space="preserve">PHONE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3.43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G131">
        <v>0</v>
      </c>
      <c r="BH131">
        <v>1</v>
      </c>
      <c r="BI131">
        <v>0.8</v>
      </c>
      <c r="BJ131">
        <v>2.7</v>
      </c>
      <c r="BK131">
        <v>3</v>
      </c>
      <c r="BL131">
        <v>36.14</v>
      </c>
      <c r="BM131">
        <v>5.42</v>
      </c>
      <c r="BN131">
        <v>41.56</v>
      </c>
      <c r="BO131">
        <v>41.56</v>
      </c>
      <c r="BR131" t="s">
        <v>272</v>
      </c>
      <c r="BS131" s="2">
        <v>44179</v>
      </c>
      <c r="BT131" s="3">
        <v>0.42291666666666666</v>
      </c>
      <c r="BU131" t="s">
        <v>254</v>
      </c>
      <c r="BV131" t="s">
        <v>79</v>
      </c>
      <c r="BY131">
        <v>13645.62</v>
      </c>
      <c r="BZ131" t="s">
        <v>211</v>
      </c>
      <c r="CC131" t="s">
        <v>110</v>
      </c>
      <c r="CD131">
        <v>2013</v>
      </c>
      <c r="CE131" t="s">
        <v>89</v>
      </c>
      <c r="CF131" s="2">
        <v>44180</v>
      </c>
      <c r="CI131">
        <v>1</v>
      </c>
      <c r="CJ131">
        <v>1</v>
      </c>
      <c r="CK131">
        <v>22</v>
      </c>
      <c r="CL131" t="s">
        <v>81</v>
      </c>
    </row>
    <row r="132" spans="1:90" hidden="1" x14ac:dyDescent="0.25">
      <c r="A132" t="s">
        <v>241</v>
      </c>
      <c r="B132" t="s">
        <v>228</v>
      </c>
      <c r="C132" t="s">
        <v>72</v>
      </c>
      <c r="E132" t="str">
        <f>"009940490179"</f>
        <v>009940490179</v>
      </c>
      <c r="F132" s="2">
        <v>44176</v>
      </c>
      <c r="G132">
        <v>202106</v>
      </c>
      <c r="H132" t="s">
        <v>136</v>
      </c>
      <c r="I132" t="s">
        <v>137</v>
      </c>
      <c r="J132" t="s">
        <v>469</v>
      </c>
      <c r="K132" t="s">
        <v>75</v>
      </c>
      <c r="L132" t="s">
        <v>109</v>
      </c>
      <c r="M132" t="s">
        <v>110</v>
      </c>
      <c r="N132" t="s">
        <v>580</v>
      </c>
      <c r="O132" t="s">
        <v>78</v>
      </c>
      <c r="P132" t="str">
        <f>"PHONE                         "</f>
        <v xml:space="preserve">PHONE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3.43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G132">
        <v>0</v>
      </c>
      <c r="BH132">
        <v>1</v>
      </c>
      <c r="BI132">
        <v>0.5</v>
      </c>
      <c r="BJ132">
        <v>1.3</v>
      </c>
      <c r="BK132">
        <v>2</v>
      </c>
      <c r="BL132">
        <v>36.14</v>
      </c>
      <c r="BM132">
        <v>5.42</v>
      </c>
      <c r="BN132">
        <v>41.56</v>
      </c>
      <c r="BO132">
        <v>41.56</v>
      </c>
      <c r="BR132" t="s">
        <v>212</v>
      </c>
      <c r="BS132" s="2">
        <v>44179</v>
      </c>
      <c r="BT132" s="3">
        <v>0.42291666666666666</v>
      </c>
      <c r="BU132" t="s">
        <v>252</v>
      </c>
      <c r="BV132" t="s">
        <v>79</v>
      </c>
      <c r="BY132">
        <v>6682.57</v>
      </c>
      <c r="BZ132" t="s">
        <v>211</v>
      </c>
      <c r="CC132" t="s">
        <v>110</v>
      </c>
      <c r="CD132">
        <v>2013</v>
      </c>
      <c r="CE132" t="s">
        <v>89</v>
      </c>
      <c r="CF132" s="2">
        <v>44180</v>
      </c>
      <c r="CI132">
        <v>1</v>
      </c>
      <c r="CJ132">
        <v>1</v>
      </c>
      <c r="CK132">
        <v>22</v>
      </c>
      <c r="CL132" t="s">
        <v>81</v>
      </c>
    </row>
    <row r="133" spans="1:90" hidden="1" x14ac:dyDescent="0.25">
      <c r="A133" t="s">
        <v>241</v>
      </c>
      <c r="B133" t="s">
        <v>228</v>
      </c>
      <c r="C133" t="s">
        <v>72</v>
      </c>
      <c r="E133" t="str">
        <f>"009940106606"</f>
        <v>009940106606</v>
      </c>
      <c r="F133" s="2">
        <v>44180</v>
      </c>
      <c r="G133">
        <v>202106</v>
      </c>
      <c r="H133" t="s">
        <v>84</v>
      </c>
      <c r="I133" t="s">
        <v>85</v>
      </c>
      <c r="J133" t="s">
        <v>242</v>
      </c>
      <c r="K133" t="s">
        <v>75</v>
      </c>
      <c r="L133" t="s">
        <v>109</v>
      </c>
      <c r="M133" t="s">
        <v>110</v>
      </c>
      <c r="N133" t="s">
        <v>229</v>
      </c>
      <c r="O133" t="s">
        <v>78</v>
      </c>
      <c r="P133" t="str">
        <f>"NA                            "</f>
        <v xml:space="preserve">NA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3.43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36.14</v>
      </c>
      <c r="BM133">
        <v>5.42</v>
      </c>
      <c r="BN133">
        <v>41.56</v>
      </c>
      <c r="BO133">
        <v>41.56</v>
      </c>
      <c r="BQ133" t="s">
        <v>200</v>
      </c>
      <c r="BR133" t="s">
        <v>200</v>
      </c>
      <c r="BS133" s="2">
        <v>44182</v>
      </c>
      <c r="BT133" s="3">
        <v>0.3659722222222222</v>
      </c>
      <c r="BU133" t="s">
        <v>254</v>
      </c>
      <c r="BV133" t="s">
        <v>79</v>
      </c>
      <c r="BY133">
        <v>1200</v>
      </c>
      <c r="BZ133" t="s">
        <v>80</v>
      </c>
      <c r="CC133" t="s">
        <v>110</v>
      </c>
      <c r="CD133">
        <v>2013</v>
      </c>
      <c r="CE133" t="s">
        <v>89</v>
      </c>
      <c r="CF133" s="2">
        <v>44183</v>
      </c>
      <c r="CI133">
        <v>1</v>
      </c>
      <c r="CJ133">
        <v>2</v>
      </c>
      <c r="CK133">
        <v>22</v>
      </c>
      <c r="CL133" t="s">
        <v>81</v>
      </c>
    </row>
    <row r="134" spans="1:90" hidden="1" x14ac:dyDescent="0.25">
      <c r="A134" t="s">
        <v>241</v>
      </c>
      <c r="B134" t="s">
        <v>228</v>
      </c>
      <c r="C134" t="s">
        <v>72</v>
      </c>
      <c r="E134" t="str">
        <f>"009940504757"</f>
        <v>009940504757</v>
      </c>
      <c r="F134" s="2">
        <v>44180</v>
      </c>
      <c r="G134">
        <v>202106</v>
      </c>
      <c r="H134" t="s">
        <v>360</v>
      </c>
      <c r="I134" t="s">
        <v>361</v>
      </c>
      <c r="J134" t="s">
        <v>242</v>
      </c>
      <c r="K134" t="s">
        <v>75</v>
      </c>
      <c r="L134" t="s">
        <v>109</v>
      </c>
      <c r="M134" t="s">
        <v>110</v>
      </c>
      <c r="N134" t="s">
        <v>470</v>
      </c>
      <c r="O134" t="s">
        <v>93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12.36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135.12</v>
      </c>
      <c r="BM134">
        <v>20.27</v>
      </c>
      <c r="BN134">
        <v>155.38999999999999</v>
      </c>
      <c r="BO134">
        <v>155.38999999999999</v>
      </c>
      <c r="BR134" t="s">
        <v>471</v>
      </c>
      <c r="BS134" s="2">
        <v>44182</v>
      </c>
      <c r="BT134" s="3">
        <v>0.37916666666666665</v>
      </c>
      <c r="BU134" t="s">
        <v>254</v>
      </c>
      <c r="BV134" t="s">
        <v>79</v>
      </c>
      <c r="BY134">
        <v>1200</v>
      </c>
      <c r="CC134" t="s">
        <v>110</v>
      </c>
      <c r="CD134">
        <v>2000</v>
      </c>
      <c r="CE134" t="s">
        <v>89</v>
      </c>
      <c r="CF134" s="2">
        <v>44183</v>
      </c>
      <c r="CI134">
        <v>1</v>
      </c>
      <c r="CJ134">
        <v>2</v>
      </c>
      <c r="CK134" t="s">
        <v>364</v>
      </c>
      <c r="CL134" t="s">
        <v>81</v>
      </c>
    </row>
    <row r="135" spans="1:90" hidden="1" x14ac:dyDescent="0.25">
      <c r="A135" t="s">
        <v>241</v>
      </c>
      <c r="B135" t="s">
        <v>228</v>
      </c>
      <c r="C135" t="s">
        <v>72</v>
      </c>
      <c r="E135" t="str">
        <f>"009940859680"</f>
        <v>009940859680</v>
      </c>
      <c r="F135" s="2">
        <v>44180</v>
      </c>
      <c r="G135">
        <v>202106</v>
      </c>
      <c r="H135" t="s">
        <v>195</v>
      </c>
      <c r="I135" t="s">
        <v>196</v>
      </c>
      <c r="J135" t="s">
        <v>242</v>
      </c>
      <c r="K135" t="s">
        <v>75</v>
      </c>
      <c r="L135" t="s">
        <v>109</v>
      </c>
      <c r="M135" t="s">
        <v>110</v>
      </c>
      <c r="N135" t="s">
        <v>229</v>
      </c>
      <c r="O135" t="s">
        <v>93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8.24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91.74</v>
      </c>
      <c r="BM135">
        <v>13.76</v>
      </c>
      <c r="BN135">
        <v>105.5</v>
      </c>
      <c r="BO135">
        <v>105.5</v>
      </c>
      <c r="BS135" s="2">
        <v>44182</v>
      </c>
      <c r="BT135" s="3">
        <v>0.3611111111111111</v>
      </c>
      <c r="BU135" t="s">
        <v>254</v>
      </c>
      <c r="BV135" t="s">
        <v>79</v>
      </c>
      <c r="BY135">
        <v>1200</v>
      </c>
      <c r="CC135" t="s">
        <v>110</v>
      </c>
      <c r="CD135">
        <v>2013</v>
      </c>
      <c r="CE135" t="s">
        <v>89</v>
      </c>
      <c r="CF135" s="2">
        <v>44183</v>
      </c>
      <c r="CI135">
        <v>1</v>
      </c>
      <c r="CJ135">
        <v>2</v>
      </c>
      <c r="CK135" t="s">
        <v>126</v>
      </c>
      <c r="CL135" t="s">
        <v>81</v>
      </c>
    </row>
    <row r="136" spans="1:90" hidden="1" x14ac:dyDescent="0.25">
      <c r="A136" t="s">
        <v>241</v>
      </c>
      <c r="B136" t="s">
        <v>228</v>
      </c>
      <c r="C136" t="s">
        <v>72</v>
      </c>
      <c r="E136" t="str">
        <f>"009940476430"</f>
        <v>009940476430</v>
      </c>
      <c r="F136" s="2">
        <v>44180</v>
      </c>
      <c r="G136">
        <v>202106</v>
      </c>
      <c r="H136" t="s">
        <v>112</v>
      </c>
      <c r="I136" t="s">
        <v>92</v>
      </c>
      <c r="J136" t="s">
        <v>242</v>
      </c>
      <c r="K136" t="s">
        <v>75</v>
      </c>
      <c r="L136" t="s">
        <v>109</v>
      </c>
      <c r="M136" t="s">
        <v>110</v>
      </c>
      <c r="N136" t="s">
        <v>242</v>
      </c>
      <c r="O136" t="s">
        <v>93</v>
      </c>
      <c r="P136" t="str">
        <f>"NOREF                         "</f>
        <v xml:space="preserve">NOREF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6.18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G136">
        <v>0</v>
      </c>
      <c r="BH136">
        <v>1</v>
      </c>
      <c r="BI136">
        <v>1</v>
      </c>
      <c r="BJ136">
        <v>0.5</v>
      </c>
      <c r="BK136">
        <v>1</v>
      </c>
      <c r="BL136">
        <v>70.06</v>
      </c>
      <c r="BM136">
        <v>10.51</v>
      </c>
      <c r="BN136">
        <v>80.569999999999993</v>
      </c>
      <c r="BO136">
        <v>80.569999999999993</v>
      </c>
      <c r="BQ136" t="s">
        <v>472</v>
      </c>
      <c r="BR136" t="s">
        <v>254</v>
      </c>
      <c r="BS136" s="2">
        <v>44182</v>
      </c>
      <c r="BT136" s="3">
        <v>0.35972222222222222</v>
      </c>
      <c r="BU136" t="s">
        <v>254</v>
      </c>
      <c r="BV136" t="s">
        <v>79</v>
      </c>
      <c r="BY136">
        <v>2400</v>
      </c>
      <c r="CC136" t="s">
        <v>110</v>
      </c>
      <c r="CD136">
        <v>2000</v>
      </c>
      <c r="CE136" t="s">
        <v>89</v>
      </c>
      <c r="CF136" s="2">
        <v>44183</v>
      </c>
      <c r="CI136">
        <v>0</v>
      </c>
      <c r="CJ136">
        <v>0</v>
      </c>
      <c r="CK136" t="s">
        <v>359</v>
      </c>
      <c r="CL136" t="s">
        <v>81</v>
      </c>
    </row>
    <row r="137" spans="1:90" hidden="1" x14ac:dyDescent="0.25">
      <c r="A137" t="s">
        <v>241</v>
      </c>
      <c r="B137" t="s">
        <v>228</v>
      </c>
      <c r="C137" t="s">
        <v>72</v>
      </c>
      <c r="E137" t="str">
        <f>"009940476428"</f>
        <v>009940476428</v>
      </c>
      <c r="F137" s="2">
        <v>44180</v>
      </c>
      <c r="G137">
        <v>202106</v>
      </c>
      <c r="H137" t="s">
        <v>112</v>
      </c>
      <c r="I137" t="s">
        <v>92</v>
      </c>
      <c r="J137" t="s">
        <v>242</v>
      </c>
      <c r="K137" t="s">
        <v>75</v>
      </c>
      <c r="L137" t="s">
        <v>109</v>
      </c>
      <c r="M137" t="s">
        <v>110</v>
      </c>
      <c r="N137" t="s">
        <v>229</v>
      </c>
      <c r="O137" t="s">
        <v>93</v>
      </c>
      <c r="P137" t="str">
        <f>"NOREF                         "</f>
        <v xml:space="preserve">NOREF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6.18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G137">
        <v>0</v>
      </c>
      <c r="BH137">
        <v>1</v>
      </c>
      <c r="BI137">
        <v>1</v>
      </c>
      <c r="BJ137">
        <v>0.5</v>
      </c>
      <c r="BK137">
        <v>1</v>
      </c>
      <c r="BL137">
        <v>70.06</v>
      </c>
      <c r="BM137">
        <v>10.51</v>
      </c>
      <c r="BN137">
        <v>80.569999999999993</v>
      </c>
      <c r="BO137">
        <v>80.569999999999993</v>
      </c>
      <c r="BQ137" t="s">
        <v>175</v>
      </c>
      <c r="BR137" t="s">
        <v>394</v>
      </c>
      <c r="BS137" s="2">
        <v>44182</v>
      </c>
      <c r="BT137" s="3">
        <v>0.35833333333333334</v>
      </c>
      <c r="BU137" t="s">
        <v>254</v>
      </c>
      <c r="BV137" t="s">
        <v>79</v>
      </c>
      <c r="BY137">
        <v>2400</v>
      </c>
      <c r="CC137" t="s">
        <v>110</v>
      </c>
      <c r="CD137">
        <v>2000</v>
      </c>
      <c r="CE137" t="s">
        <v>89</v>
      </c>
      <c r="CF137" s="2">
        <v>44183</v>
      </c>
      <c r="CI137">
        <v>0</v>
      </c>
      <c r="CJ137">
        <v>0</v>
      </c>
      <c r="CK137" t="s">
        <v>359</v>
      </c>
      <c r="CL137" t="s">
        <v>81</v>
      </c>
    </row>
    <row r="138" spans="1:90" hidden="1" x14ac:dyDescent="0.25">
      <c r="A138" t="s">
        <v>241</v>
      </c>
      <c r="B138" t="s">
        <v>228</v>
      </c>
      <c r="C138" t="s">
        <v>72</v>
      </c>
      <c r="E138" t="str">
        <f>"009940374930"</f>
        <v>009940374930</v>
      </c>
      <c r="F138" s="2">
        <v>44180</v>
      </c>
      <c r="G138">
        <v>202106</v>
      </c>
      <c r="H138" t="s">
        <v>109</v>
      </c>
      <c r="I138" t="s">
        <v>110</v>
      </c>
      <c r="J138" t="s">
        <v>576</v>
      </c>
      <c r="K138" t="s">
        <v>75</v>
      </c>
      <c r="L138" t="s">
        <v>109</v>
      </c>
      <c r="M138" t="s">
        <v>110</v>
      </c>
      <c r="N138" t="s">
        <v>229</v>
      </c>
      <c r="O138" t="s">
        <v>93</v>
      </c>
      <c r="P138" t="str">
        <f>"NA                            "</f>
        <v xml:space="preserve">NA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6.18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70.06</v>
      </c>
      <c r="BM138">
        <v>10.51</v>
      </c>
      <c r="BN138">
        <v>80.569999999999993</v>
      </c>
      <c r="BO138">
        <v>80.569999999999993</v>
      </c>
      <c r="BQ138" t="s">
        <v>200</v>
      </c>
      <c r="BR138" t="s">
        <v>473</v>
      </c>
      <c r="BS138" s="2">
        <v>44182</v>
      </c>
      <c r="BT138" s="3">
        <v>0.36041666666666666</v>
      </c>
      <c r="BU138" t="s">
        <v>254</v>
      </c>
      <c r="BV138" t="s">
        <v>79</v>
      </c>
      <c r="BY138">
        <v>1200</v>
      </c>
      <c r="CC138" t="s">
        <v>110</v>
      </c>
      <c r="CD138">
        <v>2013</v>
      </c>
      <c r="CE138" t="s">
        <v>89</v>
      </c>
      <c r="CF138" s="2">
        <v>44183</v>
      </c>
      <c r="CI138">
        <v>1</v>
      </c>
      <c r="CJ138">
        <v>2</v>
      </c>
      <c r="CK138" t="s">
        <v>190</v>
      </c>
      <c r="CL138" t="s">
        <v>81</v>
      </c>
    </row>
    <row r="139" spans="1:90" hidden="1" x14ac:dyDescent="0.25">
      <c r="A139" t="s">
        <v>241</v>
      </c>
      <c r="B139" t="s">
        <v>228</v>
      </c>
      <c r="C139" t="s">
        <v>72</v>
      </c>
      <c r="E139" t="str">
        <f>"009940758100"</f>
        <v>009940758100</v>
      </c>
      <c r="F139" s="2">
        <v>44182</v>
      </c>
      <c r="G139">
        <v>202106</v>
      </c>
      <c r="H139" t="s">
        <v>95</v>
      </c>
      <c r="I139" t="s">
        <v>96</v>
      </c>
      <c r="J139" t="s">
        <v>242</v>
      </c>
      <c r="K139" t="s">
        <v>75</v>
      </c>
      <c r="L139" t="s">
        <v>109</v>
      </c>
      <c r="M139" t="s">
        <v>110</v>
      </c>
      <c r="N139" t="s">
        <v>229</v>
      </c>
      <c r="O139" t="s">
        <v>78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4.4000000000000004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G139">
        <v>0</v>
      </c>
      <c r="BH139">
        <v>1</v>
      </c>
      <c r="BI139">
        <v>0.7</v>
      </c>
      <c r="BJ139">
        <v>1.1000000000000001</v>
      </c>
      <c r="BK139">
        <v>1.5</v>
      </c>
      <c r="BL139">
        <v>46.27</v>
      </c>
      <c r="BM139">
        <v>6.94</v>
      </c>
      <c r="BN139">
        <v>53.21</v>
      </c>
      <c r="BO139">
        <v>53.21</v>
      </c>
      <c r="BQ139" t="s">
        <v>252</v>
      </c>
      <c r="BR139" t="s">
        <v>267</v>
      </c>
      <c r="BS139" s="2">
        <v>44183</v>
      </c>
      <c r="BT139" s="3">
        <v>0.3215277777777778</v>
      </c>
      <c r="BU139" t="s">
        <v>225</v>
      </c>
      <c r="BV139" t="s">
        <v>79</v>
      </c>
      <c r="BY139">
        <v>5455.73</v>
      </c>
      <c r="BZ139" t="s">
        <v>80</v>
      </c>
      <c r="CC139" t="s">
        <v>110</v>
      </c>
      <c r="CD139">
        <v>2013</v>
      </c>
      <c r="CE139" t="s">
        <v>89</v>
      </c>
      <c r="CF139" s="2">
        <v>44184</v>
      </c>
      <c r="CI139">
        <v>1</v>
      </c>
      <c r="CJ139">
        <v>1</v>
      </c>
      <c r="CK139">
        <v>21</v>
      </c>
      <c r="CL139" t="s">
        <v>81</v>
      </c>
    </row>
    <row r="140" spans="1:90" hidden="1" x14ac:dyDescent="0.25">
      <c r="A140" t="s">
        <v>241</v>
      </c>
      <c r="B140" t="s">
        <v>228</v>
      </c>
      <c r="C140" t="s">
        <v>72</v>
      </c>
      <c r="E140" t="str">
        <f>"009940383134"</f>
        <v>009940383134</v>
      </c>
      <c r="F140" s="2">
        <v>44182</v>
      </c>
      <c r="G140">
        <v>202106</v>
      </c>
      <c r="H140" t="s">
        <v>177</v>
      </c>
      <c r="I140" t="s">
        <v>178</v>
      </c>
      <c r="J140" t="s">
        <v>474</v>
      </c>
      <c r="K140" t="s">
        <v>75</v>
      </c>
      <c r="L140" t="s">
        <v>109</v>
      </c>
      <c r="M140" t="s">
        <v>110</v>
      </c>
      <c r="N140" t="s">
        <v>581</v>
      </c>
      <c r="O140" t="s">
        <v>93</v>
      </c>
      <c r="P140" t="str">
        <f>"NA                            "</f>
        <v xml:space="preserve">NA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6.18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70.06</v>
      </c>
      <c r="BM140">
        <v>10.51</v>
      </c>
      <c r="BN140">
        <v>80.569999999999993</v>
      </c>
      <c r="BO140">
        <v>80.569999999999993</v>
      </c>
      <c r="BQ140" t="s">
        <v>200</v>
      </c>
      <c r="BR140" t="s">
        <v>475</v>
      </c>
      <c r="BS140" s="2">
        <v>44183</v>
      </c>
      <c r="BT140" s="3">
        <v>0.32291666666666669</v>
      </c>
      <c r="BU140" t="s">
        <v>141</v>
      </c>
      <c r="BV140" t="s">
        <v>79</v>
      </c>
      <c r="BY140">
        <v>1200</v>
      </c>
      <c r="CC140" t="s">
        <v>110</v>
      </c>
      <c r="CD140">
        <v>2013</v>
      </c>
      <c r="CE140" t="s">
        <v>89</v>
      </c>
      <c r="CF140" s="2">
        <v>44184</v>
      </c>
      <c r="CI140">
        <v>1</v>
      </c>
      <c r="CJ140">
        <v>1</v>
      </c>
      <c r="CK140" t="s">
        <v>359</v>
      </c>
      <c r="CL140" t="s">
        <v>81</v>
      </c>
    </row>
    <row r="141" spans="1:90" x14ac:dyDescent="0.25">
      <c r="A141" t="s">
        <v>241</v>
      </c>
      <c r="B141" t="s">
        <v>228</v>
      </c>
      <c r="C141" t="s">
        <v>72</v>
      </c>
      <c r="E141" t="str">
        <f>"009940728299"</f>
        <v>009940728299</v>
      </c>
      <c r="F141" s="2">
        <v>44179</v>
      </c>
      <c r="G141">
        <v>202106</v>
      </c>
      <c r="H141" t="s">
        <v>90</v>
      </c>
      <c r="I141" t="s">
        <v>91</v>
      </c>
      <c r="J141" t="s">
        <v>312</v>
      </c>
      <c r="K141" t="s">
        <v>75</v>
      </c>
      <c r="L141" t="s">
        <v>95</v>
      </c>
      <c r="M141" t="s">
        <v>96</v>
      </c>
      <c r="N141" t="s">
        <v>234</v>
      </c>
      <c r="O141" t="s">
        <v>78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4.4000000000000004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46.27</v>
      </c>
      <c r="BM141">
        <v>6.94</v>
      </c>
      <c r="BN141">
        <v>53.21</v>
      </c>
      <c r="BO141">
        <v>53.21</v>
      </c>
      <c r="BQ141" t="s">
        <v>458</v>
      </c>
      <c r="BR141" t="s">
        <v>441</v>
      </c>
      <c r="BS141" s="2">
        <v>44182</v>
      </c>
      <c r="BT141" s="3">
        <v>0.59027777777777779</v>
      </c>
      <c r="BU141" t="s">
        <v>459</v>
      </c>
      <c r="BV141" t="s">
        <v>81</v>
      </c>
      <c r="BW141" t="s">
        <v>97</v>
      </c>
      <c r="BX141" t="s">
        <v>98</v>
      </c>
      <c r="BY141">
        <v>1200</v>
      </c>
      <c r="BZ141" t="s">
        <v>80</v>
      </c>
      <c r="CC141" t="s">
        <v>96</v>
      </c>
      <c r="CD141">
        <v>8001</v>
      </c>
      <c r="CE141" t="s">
        <v>89</v>
      </c>
      <c r="CF141" s="2">
        <v>44183</v>
      </c>
      <c r="CI141">
        <v>1</v>
      </c>
      <c r="CJ141">
        <v>3</v>
      </c>
      <c r="CK141">
        <v>21</v>
      </c>
      <c r="CL141" t="s">
        <v>81</v>
      </c>
    </row>
    <row r="142" spans="1:90" hidden="1" x14ac:dyDescent="0.25">
      <c r="A142" t="s">
        <v>241</v>
      </c>
      <c r="B142" t="s">
        <v>228</v>
      </c>
      <c r="C142" t="s">
        <v>72</v>
      </c>
      <c r="E142" t="str">
        <f>"009940720281"</f>
        <v>009940720281</v>
      </c>
      <c r="F142" s="2">
        <v>44180</v>
      </c>
      <c r="G142">
        <v>202106</v>
      </c>
      <c r="H142" t="s">
        <v>180</v>
      </c>
      <c r="I142" t="s">
        <v>181</v>
      </c>
      <c r="J142" t="s">
        <v>242</v>
      </c>
      <c r="K142" t="s">
        <v>75</v>
      </c>
      <c r="L142" t="s">
        <v>109</v>
      </c>
      <c r="M142" t="s">
        <v>110</v>
      </c>
      <c r="N142" t="s">
        <v>580</v>
      </c>
      <c r="O142" t="s">
        <v>93</v>
      </c>
      <c r="P142" t="str">
        <f>"PHONE                         "</f>
        <v xml:space="preserve">PHONE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9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99.71</v>
      </c>
      <c r="BM142">
        <v>14.96</v>
      </c>
      <c r="BN142">
        <v>114.67</v>
      </c>
      <c r="BO142">
        <v>114.67</v>
      </c>
      <c r="BR142" t="s">
        <v>272</v>
      </c>
      <c r="BS142" s="2">
        <v>44182</v>
      </c>
      <c r="BT142" s="3">
        <v>0.3576388888888889</v>
      </c>
      <c r="BU142" t="s">
        <v>254</v>
      </c>
      <c r="BV142" t="s">
        <v>79</v>
      </c>
      <c r="BY142">
        <v>1200</v>
      </c>
      <c r="CC142" t="s">
        <v>110</v>
      </c>
      <c r="CD142">
        <v>2013</v>
      </c>
      <c r="CE142" t="s">
        <v>89</v>
      </c>
      <c r="CF142" s="2">
        <v>44183</v>
      </c>
      <c r="CI142">
        <v>1</v>
      </c>
      <c r="CJ142">
        <v>2</v>
      </c>
      <c r="CK142" t="s">
        <v>127</v>
      </c>
      <c r="CL142" t="s">
        <v>81</v>
      </c>
    </row>
    <row r="143" spans="1:90" hidden="1" x14ac:dyDescent="0.25">
      <c r="A143" t="s">
        <v>241</v>
      </c>
      <c r="B143" t="s">
        <v>228</v>
      </c>
      <c r="C143" t="s">
        <v>72</v>
      </c>
      <c r="E143" t="str">
        <f>"009940593392"</f>
        <v>009940593392</v>
      </c>
      <c r="F143" s="2">
        <v>44182</v>
      </c>
      <c r="G143">
        <v>202106</v>
      </c>
      <c r="H143" t="s">
        <v>112</v>
      </c>
      <c r="I143" t="s">
        <v>92</v>
      </c>
      <c r="J143" t="s">
        <v>478</v>
      </c>
      <c r="K143" t="s">
        <v>75</v>
      </c>
      <c r="L143" t="s">
        <v>109</v>
      </c>
      <c r="M143" t="s">
        <v>110</v>
      </c>
      <c r="N143" t="s">
        <v>229</v>
      </c>
      <c r="O143" t="s">
        <v>78</v>
      </c>
      <c r="P143" t="str">
        <f>"JAB2010260031                 "</f>
        <v xml:space="preserve">JAB2010260031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4.4000000000000004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G143">
        <v>0</v>
      </c>
      <c r="BH143">
        <v>1</v>
      </c>
      <c r="BI143">
        <v>1</v>
      </c>
      <c r="BJ143">
        <v>0.5</v>
      </c>
      <c r="BK143">
        <v>1</v>
      </c>
      <c r="BL143">
        <v>46.27</v>
      </c>
      <c r="BM143">
        <v>6.94</v>
      </c>
      <c r="BN143">
        <v>53.21</v>
      </c>
      <c r="BO143">
        <v>53.21</v>
      </c>
      <c r="BQ143" t="s">
        <v>175</v>
      </c>
      <c r="BR143" t="s">
        <v>479</v>
      </c>
      <c r="BS143" s="2">
        <v>44183</v>
      </c>
      <c r="BT143" s="3">
        <v>0.32291666666666669</v>
      </c>
      <c r="BU143" t="s">
        <v>167</v>
      </c>
      <c r="BV143" t="s">
        <v>79</v>
      </c>
      <c r="BY143">
        <v>2400</v>
      </c>
      <c r="BZ143" t="s">
        <v>80</v>
      </c>
      <c r="CC143" t="s">
        <v>110</v>
      </c>
      <c r="CD143">
        <v>2000</v>
      </c>
      <c r="CE143" t="s">
        <v>89</v>
      </c>
      <c r="CF143" s="2">
        <v>44184</v>
      </c>
      <c r="CI143">
        <v>1</v>
      </c>
      <c r="CJ143">
        <v>1</v>
      </c>
      <c r="CK143">
        <v>21</v>
      </c>
      <c r="CL143" t="s">
        <v>81</v>
      </c>
    </row>
    <row r="144" spans="1:90" hidden="1" x14ac:dyDescent="0.25">
      <c r="A144" t="s">
        <v>241</v>
      </c>
      <c r="B144" t="s">
        <v>228</v>
      </c>
      <c r="C144" t="s">
        <v>72</v>
      </c>
      <c r="E144" t="str">
        <f>"009937273141"</f>
        <v>009937273141</v>
      </c>
      <c r="F144" s="2">
        <v>44180</v>
      </c>
      <c r="G144">
        <v>202106</v>
      </c>
      <c r="H144" t="s">
        <v>109</v>
      </c>
      <c r="I144" t="s">
        <v>110</v>
      </c>
      <c r="J144" t="s">
        <v>229</v>
      </c>
      <c r="K144" t="s">
        <v>75</v>
      </c>
      <c r="L144" t="s">
        <v>180</v>
      </c>
      <c r="M144" t="s">
        <v>181</v>
      </c>
      <c r="N144" t="s">
        <v>480</v>
      </c>
      <c r="O144" t="s">
        <v>78</v>
      </c>
      <c r="P144" t="str">
        <f>"PHONE                         "</f>
        <v xml:space="preserve">PHONE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8.52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89.64</v>
      </c>
      <c r="BM144">
        <v>13.45</v>
      </c>
      <c r="BN144">
        <v>103.09</v>
      </c>
      <c r="BO144">
        <v>103.09</v>
      </c>
      <c r="BQ144" t="s">
        <v>481</v>
      </c>
      <c r="BR144" t="s">
        <v>247</v>
      </c>
      <c r="BS144" s="2">
        <v>44182</v>
      </c>
      <c r="BT144" s="3">
        <v>0.50694444444444442</v>
      </c>
      <c r="BU144" t="s">
        <v>482</v>
      </c>
      <c r="BV144" t="s">
        <v>79</v>
      </c>
      <c r="BY144">
        <v>1200</v>
      </c>
      <c r="BZ144" t="s">
        <v>211</v>
      </c>
      <c r="CC144" t="s">
        <v>181</v>
      </c>
      <c r="CD144">
        <v>4420</v>
      </c>
      <c r="CE144" t="s">
        <v>89</v>
      </c>
      <c r="CF144" s="2">
        <v>44183</v>
      </c>
      <c r="CI144">
        <v>1</v>
      </c>
      <c r="CJ144">
        <v>2</v>
      </c>
      <c r="CK144">
        <v>23</v>
      </c>
      <c r="CL144" t="s">
        <v>81</v>
      </c>
    </row>
    <row r="145" spans="1:90" hidden="1" x14ac:dyDescent="0.25">
      <c r="A145" t="s">
        <v>241</v>
      </c>
      <c r="B145" t="s">
        <v>228</v>
      </c>
      <c r="C145" t="s">
        <v>72</v>
      </c>
      <c r="E145" t="str">
        <f>"009940698163"</f>
        <v>009940698163</v>
      </c>
      <c r="F145" s="2">
        <v>44180</v>
      </c>
      <c r="G145">
        <v>202106</v>
      </c>
      <c r="H145" t="s">
        <v>109</v>
      </c>
      <c r="I145" t="s">
        <v>110</v>
      </c>
      <c r="J145" t="s">
        <v>270</v>
      </c>
      <c r="K145" t="s">
        <v>75</v>
      </c>
      <c r="L145" t="s">
        <v>109</v>
      </c>
      <c r="M145" t="s">
        <v>110</v>
      </c>
      <c r="N145" t="s">
        <v>580</v>
      </c>
      <c r="O145" t="s">
        <v>78</v>
      </c>
      <c r="P145" t="str">
        <f>"PHONE                         "</f>
        <v xml:space="preserve">PHONE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3.43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G145">
        <v>0</v>
      </c>
      <c r="BH145">
        <v>1</v>
      </c>
      <c r="BI145">
        <v>0.6</v>
      </c>
      <c r="BJ145">
        <v>2.5</v>
      </c>
      <c r="BK145">
        <v>3</v>
      </c>
      <c r="BL145">
        <v>36.14</v>
      </c>
      <c r="BM145">
        <v>5.42</v>
      </c>
      <c r="BN145">
        <v>41.56</v>
      </c>
      <c r="BO145">
        <v>41.56</v>
      </c>
      <c r="BR145" t="s">
        <v>272</v>
      </c>
      <c r="BS145" s="2">
        <v>44182</v>
      </c>
      <c r="BT145" s="3">
        <v>0.36041666666666666</v>
      </c>
      <c r="BU145" t="s">
        <v>254</v>
      </c>
      <c r="BV145" t="s">
        <v>79</v>
      </c>
      <c r="BY145">
        <v>12382.05</v>
      </c>
      <c r="BZ145" t="s">
        <v>211</v>
      </c>
      <c r="CC145" t="s">
        <v>110</v>
      </c>
      <c r="CD145">
        <v>2013</v>
      </c>
      <c r="CE145" t="s">
        <v>89</v>
      </c>
      <c r="CF145" s="2">
        <v>44183</v>
      </c>
      <c r="CI145">
        <v>1</v>
      </c>
      <c r="CJ145">
        <v>2</v>
      </c>
      <c r="CK145">
        <v>22</v>
      </c>
      <c r="CL145" t="s">
        <v>81</v>
      </c>
    </row>
    <row r="146" spans="1:90" hidden="1" x14ac:dyDescent="0.25">
      <c r="A146" t="s">
        <v>241</v>
      </c>
      <c r="B146" t="s">
        <v>228</v>
      </c>
      <c r="C146" t="s">
        <v>72</v>
      </c>
      <c r="E146" t="str">
        <f>"080010011759"</f>
        <v>080010011759</v>
      </c>
      <c r="F146" s="2">
        <v>44182</v>
      </c>
      <c r="G146">
        <v>202106</v>
      </c>
      <c r="H146" t="s">
        <v>95</v>
      </c>
      <c r="I146" t="s">
        <v>96</v>
      </c>
      <c r="J146" t="s">
        <v>381</v>
      </c>
      <c r="K146" t="s">
        <v>75</v>
      </c>
      <c r="L146" t="s">
        <v>109</v>
      </c>
      <c r="M146" t="s">
        <v>110</v>
      </c>
      <c r="N146" t="s">
        <v>483</v>
      </c>
      <c r="O146" t="s">
        <v>78</v>
      </c>
      <c r="P146" t="str">
        <f>"-                             "</f>
        <v xml:space="preserve">-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4.4000000000000004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G146">
        <v>0</v>
      </c>
      <c r="BH146">
        <v>1</v>
      </c>
      <c r="BI146">
        <v>1.2</v>
      </c>
      <c r="BJ146">
        <v>1.5</v>
      </c>
      <c r="BK146">
        <v>1.5</v>
      </c>
      <c r="BL146">
        <v>46.27</v>
      </c>
      <c r="BM146">
        <v>6.94</v>
      </c>
      <c r="BN146">
        <v>53.21</v>
      </c>
      <c r="BO146">
        <v>53.21</v>
      </c>
      <c r="BQ146" t="s">
        <v>484</v>
      </c>
      <c r="BR146" t="s">
        <v>382</v>
      </c>
      <c r="BS146" s="2">
        <v>44183</v>
      </c>
      <c r="BT146" s="3">
        <v>0.32291666666666669</v>
      </c>
      <c r="BU146" t="s">
        <v>167</v>
      </c>
      <c r="BV146" t="s">
        <v>79</v>
      </c>
      <c r="BY146">
        <v>7357.35</v>
      </c>
      <c r="BZ146" t="s">
        <v>80</v>
      </c>
      <c r="CC146" t="s">
        <v>110</v>
      </c>
      <c r="CD146">
        <v>2013</v>
      </c>
      <c r="CE146" t="s">
        <v>89</v>
      </c>
      <c r="CF146" s="2">
        <v>44184</v>
      </c>
      <c r="CI146">
        <v>1</v>
      </c>
      <c r="CJ146">
        <v>1</v>
      </c>
      <c r="CK146">
        <v>21</v>
      </c>
      <c r="CL146" t="s">
        <v>81</v>
      </c>
    </row>
    <row r="147" spans="1:90" hidden="1" x14ac:dyDescent="0.25">
      <c r="A147" t="s">
        <v>241</v>
      </c>
      <c r="B147" t="s">
        <v>228</v>
      </c>
      <c r="C147" t="s">
        <v>72</v>
      </c>
      <c r="E147" t="str">
        <f>"009940728394"</f>
        <v>009940728394</v>
      </c>
      <c r="F147" s="2">
        <v>44180</v>
      </c>
      <c r="G147">
        <v>202106</v>
      </c>
      <c r="H147" t="s">
        <v>90</v>
      </c>
      <c r="I147" t="s">
        <v>91</v>
      </c>
      <c r="J147" t="s">
        <v>312</v>
      </c>
      <c r="K147" t="s">
        <v>75</v>
      </c>
      <c r="L147" t="s">
        <v>104</v>
      </c>
      <c r="M147" t="s">
        <v>105</v>
      </c>
      <c r="N147" t="s">
        <v>485</v>
      </c>
      <c r="O147" t="s">
        <v>93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8.24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G147">
        <v>0</v>
      </c>
      <c r="BH147">
        <v>1</v>
      </c>
      <c r="BI147">
        <v>2</v>
      </c>
      <c r="BJ147">
        <v>1.6</v>
      </c>
      <c r="BK147">
        <v>2</v>
      </c>
      <c r="BL147">
        <v>91.74</v>
      </c>
      <c r="BM147">
        <v>13.76</v>
      </c>
      <c r="BN147">
        <v>105.5</v>
      </c>
      <c r="BO147">
        <v>105.5</v>
      </c>
      <c r="BQ147" t="s">
        <v>486</v>
      </c>
      <c r="BR147" t="s">
        <v>441</v>
      </c>
      <c r="BS147" s="2">
        <v>44182</v>
      </c>
      <c r="BT147" s="3">
        <v>0.34166666666666662</v>
      </c>
      <c r="BU147" t="s">
        <v>487</v>
      </c>
      <c r="BV147" t="s">
        <v>79</v>
      </c>
      <c r="BY147">
        <v>8000</v>
      </c>
      <c r="CC147" t="s">
        <v>105</v>
      </c>
      <c r="CD147">
        <v>1685</v>
      </c>
      <c r="CE147" t="s">
        <v>89</v>
      </c>
      <c r="CF147" s="2">
        <v>44183</v>
      </c>
      <c r="CI147">
        <v>1</v>
      </c>
      <c r="CJ147">
        <v>2</v>
      </c>
      <c r="CK147" t="s">
        <v>331</v>
      </c>
      <c r="CL147" t="s">
        <v>81</v>
      </c>
    </row>
    <row r="148" spans="1:90" x14ac:dyDescent="0.25">
      <c r="A148" t="s">
        <v>241</v>
      </c>
      <c r="B148" t="s">
        <v>228</v>
      </c>
      <c r="C148" t="s">
        <v>72</v>
      </c>
      <c r="E148" t="str">
        <f>"009940728300"</f>
        <v>009940728300</v>
      </c>
      <c r="F148" s="2">
        <v>44179</v>
      </c>
      <c r="G148">
        <v>202106</v>
      </c>
      <c r="H148" t="s">
        <v>90</v>
      </c>
      <c r="I148" t="s">
        <v>91</v>
      </c>
      <c r="J148" t="s">
        <v>312</v>
      </c>
      <c r="K148" t="s">
        <v>75</v>
      </c>
      <c r="L148" t="s">
        <v>109</v>
      </c>
      <c r="M148" t="s">
        <v>110</v>
      </c>
      <c r="N148" t="s">
        <v>234</v>
      </c>
      <c r="O148" t="s">
        <v>78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4.4000000000000004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46.27</v>
      </c>
      <c r="BM148">
        <v>6.94</v>
      </c>
      <c r="BN148">
        <v>53.21</v>
      </c>
      <c r="BO148">
        <v>53.21</v>
      </c>
      <c r="BQ148" t="s">
        <v>445</v>
      </c>
      <c r="BR148" t="s">
        <v>441</v>
      </c>
      <c r="BS148" s="2">
        <v>44180</v>
      </c>
      <c r="BT148" s="3">
        <v>0.33333333333333331</v>
      </c>
      <c r="BU148" t="s">
        <v>446</v>
      </c>
      <c r="BV148" t="s">
        <v>79</v>
      </c>
      <c r="BY148">
        <v>1200</v>
      </c>
      <c r="BZ148" t="s">
        <v>80</v>
      </c>
      <c r="CC148" t="s">
        <v>110</v>
      </c>
      <c r="CD148">
        <v>2000</v>
      </c>
      <c r="CE148" t="s">
        <v>89</v>
      </c>
      <c r="CF148" s="2">
        <v>44180</v>
      </c>
      <c r="CI148">
        <v>1</v>
      </c>
      <c r="CJ148">
        <v>1</v>
      </c>
      <c r="CK148">
        <v>21</v>
      </c>
      <c r="CL148" t="s">
        <v>81</v>
      </c>
    </row>
    <row r="149" spans="1:90" x14ac:dyDescent="0.25">
      <c r="A149" t="s">
        <v>241</v>
      </c>
      <c r="B149" t="s">
        <v>228</v>
      </c>
      <c r="C149" t="s">
        <v>72</v>
      </c>
      <c r="E149" t="str">
        <f>"009940728303"</f>
        <v>009940728303</v>
      </c>
      <c r="F149" s="2">
        <v>44180</v>
      </c>
      <c r="G149">
        <v>202106</v>
      </c>
      <c r="H149" t="s">
        <v>90</v>
      </c>
      <c r="I149" t="s">
        <v>91</v>
      </c>
      <c r="J149" t="s">
        <v>312</v>
      </c>
      <c r="K149" t="s">
        <v>75</v>
      </c>
      <c r="L149" t="s">
        <v>109</v>
      </c>
      <c r="M149" t="s">
        <v>110</v>
      </c>
      <c r="N149" t="s">
        <v>234</v>
      </c>
      <c r="O149" t="s">
        <v>93</v>
      </c>
      <c r="P149" t="str">
        <f>".                             "</f>
        <v xml:space="preserve">.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8.24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91.74</v>
      </c>
      <c r="BM149">
        <v>13.76</v>
      </c>
      <c r="BN149">
        <v>105.5</v>
      </c>
      <c r="BO149">
        <v>105.5</v>
      </c>
      <c r="BQ149" t="s">
        <v>493</v>
      </c>
      <c r="BR149" t="s">
        <v>441</v>
      </c>
      <c r="BS149" s="2">
        <v>44182</v>
      </c>
      <c r="BT149" s="3">
        <v>0.47638888888888892</v>
      </c>
      <c r="BU149" t="s">
        <v>494</v>
      </c>
      <c r="BV149" t="s">
        <v>79</v>
      </c>
      <c r="BY149">
        <v>1200</v>
      </c>
      <c r="CA149" t="s">
        <v>495</v>
      </c>
      <c r="CC149" t="s">
        <v>110</v>
      </c>
      <c r="CD149">
        <v>2000</v>
      </c>
      <c r="CE149" t="s">
        <v>89</v>
      </c>
      <c r="CF149" s="2">
        <v>44183</v>
      </c>
      <c r="CI149">
        <v>1</v>
      </c>
      <c r="CJ149">
        <v>2</v>
      </c>
      <c r="CK149" t="s">
        <v>331</v>
      </c>
      <c r="CL149" t="s">
        <v>81</v>
      </c>
    </row>
    <row r="150" spans="1:90" hidden="1" x14ac:dyDescent="0.25">
      <c r="A150" t="s">
        <v>241</v>
      </c>
      <c r="B150" t="s">
        <v>228</v>
      </c>
      <c r="C150" t="s">
        <v>72</v>
      </c>
      <c r="E150" t="str">
        <f>"009940728302"</f>
        <v>009940728302</v>
      </c>
      <c r="F150" s="2">
        <v>44180</v>
      </c>
      <c r="G150">
        <v>202106</v>
      </c>
      <c r="H150" t="s">
        <v>90</v>
      </c>
      <c r="I150" t="s">
        <v>91</v>
      </c>
      <c r="J150" t="s">
        <v>312</v>
      </c>
      <c r="K150" t="s">
        <v>75</v>
      </c>
      <c r="L150" t="s">
        <v>109</v>
      </c>
      <c r="M150" t="s">
        <v>110</v>
      </c>
      <c r="N150" t="s">
        <v>229</v>
      </c>
      <c r="O150" t="s">
        <v>93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8.24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91.74</v>
      </c>
      <c r="BM150">
        <v>13.76</v>
      </c>
      <c r="BN150">
        <v>105.5</v>
      </c>
      <c r="BO150">
        <v>105.5</v>
      </c>
      <c r="BQ150" t="s">
        <v>348</v>
      </c>
      <c r="BR150" t="s">
        <v>441</v>
      </c>
      <c r="BS150" s="2">
        <v>44182</v>
      </c>
      <c r="BT150" s="3">
        <v>0.35972222222222222</v>
      </c>
      <c r="BU150" t="s">
        <v>254</v>
      </c>
      <c r="BV150" t="s">
        <v>79</v>
      </c>
      <c r="BY150">
        <v>1200</v>
      </c>
      <c r="CC150" t="s">
        <v>110</v>
      </c>
      <c r="CD150">
        <v>2013</v>
      </c>
      <c r="CE150" t="s">
        <v>89</v>
      </c>
      <c r="CF150" s="2">
        <v>44183</v>
      </c>
      <c r="CI150">
        <v>1</v>
      </c>
      <c r="CJ150">
        <v>2</v>
      </c>
      <c r="CK150" t="s">
        <v>331</v>
      </c>
      <c r="CL150" t="s">
        <v>81</v>
      </c>
    </row>
    <row r="151" spans="1:90" x14ac:dyDescent="0.25">
      <c r="A151" t="s">
        <v>241</v>
      </c>
      <c r="B151" t="s">
        <v>228</v>
      </c>
      <c r="C151" t="s">
        <v>72</v>
      </c>
      <c r="E151" t="str">
        <f>"009940728306"</f>
        <v>009940728306</v>
      </c>
      <c r="F151" s="2">
        <v>44186</v>
      </c>
      <c r="G151">
        <v>202106</v>
      </c>
      <c r="H151" t="s">
        <v>90</v>
      </c>
      <c r="I151" t="s">
        <v>91</v>
      </c>
      <c r="J151" t="s">
        <v>312</v>
      </c>
      <c r="K151" t="s">
        <v>75</v>
      </c>
      <c r="L151" t="s">
        <v>542</v>
      </c>
      <c r="M151" t="s">
        <v>543</v>
      </c>
      <c r="N151" t="s">
        <v>234</v>
      </c>
      <c r="O151" t="s">
        <v>184</v>
      </c>
      <c r="P151" t="str">
        <f>"KIA                           "</f>
        <v xml:space="preserve">KIA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8.52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G151">
        <v>0</v>
      </c>
      <c r="BH151">
        <v>1</v>
      </c>
      <c r="BI151">
        <v>2</v>
      </c>
      <c r="BJ151">
        <v>1.2</v>
      </c>
      <c r="BK151">
        <v>2</v>
      </c>
      <c r="BL151">
        <v>89.64</v>
      </c>
      <c r="BM151">
        <v>13.45</v>
      </c>
      <c r="BN151">
        <v>103.09</v>
      </c>
      <c r="BO151">
        <v>103.09</v>
      </c>
      <c r="BQ151" t="s">
        <v>544</v>
      </c>
      <c r="BR151" t="s">
        <v>441</v>
      </c>
      <c r="BS151" s="2">
        <v>44189</v>
      </c>
      <c r="BT151" s="3">
        <v>0.52777777777777779</v>
      </c>
      <c r="BU151" t="s">
        <v>545</v>
      </c>
      <c r="BV151" t="s">
        <v>79</v>
      </c>
      <c r="BY151">
        <v>6000</v>
      </c>
      <c r="BZ151" t="s">
        <v>280</v>
      </c>
      <c r="CA151" t="s">
        <v>546</v>
      </c>
      <c r="CC151" t="s">
        <v>543</v>
      </c>
      <c r="CD151">
        <v>1133</v>
      </c>
      <c r="CE151" t="s">
        <v>89</v>
      </c>
      <c r="CF151" s="2">
        <v>44193</v>
      </c>
      <c r="CI151">
        <v>4</v>
      </c>
      <c r="CJ151">
        <v>3</v>
      </c>
      <c r="CK151">
        <v>33</v>
      </c>
      <c r="CL151" t="s">
        <v>81</v>
      </c>
    </row>
    <row r="152" spans="1:90" x14ac:dyDescent="0.25">
      <c r="A152" t="s">
        <v>241</v>
      </c>
      <c r="B152" t="s">
        <v>228</v>
      </c>
      <c r="C152" t="s">
        <v>72</v>
      </c>
      <c r="E152" t="str">
        <f>"009940728307"</f>
        <v>009940728307</v>
      </c>
      <c r="F152" s="2">
        <v>44186</v>
      </c>
      <c r="G152">
        <v>202106</v>
      </c>
      <c r="H152" t="s">
        <v>90</v>
      </c>
      <c r="I152" t="s">
        <v>91</v>
      </c>
      <c r="J152" t="s">
        <v>312</v>
      </c>
      <c r="K152" t="s">
        <v>75</v>
      </c>
      <c r="L152" t="s">
        <v>95</v>
      </c>
      <c r="M152" t="s">
        <v>96</v>
      </c>
      <c r="N152" t="s">
        <v>234</v>
      </c>
      <c r="O152" t="s">
        <v>184</v>
      </c>
      <c r="P152" t="str">
        <f>"KIA                           "</f>
        <v xml:space="preserve">KIA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8.24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G152">
        <v>0</v>
      </c>
      <c r="BH152">
        <v>1</v>
      </c>
      <c r="BI152">
        <v>1</v>
      </c>
      <c r="BJ152">
        <v>2.4</v>
      </c>
      <c r="BK152">
        <v>3</v>
      </c>
      <c r="BL152">
        <v>86.74</v>
      </c>
      <c r="BM152">
        <v>13.01</v>
      </c>
      <c r="BN152">
        <v>99.75</v>
      </c>
      <c r="BO152">
        <v>99.75</v>
      </c>
      <c r="BQ152" t="s">
        <v>548</v>
      </c>
      <c r="BR152" t="s">
        <v>441</v>
      </c>
      <c r="BS152" s="2">
        <v>44188</v>
      </c>
      <c r="BT152" s="3">
        <v>0.4548611111111111</v>
      </c>
      <c r="BU152" t="s">
        <v>549</v>
      </c>
      <c r="BV152" t="s">
        <v>81</v>
      </c>
      <c r="BW152" t="s">
        <v>97</v>
      </c>
      <c r="BX152" t="s">
        <v>131</v>
      </c>
      <c r="BY152">
        <v>12000</v>
      </c>
      <c r="BZ152" t="s">
        <v>185</v>
      </c>
      <c r="CA152" t="s">
        <v>132</v>
      </c>
      <c r="CC152" t="s">
        <v>96</v>
      </c>
      <c r="CD152">
        <v>8000</v>
      </c>
      <c r="CE152" t="s">
        <v>89</v>
      </c>
      <c r="CF152" s="2">
        <v>44189</v>
      </c>
      <c r="CI152">
        <v>1</v>
      </c>
      <c r="CJ152">
        <v>2</v>
      </c>
      <c r="CK152">
        <v>31</v>
      </c>
      <c r="CL152" t="s">
        <v>81</v>
      </c>
    </row>
    <row r="153" spans="1:90" hidden="1" x14ac:dyDescent="0.25">
      <c r="A153" t="s">
        <v>241</v>
      </c>
      <c r="B153" t="s">
        <v>228</v>
      </c>
      <c r="C153" t="s">
        <v>72</v>
      </c>
      <c r="E153" t="str">
        <f>"009940504758"</f>
        <v>009940504758</v>
      </c>
      <c r="F153" s="2">
        <v>44183</v>
      </c>
      <c r="G153">
        <v>202106</v>
      </c>
      <c r="H153" t="s">
        <v>360</v>
      </c>
      <c r="I153" t="s">
        <v>361</v>
      </c>
      <c r="J153" t="s">
        <v>312</v>
      </c>
      <c r="K153" t="s">
        <v>75</v>
      </c>
      <c r="L153" t="s">
        <v>109</v>
      </c>
      <c r="M153" t="s">
        <v>110</v>
      </c>
      <c r="N153" t="s">
        <v>229</v>
      </c>
      <c r="O153" t="s">
        <v>93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12.36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135.12</v>
      </c>
      <c r="BM153">
        <v>20.27</v>
      </c>
      <c r="BN153">
        <v>155.38999999999999</v>
      </c>
      <c r="BO153">
        <v>155.38999999999999</v>
      </c>
      <c r="BQ153" t="s">
        <v>348</v>
      </c>
      <c r="BR153" t="s">
        <v>496</v>
      </c>
      <c r="BS153" s="2">
        <v>44186</v>
      </c>
      <c r="BT153" s="3">
        <v>0.31736111111111115</v>
      </c>
      <c r="BU153" t="s">
        <v>216</v>
      </c>
      <c r="BV153" t="s">
        <v>79</v>
      </c>
      <c r="BY153">
        <v>1200</v>
      </c>
      <c r="CC153" t="s">
        <v>110</v>
      </c>
      <c r="CD153">
        <v>2000</v>
      </c>
      <c r="CE153" t="s">
        <v>89</v>
      </c>
      <c r="CF153" s="2">
        <v>44186</v>
      </c>
      <c r="CI153">
        <v>1</v>
      </c>
      <c r="CJ153">
        <v>1</v>
      </c>
      <c r="CK153" t="s">
        <v>364</v>
      </c>
      <c r="CL153" t="s">
        <v>81</v>
      </c>
    </row>
    <row r="154" spans="1:90" hidden="1" x14ac:dyDescent="0.25">
      <c r="A154" t="s">
        <v>241</v>
      </c>
      <c r="B154" t="s">
        <v>228</v>
      </c>
      <c r="C154" t="s">
        <v>72</v>
      </c>
      <c r="E154" t="str">
        <f>"009940759893"</f>
        <v>009940759893</v>
      </c>
      <c r="F154" s="2">
        <v>44180</v>
      </c>
      <c r="G154">
        <v>202106</v>
      </c>
      <c r="H154" t="s">
        <v>95</v>
      </c>
      <c r="I154" t="s">
        <v>96</v>
      </c>
      <c r="J154" t="s">
        <v>242</v>
      </c>
      <c r="K154" t="s">
        <v>75</v>
      </c>
      <c r="L154" t="s">
        <v>109</v>
      </c>
      <c r="M154" t="s">
        <v>110</v>
      </c>
      <c r="N154" t="s">
        <v>580</v>
      </c>
      <c r="O154" t="s">
        <v>78</v>
      </c>
      <c r="P154" t="str">
        <f>"NA                            "</f>
        <v xml:space="preserve">NA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4.4000000000000004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G154">
        <v>0</v>
      </c>
      <c r="BH154">
        <v>1</v>
      </c>
      <c r="BI154">
        <v>0.3</v>
      </c>
      <c r="BJ154">
        <v>1.3</v>
      </c>
      <c r="BK154">
        <v>1.5</v>
      </c>
      <c r="BL154">
        <v>46.27</v>
      </c>
      <c r="BM154">
        <v>6.94</v>
      </c>
      <c r="BN154">
        <v>53.21</v>
      </c>
      <c r="BO154">
        <v>53.21</v>
      </c>
      <c r="BQ154" t="s">
        <v>175</v>
      </c>
      <c r="BR154" t="s">
        <v>272</v>
      </c>
      <c r="BS154" s="2">
        <v>44182</v>
      </c>
      <c r="BT154" s="3">
        <v>0.35902777777777778</v>
      </c>
      <c r="BU154" t="s">
        <v>254</v>
      </c>
      <c r="BV154" t="s">
        <v>79</v>
      </c>
      <c r="BY154">
        <v>6491.75</v>
      </c>
      <c r="BZ154" t="s">
        <v>211</v>
      </c>
      <c r="CC154" t="s">
        <v>110</v>
      </c>
      <c r="CD154">
        <v>2013</v>
      </c>
      <c r="CE154" t="s">
        <v>89</v>
      </c>
      <c r="CF154" s="2">
        <v>44183</v>
      </c>
      <c r="CI154">
        <v>1</v>
      </c>
      <c r="CJ154">
        <v>2</v>
      </c>
      <c r="CK154">
        <v>21</v>
      </c>
      <c r="CL154" t="s">
        <v>81</v>
      </c>
    </row>
    <row r="155" spans="1:90" hidden="1" x14ac:dyDescent="0.25">
      <c r="A155" t="s">
        <v>241</v>
      </c>
      <c r="B155" t="s">
        <v>228</v>
      </c>
      <c r="C155" t="s">
        <v>72</v>
      </c>
      <c r="E155" t="str">
        <f>"009940459468"</f>
        <v>009940459468</v>
      </c>
      <c r="F155" s="2">
        <v>44182</v>
      </c>
      <c r="G155">
        <v>202106</v>
      </c>
      <c r="H155" t="s">
        <v>87</v>
      </c>
      <c r="I155" t="s">
        <v>88</v>
      </c>
      <c r="J155" t="s">
        <v>251</v>
      </c>
      <c r="K155" t="s">
        <v>75</v>
      </c>
      <c r="L155" t="s">
        <v>109</v>
      </c>
      <c r="M155" t="s">
        <v>110</v>
      </c>
      <c r="N155" t="s">
        <v>229</v>
      </c>
      <c r="O155" t="s">
        <v>78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4.4000000000000004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46.27</v>
      </c>
      <c r="BM155">
        <v>6.94</v>
      </c>
      <c r="BN155">
        <v>53.21</v>
      </c>
      <c r="BO155">
        <v>53.21</v>
      </c>
      <c r="BQ155" t="s">
        <v>313</v>
      </c>
      <c r="BR155" t="s">
        <v>253</v>
      </c>
      <c r="BS155" s="2">
        <v>44183</v>
      </c>
      <c r="BT155" s="3">
        <v>0.32291666666666669</v>
      </c>
      <c r="BU155" t="s">
        <v>167</v>
      </c>
      <c r="BV155" t="s">
        <v>79</v>
      </c>
      <c r="BY155">
        <v>1200</v>
      </c>
      <c r="BZ155" t="s">
        <v>211</v>
      </c>
      <c r="CC155" t="s">
        <v>110</v>
      </c>
      <c r="CD155">
        <v>2013</v>
      </c>
      <c r="CE155" t="s">
        <v>89</v>
      </c>
      <c r="CF155" s="2">
        <v>44184</v>
      </c>
      <c r="CI155">
        <v>1</v>
      </c>
      <c r="CJ155">
        <v>1</v>
      </c>
      <c r="CK155">
        <v>21</v>
      </c>
      <c r="CL155" t="s">
        <v>81</v>
      </c>
    </row>
    <row r="156" spans="1:90" hidden="1" x14ac:dyDescent="0.25">
      <c r="A156" t="s">
        <v>241</v>
      </c>
      <c r="B156" t="s">
        <v>228</v>
      </c>
      <c r="C156" t="s">
        <v>72</v>
      </c>
      <c r="E156" t="str">
        <f>"009940854266"</f>
        <v>009940854266</v>
      </c>
      <c r="F156" s="2">
        <v>44183</v>
      </c>
      <c r="G156">
        <v>202106</v>
      </c>
      <c r="H156" t="s">
        <v>87</v>
      </c>
      <c r="I156" t="s">
        <v>88</v>
      </c>
      <c r="J156" t="s">
        <v>269</v>
      </c>
      <c r="K156" t="s">
        <v>75</v>
      </c>
      <c r="L156" t="s">
        <v>109</v>
      </c>
      <c r="M156" t="s">
        <v>110</v>
      </c>
      <c r="N156" t="s">
        <v>229</v>
      </c>
      <c r="O156" t="s">
        <v>78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4.4000000000000004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46.27</v>
      </c>
      <c r="BM156">
        <v>6.94</v>
      </c>
      <c r="BN156">
        <v>53.21</v>
      </c>
      <c r="BO156">
        <v>53.21</v>
      </c>
      <c r="BQ156" t="s">
        <v>252</v>
      </c>
      <c r="BR156" t="s">
        <v>273</v>
      </c>
      <c r="BS156" s="2">
        <v>44187</v>
      </c>
      <c r="BT156" s="3">
        <v>0.29166666666666669</v>
      </c>
      <c r="BU156" t="s">
        <v>216</v>
      </c>
      <c r="BV156" t="s">
        <v>81</v>
      </c>
      <c r="BW156" t="s">
        <v>143</v>
      </c>
      <c r="BX156" t="s">
        <v>160</v>
      </c>
      <c r="BY156">
        <v>1200</v>
      </c>
      <c r="BZ156" t="s">
        <v>80</v>
      </c>
      <c r="CC156" t="s">
        <v>110</v>
      </c>
      <c r="CD156">
        <v>2000</v>
      </c>
      <c r="CE156" t="s">
        <v>89</v>
      </c>
      <c r="CF156" s="2">
        <v>44188</v>
      </c>
      <c r="CI156">
        <v>1</v>
      </c>
      <c r="CJ156">
        <v>2</v>
      </c>
      <c r="CK156">
        <v>21</v>
      </c>
      <c r="CL156" t="s">
        <v>81</v>
      </c>
    </row>
    <row r="157" spans="1:90" hidden="1" x14ac:dyDescent="0.25">
      <c r="A157" t="s">
        <v>241</v>
      </c>
      <c r="B157" t="s">
        <v>228</v>
      </c>
      <c r="C157" t="s">
        <v>72</v>
      </c>
      <c r="E157" t="str">
        <f>"029908382439"</f>
        <v>029908382439</v>
      </c>
      <c r="F157" s="2">
        <v>44183</v>
      </c>
      <c r="G157">
        <v>202106</v>
      </c>
      <c r="H157" t="s">
        <v>122</v>
      </c>
      <c r="I157" t="s">
        <v>123</v>
      </c>
      <c r="J157" t="s">
        <v>229</v>
      </c>
      <c r="K157" t="s">
        <v>75</v>
      </c>
      <c r="L157" t="s">
        <v>95</v>
      </c>
      <c r="M157" t="s">
        <v>96</v>
      </c>
      <c r="N157" t="s">
        <v>497</v>
      </c>
      <c r="O157" t="s">
        <v>78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4.4000000000000004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46.27</v>
      </c>
      <c r="BM157">
        <v>6.94</v>
      </c>
      <c r="BN157">
        <v>53.21</v>
      </c>
      <c r="BO157">
        <v>53.21</v>
      </c>
      <c r="BQ157" t="s">
        <v>498</v>
      </c>
      <c r="BR157" t="s">
        <v>230</v>
      </c>
      <c r="BS157" s="2">
        <v>44187</v>
      </c>
      <c r="BT157" s="3">
        <v>0.37013888888888885</v>
      </c>
      <c r="BU157" t="s">
        <v>499</v>
      </c>
      <c r="BV157" t="s">
        <v>81</v>
      </c>
      <c r="BW157" t="s">
        <v>97</v>
      </c>
      <c r="BX157" t="s">
        <v>131</v>
      </c>
      <c r="BY157">
        <v>1200</v>
      </c>
      <c r="BZ157" t="s">
        <v>80</v>
      </c>
      <c r="CA157" t="s">
        <v>176</v>
      </c>
      <c r="CC157" t="s">
        <v>96</v>
      </c>
      <c r="CD157">
        <v>7405</v>
      </c>
      <c r="CE157" t="s">
        <v>89</v>
      </c>
      <c r="CF157" s="2">
        <v>44188</v>
      </c>
      <c r="CI157">
        <v>1</v>
      </c>
      <c r="CJ157">
        <v>2</v>
      </c>
      <c r="CK157">
        <v>21</v>
      </c>
      <c r="CL157" t="s">
        <v>81</v>
      </c>
    </row>
    <row r="158" spans="1:90" x14ac:dyDescent="0.25">
      <c r="A158" t="s">
        <v>241</v>
      </c>
      <c r="B158" t="s">
        <v>228</v>
      </c>
      <c r="C158" t="s">
        <v>72</v>
      </c>
      <c r="E158" t="str">
        <f>"009940728310"</f>
        <v>009940728310</v>
      </c>
      <c r="F158" s="2">
        <v>44186</v>
      </c>
      <c r="G158">
        <v>202106</v>
      </c>
      <c r="H158" t="s">
        <v>90</v>
      </c>
      <c r="I158" t="s">
        <v>91</v>
      </c>
      <c r="J158" t="s">
        <v>312</v>
      </c>
      <c r="K158" t="s">
        <v>75</v>
      </c>
      <c r="L158" t="s">
        <v>136</v>
      </c>
      <c r="M158" t="s">
        <v>137</v>
      </c>
      <c r="N158" t="s">
        <v>234</v>
      </c>
      <c r="O158" t="s">
        <v>78</v>
      </c>
      <c r="P158" t="str">
        <f>"KIA                           "</f>
        <v xml:space="preserve">KIA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4.4000000000000004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46.27</v>
      </c>
      <c r="BM158">
        <v>6.94</v>
      </c>
      <c r="BN158">
        <v>53.21</v>
      </c>
      <c r="BO158">
        <v>53.21</v>
      </c>
      <c r="BQ158" t="s">
        <v>536</v>
      </c>
      <c r="BR158" t="s">
        <v>441</v>
      </c>
      <c r="BS158" s="2">
        <v>44188</v>
      </c>
      <c r="BT158" s="3">
        <v>0.4375</v>
      </c>
      <c r="BU158" t="s">
        <v>135</v>
      </c>
      <c r="BV158" t="s">
        <v>81</v>
      </c>
      <c r="BW158" t="s">
        <v>117</v>
      </c>
      <c r="BX158" t="s">
        <v>138</v>
      </c>
      <c r="BY158">
        <v>1200</v>
      </c>
      <c r="BZ158" t="s">
        <v>80</v>
      </c>
      <c r="CC158" t="s">
        <v>137</v>
      </c>
      <c r="CD158">
        <v>1709</v>
      </c>
      <c r="CE158" t="s">
        <v>89</v>
      </c>
      <c r="CF158" s="2">
        <v>44188</v>
      </c>
      <c r="CI158">
        <v>1</v>
      </c>
      <c r="CJ158">
        <v>2</v>
      </c>
      <c r="CK158">
        <v>21</v>
      </c>
      <c r="CL158" t="s">
        <v>81</v>
      </c>
    </row>
    <row r="159" spans="1:90" hidden="1" x14ac:dyDescent="0.25">
      <c r="A159" t="s">
        <v>241</v>
      </c>
      <c r="B159" t="s">
        <v>228</v>
      </c>
      <c r="C159" t="s">
        <v>72</v>
      </c>
      <c r="E159" t="str">
        <f>"009940592425"</f>
        <v>009940592425</v>
      </c>
      <c r="F159" s="2">
        <v>44183</v>
      </c>
      <c r="G159">
        <v>202106</v>
      </c>
      <c r="H159" t="s">
        <v>104</v>
      </c>
      <c r="I159" t="s">
        <v>105</v>
      </c>
      <c r="J159" t="s">
        <v>577</v>
      </c>
      <c r="K159" t="s">
        <v>75</v>
      </c>
      <c r="L159" t="s">
        <v>109</v>
      </c>
      <c r="M159" t="s">
        <v>110</v>
      </c>
      <c r="N159" t="s">
        <v>229</v>
      </c>
      <c r="O159" t="s">
        <v>93</v>
      </c>
      <c r="P159" t="str">
        <f>"NA                            "</f>
        <v xml:space="preserve">NA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6.18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G159">
        <v>0</v>
      </c>
      <c r="BH159">
        <v>1</v>
      </c>
      <c r="BI159">
        <v>0.7</v>
      </c>
      <c r="BJ159">
        <v>1.5</v>
      </c>
      <c r="BK159">
        <v>2</v>
      </c>
      <c r="BL159">
        <v>70.06</v>
      </c>
      <c r="BM159">
        <v>10.51</v>
      </c>
      <c r="BN159">
        <v>80.569999999999993</v>
      </c>
      <c r="BO159">
        <v>80.569999999999993</v>
      </c>
      <c r="BQ159" t="s">
        <v>501</v>
      </c>
      <c r="BR159" t="s">
        <v>502</v>
      </c>
      <c r="BS159" s="2">
        <v>44186</v>
      </c>
      <c r="BT159" s="3">
        <v>0.31736111111111115</v>
      </c>
      <c r="BU159" t="s">
        <v>216</v>
      </c>
      <c r="BV159" t="s">
        <v>79</v>
      </c>
      <c r="BY159">
        <v>7448.87</v>
      </c>
      <c r="CC159" t="s">
        <v>110</v>
      </c>
      <c r="CD159">
        <v>2000</v>
      </c>
      <c r="CE159" t="s">
        <v>89</v>
      </c>
      <c r="CF159" s="2">
        <v>44186</v>
      </c>
      <c r="CI159">
        <v>1</v>
      </c>
      <c r="CJ159">
        <v>1</v>
      </c>
      <c r="CK159" t="s">
        <v>190</v>
      </c>
      <c r="CL159" t="s">
        <v>81</v>
      </c>
    </row>
    <row r="160" spans="1:90" hidden="1" x14ac:dyDescent="0.25">
      <c r="A160" t="s">
        <v>241</v>
      </c>
      <c r="B160" t="s">
        <v>228</v>
      </c>
      <c r="C160" t="s">
        <v>72</v>
      </c>
      <c r="E160" t="str">
        <f>"009939926569"</f>
        <v>009939926569</v>
      </c>
      <c r="F160" s="2">
        <v>44183</v>
      </c>
      <c r="G160">
        <v>202106</v>
      </c>
      <c r="H160" t="s">
        <v>95</v>
      </c>
      <c r="I160" t="s">
        <v>96</v>
      </c>
      <c r="J160" t="s">
        <v>229</v>
      </c>
      <c r="K160" t="s">
        <v>75</v>
      </c>
      <c r="L160" t="s">
        <v>109</v>
      </c>
      <c r="M160" t="s">
        <v>110</v>
      </c>
      <c r="N160" t="s">
        <v>229</v>
      </c>
      <c r="O160" t="s">
        <v>78</v>
      </c>
      <c r="P160" t="str">
        <f>"NA                            "</f>
        <v xml:space="preserve">NA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4.4000000000000004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G160">
        <v>0</v>
      </c>
      <c r="BH160">
        <v>1</v>
      </c>
      <c r="BI160">
        <v>1</v>
      </c>
      <c r="BJ160">
        <v>0.5</v>
      </c>
      <c r="BK160">
        <v>1</v>
      </c>
      <c r="BL160">
        <v>46.27</v>
      </c>
      <c r="BM160">
        <v>6.94</v>
      </c>
      <c r="BN160">
        <v>53.21</v>
      </c>
      <c r="BO160">
        <v>53.21</v>
      </c>
      <c r="BQ160" t="s">
        <v>175</v>
      </c>
      <c r="BR160" t="s">
        <v>250</v>
      </c>
      <c r="BS160" s="2">
        <v>44186</v>
      </c>
      <c r="BT160" s="3">
        <v>0.31736111111111115</v>
      </c>
      <c r="BU160" t="s">
        <v>216</v>
      </c>
      <c r="BV160" t="s">
        <v>79</v>
      </c>
      <c r="BY160">
        <v>2400</v>
      </c>
      <c r="BZ160" t="s">
        <v>80</v>
      </c>
      <c r="CC160" t="s">
        <v>110</v>
      </c>
      <c r="CD160">
        <v>2013</v>
      </c>
      <c r="CE160" t="s">
        <v>436</v>
      </c>
      <c r="CF160" s="2">
        <v>44186</v>
      </c>
      <c r="CI160">
        <v>1</v>
      </c>
      <c r="CJ160">
        <v>1</v>
      </c>
      <c r="CK160">
        <v>21</v>
      </c>
      <c r="CL160" t="s">
        <v>81</v>
      </c>
    </row>
    <row r="161" spans="1:90" x14ac:dyDescent="0.25">
      <c r="A161" t="s">
        <v>241</v>
      </c>
      <c r="B161" t="s">
        <v>228</v>
      </c>
      <c r="C161" t="s">
        <v>72</v>
      </c>
      <c r="E161" t="str">
        <f>"009940728311"</f>
        <v>009940728311</v>
      </c>
      <c r="F161" s="2">
        <v>44186</v>
      </c>
      <c r="G161">
        <v>202106</v>
      </c>
      <c r="H161" t="s">
        <v>90</v>
      </c>
      <c r="I161" t="s">
        <v>91</v>
      </c>
      <c r="J161" t="s">
        <v>312</v>
      </c>
      <c r="K161" t="s">
        <v>75</v>
      </c>
      <c r="L161" t="s">
        <v>122</v>
      </c>
      <c r="M161" t="s">
        <v>123</v>
      </c>
      <c r="N161" t="s">
        <v>234</v>
      </c>
      <c r="O161" t="s">
        <v>184</v>
      </c>
      <c r="P161" t="str">
        <f>"KIA                           "</f>
        <v xml:space="preserve">KIA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3.43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36.14</v>
      </c>
      <c r="BM161">
        <v>5.42</v>
      </c>
      <c r="BN161">
        <v>41.56</v>
      </c>
      <c r="BO161">
        <v>41.56</v>
      </c>
      <c r="BQ161" t="s">
        <v>534</v>
      </c>
      <c r="BR161" t="s">
        <v>441</v>
      </c>
      <c r="BS161" s="2">
        <v>44187</v>
      </c>
      <c r="BT161" s="3">
        <v>0.34652777777777777</v>
      </c>
      <c r="BU161" t="s">
        <v>535</v>
      </c>
      <c r="BV161" t="s">
        <v>79</v>
      </c>
      <c r="BY161">
        <v>1200</v>
      </c>
      <c r="BZ161" t="s">
        <v>185</v>
      </c>
      <c r="CA161" t="s">
        <v>166</v>
      </c>
      <c r="CC161" t="s">
        <v>123</v>
      </c>
      <c r="CD161">
        <v>4067</v>
      </c>
      <c r="CE161" t="s">
        <v>89</v>
      </c>
      <c r="CF161" s="2">
        <v>44187</v>
      </c>
      <c r="CI161">
        <v>1</v>
      </c>
      <c r="CJ161">
        <v>1</v>
      </c>
      <c r="CK161">
        <v>32</v>
      </c>
      <c r="CL161" t="s">
        <v>81</v>
      </c>
    </row>
    <row r="162" spans="1:90" hidden="1" x14ac:dyDescent="0.25">
      <c r="A162" t="s">
        <v>241</v>
      </c>
      <c r="B162" t="s">
        <v>228</v>
      </c>
      <c r="C162" t="s">
        <v>72</v>
      </c>
      <c r="E162" t="str">
        <f>"009940425775"</f>
        <v>009940425775</v>
      </c>
      <c r="F162" s="2">
        <v>44180</v>
      </c>
      <c r="G162">
        <v>202106</v>
      </c>
      <c r="H162" t="s">
        <v>95</v>
      </c>
      <c r="I162" t="s">
        <v>96</v>
      </c>
      <c r="J162" t="s">
        <v>242</v>
      </c>
      <c r="K162" t="s">
        <v>75</v>
      </c>
      <c r="L162" t="s">
        <v>109</v>
      </c>
      <c r="M162" t="s">
        <v>110</v>
      </c>
      <c r="N162" t="s">
        <v>229</v>
      </c>
      <c r="O162" t="s">
        <v>78</v>
      </c>
      <c r="P162" t="str">
        <f>"NA                            "</f>
        <v xml:space="preserve">NA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4.4000000000000004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G162">
        <v>0</v>
      </c>
      <c r="BH162">
        <v>1</v>
      </c>
      <c r="BI162">
        <v>0.5</v>
      </c>
      <c r="BJ162">
        <v>1.6</v>
      </c>
      <c r="BK162">
        <v>2</v>
      </c>
      <c r="BL162">
        <v>46.27</v>
      </c>
      <c r="BM162">
        <v>6.94</v>
      </c>
      <c r="BN162">
        <v>53.21</v>
      </c>
      <c r="BO162">
        <v>53.21</v>
      </c>
      <c r="BQ162" t="s">
        <v>175</v>
      </c>
      <c r="BR162" t="s">
        <v>175</v>
      </c>
      <c r="BS162" s="2">
        <v>44182</v>
      </c>
      <c r="BT162" s="3">
        <v>0.36249999999999999</v>
      </c>
      <c r="BU162" t="s">
        <v>254</v>
      </c>
      <c r="BV162" t="s">
        <v>79</v>
      </c>
      <c r="BY162">
        <v>7814.88</v>
      </c>
      <c r="BZ162" t="s">
        <v>211</v>
      </c>
      <c r="CC162" t="s">
        <v>110</v>
      </c>
      <c r="CD162">
        <v>2013</v>
      </c>
      <c r="CE162" t="s">
        <v>89</v>
      </c>
      <c r="CF162" s="2">
        <v>44183</v>
      </c>
      <c r="CI162">
        <v>1</v>
      </c>
      <c r="CJ162">
        <v>2</v>
      </c>
      <c r="CK162">
        <v>21</v>
      </c>
      <c r="CL162" t="s">
        <v>81</v>
      </c>
    </row>
    <row r="163" spans="1:90" hidden="1" x14ac:dyDescent="0.25">
      <c r="A163" t="s">
        <v>241</v>
      </c>
      <c r="B163" t="s">
        <v>228</v>
      </c>
      <c r="C163" t="s">
        <v>72</v>
      </c>
      <c r="E163" t="str">
        <f>"009940728397"</f>
        <v>009940728397</v>
      </c>
      <c r="F163" s="2">
        <v>44180</v>
      </c>
      <c r="G163">
        <v>202106</v>
      </c>
      <c r="H163" t="s">
        <v>90</v>
      </c>
      <c r="I163" t="s">
        <v>91</v>
      </c>
      <c r="J163" t="s">
        <v>312</v>
      </c>
      <c r="K163" t="s">
        <v>75</v>
      </c>
      <c r="L163" t="s">
        <v>186</v>
      </c>
      <c r="M163" t="s">
        <v>187</v>
      </c>
      <c r="N163" t="s">
        <v>505</v>
      </c>
      <c r="O163" t="s">
        <v>226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9.82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G163">
        <v>0</v>
      </c>
      <c r="BH163">
        <v>1</v>
      </c>
      <c r="BI163">
        <v>1</v>
      </c>
      <c r="BJ163">
        <v>0.3</v>
      </c>
      <c r="BK163">
        <v>1</v>
      </c>
      <c r="BL163">
        <v>103.36</v>
      </c>
      <c r="BM163">
        <v>15.5</v>
      </c>
      <c r="BN163">
        <v>118.86</v>
      </c>
      <c r="BO163">
        <v>118.86</v>
      </c>
      <c r="BQ163" t="s">
        <v>506</v>
      </c>
      <c r="BR163" t="s">
        <v>441</v>
      </c>
      <c r="BS163" s="2">
        <v>44182</v>
      </c>
      <c r="BT163" s="3">
        <v>0.36180555555555555</v>
      </c>
      <c r="BU163" t="s">
        <v>507</v>
      </c>
      <c r="BV163" t="s">
        <v>79</v>
      </c>
      <c r="BY163">
        <v>1200</v>
      </c>
      <c r="BZ163" t="s">
        <v>211</v>
      </c>
      <c r="CC163" t="s">
        <v>187</v>
      </c>
      <c r="CD163">
        <v>2302</v>
      </c>
      <c r="CE163" t="s">
        <v>89</v>
      </c>
      <c r="CF163" s="2">
        <v>44183</v>
      </c>
      <c r="CI163">
        <v>2</v>
      </c>
      <c r="CJ163">
        <v>2</v>
      </c>
      <c r="CK163">
        <v>43</v>
      </c>
      <c r="CL163" t="s">
        <v>81</v>
      </c>
    </row>
    <row r="164" spans="1:90" x14ac:dyDescent="0.25">
      <c r="A164" t="s">
        <v>241</v>
      </c>
      <c r="B164" t="s">
        <v>228</v>
      </c>
      <c r="C164" t="s">
        <v>72</v>
      </c>
      <c r="E164" t="str">
        <f>"009940728312"</f>
        <v>009940728312</v>
      </c>
      <c r="F164" s="2">
        <v>44186</v>
      </c>
      <c r="G164">
        <v>202106</v>
      </c>
      <c r="H164" t="s">
        <v>90</v>
      </c>
      <c r="I164" t="s">
        <v>91</v>
      </c>
      <c r="J164" t="s">
        <v>312</v>
      </c>
      <c r="K164" t="s">
        <v>75</v>
      </c>
      <c r="L164" t="s">
        <v>109</v>
      </c>
      <c r="M164" t="s">
        <v>110</v>
      </c>
      <c r="N164" t="s">
        <v>234</v>
      </c>
      <c r="O164" t="s">
        <v>184</v>
      </c>
      <c r="P164" t="str">
        <f>"RING UNIT 16 @ EREMOS COMPLEX "</f>
        <v xml:space="preserve">RING UNIT 16 @ EREMOS COMPLEX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8.24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86.74</v>
      </c>
      <c r="BM164">
        <v>13.01</v>
      </c>
      <c r="BN164">
        <v>99.75</v>
      </c>
      <c r="BO164">
        <v>99.75</v>
      </c>
      <c r="BQ164" t="s">
        <v>523</v>
      </c>
      <c r="BR164" t="s">
        <v>441</v>
      </c>
      <c r="BS164" s="2">
        <v>44187</v>
      </c>
      <c r="BT164" s="3">
        <v>0.47847222222222219</v>
      </c>
      <c r="BU164" t="s">
        <v>524</v>
      </c>
      <c r="BV164" t="s">
        <v>79</v>
      </c>
      <c r="BY164">
        <v>1200</v>
      </c>
      <c r="BZ164" t="s">
        <v>185</v>
      </c>
      <c r="CC164" t="s">
        <v>110</v>
      </c>
      <c r="CD164">
        <v>2161</v>
      </c>
      <c r="CE164" t="s">
        <v>89</v>
      </c>
      <c r="CF164" s="2">
        <v>44188</v>
      </c>
      <c r="CI164">
        <v>1</v>
      </c>
      <c r="CJ164">
        <v>1</v>
      </c>
      <c r="CK164">
        <v>31</v>
      </c>
      <c r="CL164" t="s">
        <v>81</v>
      </c>
    </row>
    <row r="165" spans="1:90" x14ac:dyDescent="0.25">
      <c r="A165" t="s">
        <v>241</v>
      </c>
      <c r="B165" t="s">
        <v>228</v>
      </c>
      <c r="C165" t="s">
        <v>72</v>
      </c>
      <c r="E165" t="str">
        <f>"009940728314"</f>
        <v>009940728314</v>
      </c>
      <c r="F165" s="2">
        <v>44186</v>
      </c>
      <c r="G165">
        <v>202106</v>
      </c>
      <c r="H165" t="s">
        <v>90</v>
      </c>
      <c r="I165" t="s">
        <v>91</v>
      </c>
      <c r="J165" t="s">
        <v>312</v>
      </c>
      <c r="K165" t="s">
        <v>75</v>
      </c>
      <c r="L165" t="s">
        <v>73</v>
      </c>
      <c r="M165" t="s">
        <v>74</v>
      </c>
      <c r="N165" t="s">
        <v>234</v>
      </c>
      <c r="O165" t="s">
        <v>184</v>
      </c>
      <c r="P165" t="str">
        <f>"KIA                           "</f>
        <v xml:space="preserve">KIA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8.24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86.74</v>
      </c>
      <c r="BM165">
        <v>13.01</v>
      </c>
      <c r="BN165">
        <v>99.75</v>
      </c>
      <c r="BO165">
        <v>99.75</v>
      </c>
      <c r="BQ165" t="s">
        <v>520</v>
      </c>
      <c r="BR165" t="s">
        <v>441</v>
      </c>
      <c r="BS165" s="2">
        <v>44187</v>
      </c>
      <c r="BT165" s="3">
        <v>0.3756944444444445</v>
      </c>
      <c r="BU165" t="s">
        <v>521</v>
      </c>
      <c r="BV165" t="s">
        <v>79</v>
      </c>
      <c r="BY165">
        <v>1200</v>
      </c>
      <c r="BZ165" t="s">
        <v>185</v>
      </c>
      <c r="CA165" t="s">
        <v>522</v>
      </c>
      <c r="CC165" t="s">
        <v>74</v>
      </c>
      <c r="CD165">
        <v>1620</v>
      </c>
      <c r="CE165" t="s">
        <v>89</v>
      </c>
      <c r="CF165" s="2">
        <v>44187</v>
      </c>
      <c r="CI165">
        <v>1</v>
      </c>
      <c r="CJ165">
        <v>1</v>
      </c>
      <c r="CK165">
        <v>31</v>
      </c>
      <c r="CL165" t="s">
        <v>81</v>
      </c>
    </row>
    <row r="166" spans="1:90" x14ac:dyDescent="0.25">
      <c r="A166" t="s">
        <v>241</v>
      </c>
      <c r="B166" t="s">
        <v>228</v>
      </c>
      <c r="C166" t="s">
        <v>72</v>
      </c>
      <c r="E166" t="str">
        <f>"009940728316"</f>
        <v>009940728316</v>
      </c>
      <c r="F166" s="2">
        <v>44186</v>
      </c>
      <c r="G166">
        <v>202106</v>
      </c>
      <c r="H166" t="s">
        <v>90</v>
      </c>
      <c r="I166" t="s">
        <v>91</v>
      </c>
      <c r="J166" t="s">
        <v>312</v>
      </c>
      <c r="K166" t="s">
        <v>75</v>
      </c>
      <c r="L166" t="s">
        <v>106</v>
      </c>
      <c r="M166" t="s">
        <v>107</v>
      </c>
      <c r="N166" t="s">
        <v>234</v>
      </c>
      <c r="O166" t="s">
        <v>78</v>
      </c>
      <c r="P166" t="str">
        <f>"KIA                           "</f>
        <v xml:space="preserve">KIA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10.99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G166">
        <v>0</v>
      </c>
      <c r="BH166">
        <v>1</v>
      </c>
      <c r="BI166">
        <v>2</v>
      </c>
      <c r="BJ166">
        <v>4.8</v>
      </c>
      <c r="BK166">
        <v>5</v>
      </c>
      <c r="BL166">
        <v>115.62</v>
      </c>
      <c r="BM166">
        <v>17.34</v>
      </c>
      <c r="BN166">
        <v>132.96</v>
      </c>
      <c r="BO166">
        <v>132.96</v>
      </c>
      <c r="BQ166" t="s">
        <v>503</v>
      </c>
      <c r="BR166" t="s">
        <v>441</v>
      </c>
      <c r="BS166" s="2">
        <v>44187</v>
      </c>
      <c r="BT166" s="3">
        <v>0.44791666666666669</v>
      </c>
      <c r="BU166" t="s">
        <v>504</v>
      </c>
      <c r="BV166" t="s">
        <v>81</v>
      </c>
      <c r="BW166" t="s">
        <v>117</v>
      </c>
      <c r="BX166" t="s">
        <v>114</v>
      </c>
      <c r="BY166">
        <v>24000</v>
      </c>
      <c r="BZ166" t="s">
        <v>80</v>
      </c>
      <c r="CC166" t="s">
        <v>107</v>
      </c>
      <c r="CD166">
        <v>2156</v>
      </c>
      <c r="CE166" t="s">
        <v>89</v>
      </c>
      <c r="CF166" s="2">
        <v>44188</v>
      </c>
      <c r="CI166">
        <v>1</v>
      </c>
      <c r="CJ166">
        <v>1</v>
      </c>
      <c r="CK166">
        <v>21</v>
      </c>
      <c r="CL166" t="s">
        <v>81</v>
      </c>
    </row>
    <row r="167" spans="1:90" hidden="1" x14ac:dyDescent="0.25">
      <c r="A167" t="s">
        <v>241</v>
      </c>
      <c r="B167" t="s">
        <v>228</v>
      </c>
      <c r="C167" t="s">
        <v>72</v>
      </c>
      <c r="E167" t="str">
        <f>"029908381344"</f>
        <v>029908381344</v>
      </c>
      <c r="F167" s="2">
        <v>44183</v>
      </c>
      <c r="G167">
        <v>202106</v>
      </c>
      <c r="H167" t="s">
        <v>122</v>
      </c>
      <c r="I167" t="s">
        <v>123</v>
      </c>
      <c r="J167" t="s">
        <v>229</v>
      </c>
      <c r="K167" t="s">
        <v>75</v>
      </c>
      <c r="L167" t="s">
        <v>109</v>
      </c>
      <c r="M167" t="s">
        <v>110</v>
      </c>
      <c r="N167" t="s">
        <v>229</v>
      </c>
      <c r="O167" t="s">
        <v>93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8.24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G167">
        <v>0</v>
      </c>
      <c r="BH167">
        <v>1</v>
      </c>
      <c r="BI167">
        <v>2</v>
      </c>
      <c r="BJ167">
        <v>9.3000000000000007</v>
      </c>
      <c r="BK167">
        <v>10</v>
      </c>
      <c r="BL167">
        <v>91.74</v>
      </c>
      <c r="BM167">
        <v>13.76</v>
      </c>
      <c r="BN167">
        <v>105.5</v>
      </c>
      <c r="BO167">
        <v>105.5</v>
      </c>
      <c r="BQ167" t="s">
        <v>513</v>
      </c>
      <c r="BR167" t="s">
        <v>335</v>
      </c>
      <c r="BS167" s="2">
        <v>44186</v>
      </c>
      <c r="BT167" s="3">
        <v>0.31736111111111115</v>
      </c>
      <c r="BU167" t="s">
        <v>216</v>
      </c>
      <c r="BV167" t="s">
        <v>79</v>
      </c>
      <c r="BY167">
        <v>46620</v>
      </c>
      <c r="CC167" t="s">
        <v>110</v>
      </c>
      <c r="CD167">
        <v>2013</v>
      </c>
      <c r="CE167" t="s">
        <v>89</v>
      </c>
      <c r="CF167" s="2">
        <v>44186</v>
      </c>
      <c r="CI167">
        <v>1</v>
      </c>
      <c r="CJ167">
        <v>1</v>
      </c>
      <c r="CK167" t="s">
        <v>331</v>
      </c>
      <c r="CL167" t="s">
        <v>81</v>
      </c>
    </row>
    <row r="168" spans="1:90" x14ac:dyDescent="0.25">
      <c r="A168" t="s">
        <v>241</v>
      </c>
      <c r="B168" t="s">
        <v>228</v>
      </c>
      <c r="C168" t="s">
        <v>72</v>
      </c>
      <c r="E168" t="str">
        <f>"009940728318"</f>
        <v>009940728318</v>
      </c>
      <c r="F168" s="2">
        <v>44186</v>
      </c>
      <c r="G168">
        <v>202106</v>
      </c>
      <c r="H168" t="s">
        <v>90</v>
      </c>
      <c r="I168" t="s">
        <v>91</v>
      </c>
      <c r="J168" t="s">
        <v>312</v>
      </c>
      <c r="K168" t="s">
        <v>75</v>
      </c>
      <c r="L168" t="s">
        <v>87</v>
      </c>
      <c r="M168" t="s">
        <v>88</v>
      </c>
      <c r="N168" t="s">
        <v>234</v>
      </c>
      <c r="O168" t="s">
        <v>78</v>
      </c>
      <c r="P168" t="str">
        <f>"KIA                           "</f>
        <v xml:space="preserve">KIA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4.4000000000000004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G168">
        <v>0</v>
      </c>
      <c r="BH168">
        <v>1</v>
      </c>
      <c r="BI168">
        <v>2</v>
      </c>
      <c r="BJ168">
        <v>0.5</v>
      </c>
      <c r="BK168">
        <v>2</v>
      </c>
      <c r="BL168">
        <v>46.27</v>
      </c>
      <c r="BM168">
        <v>6.94</v>
      </c>
      <c r="BN168">
        <v>53.21</v>
      </c>
      <c r="BO168">
        <v>53.21</v>
      </c>
      <c r="BQ168" t="s">
        <v>537</v>
      </c>
      <c r="BR168" t="s">
        <v>441</v>
      </c>
      <c r="BS168" s="2">
        <v>44188</v>
      </c>
      <c r="BT168" s="3">
        <v>0.36805555555555558</v>
      </c>
      <c r="BU168" t="s">
        <v>538</v>
      </c>
      <c r="BV168" t="s">
        <v>81</v>
      </c>
      <c r="BW168" t="s">
        <v>97</v>
      </c>
      <c r="BX168" t="s">
        <v>128</v>
      </c>
      <c r="BY168">
        <v>2400</v>
      </c>
      <c r="BZ168" t="s">
        <v>80</v>
      </c>
      <c r="CA168" t="s">
        <v>101</v>
      </c>
      <c r="CC168" t="s">
        <v>88</v>
      </c>
      <c r="CD168">
        <v>6000</v>
      </c>
      <c r="CE168" t="s">
        <v>89</v>
      </c>
      <c r="CF168" s="2">
        <v>44188</v>
      </c>
      <c r="CI168">
        <v>1</v>
      </c>
      <c r="CJ168">
        <v>2</v>
      </c>
      <c r="CK168">
        <v>21</v>
      </c>
      <c r="CL168" t="s">
        <v>81</v>
      </c>
    </row>
    <row r="169" spans="1:90" hidden="1" x14ac:dyDescent="0.25">
      <c r="A169" t="s">
        <v>241</v>
      </c>
      <c r="B169" t="s">
        <v>228</v>
      </c>
      <c r="C169" t="s">
        <v>72</v>
      </c>
      <c r="E169" t="str">
        <f>"029908206861"</f>
        <v>029908206861</v>
      </c>
      <c r="F169" s="2">
        <v>44183</v>
      </c>
      <c r="G169">
        <v>202106</v>
      </c>
      <c r="H169" t="s">
        <v>122</v>
      </c>
      <c r="I169" t="s">
        <v>123</v>
      </c>
      <c r="J169" t="s">
        <v>229</v>
      </c>
      <c r="K169" t="s">
        <v>75</v>
      </c>
      <c r="L169" t="s">
        <v>193</v>
      </c>
      <c r="M169" t="s">
        <v>96</v>
      </c>
      <c r="N169" t="s">
        <v>581</v>
      </c>
      <c r="O169" t="s">
        <v>93</v>
      </c>
      <c r="P169" t="str">
        <f>"                              "</f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9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G169">
        <v>0</v>
      </c>
      <c r="BH169">
        <v>1</v>
      </c>
      <c r="BI169">
        <v>2</v>
      </c>
      <c r="BJ169">
        <v>9.3000000000000007</v>
      </c>
      <c r="BK169">
        <v>10</v>
      </c>
      <c r="BL169">
        <v>99.71</v>
      </c>
      <c r="BM169">
        <v>14.96</v>
      </c>
      <c r="BN169">
        <v>114.67</v>
      </c>
      <c r="BO169">
        <v>114.67</v>
      </c>
      <c r="BQ169" t="s">
        <v>516</v>
      </c>
      <c r="BR169" t="s">
        <v>335</v>
      </c>
      <c r="BS169" s="2">
        <v>44186</v>
      </c>
      <c r="BT169" s="3">
        <v>0.63055555555555554</v>
      </c>
      <c r="BU169" t="s">
        <v>517</v>
      </c>
      <c r="BV169" t="s">
        <v>79</v>
      </c>
      <c r="BY169">
        <v>46620</v>
      </c>
      <c r="CA169" t="s">
        <v>222</v>
      </c>
      <c r="CC169" t="s">
        <v>96</v>
      </c>
      <c r="CD169">
        <v>7441</v>
      </c>
      <c r="CE169" t="s">
        <v>89</v>
      </c>
      <c r="CF169" s="2">
        <v>44187</v>
      </c>
      <c r="CI169">
        <v>3</v>
      </c>
      <c r="CJ169">
        <v>1</v>
      </c>
      <c r="CK169" t="s">
        <v>129</v>
      </c>
      <c r="CL169" t="s">
        <v>81</v>
      </c>
    </row>
    <row r="170" spans="1:90" x14ac:dyDescent="0.25">
      <c r="A170" t="s">
        <v>241</v>
      </c>
      <c r="B170" t="s">
        <v>228</v>
      </c>
      <c r="C170" t="s">
        <v>72</v>
      </c>
      <c r="E170" t="str">
        <f>"009940728319"</f>
        <v>009940728319</v>
      </c>
      <c r="F170" s="2">
        <v>44186</v>
      </c>
      <c r="G170">
        <v>202106</v>
      </c>
      <c r="H170" t="s">
        <v>90</v>
      </c>
      <c r="I170" t="s">
        <v>91</v>
      </c>
      <c r="J170" t="s">
        <v>312</v>
      </c>
      <c r="K170" t="s">
        <v>75</v>
      </c>
      <c r="L170" t="s">
        <v>193</v>
      </c>
      <c r="M170" t="s">
        <v>96</v>
      </c>
      <c r="N170" t="s">
        <v>234</v>
      </c>
      <c r="O170" t="s">
        <v>93</v>
      </c>
      <c r="P170" t="str">
        <f>"KIA                           "</f>
        <v xml:space="preserve">KIA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9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99.71</v>
      </c>
      <c r="BM170">
        <v>14.96</v>
      </c>
      <c r="BN170">
        <v>114.67</v>
      </c>
      <c r="BO170">
        <v>114.67</v>
      </c>
      <c r="BQ170" t="s">
        <v>548</v>
      </c>
      <c r="BR170" t="s">
        <v>441</v>
      </c>
      <c r="BS170" s="2">
        <v>44188</v>
      </c>
      <c r="BT170" s="3">
        <v>0.45416666666666666</v>
      </c>
      <c r="BU170" t="s">
        <v>549</v>
      </c>
      <c r="BV170" t="s">
        <v>79</v>
      </c>
      <c r="BY170">
        <v>1200</v>
      </c>
      <c r="CA170" t="s">
        <v>132</v>
      </c>
      <c r="CC170" t="s">
        <v>96</v>
      </c>
      <c r="CD170">
        <v>8000</v>
      </c>
      <c r="CE170" t="s">
        <v>89</v>
      </c>
      <c r="CF170" s="2">
        <v>44189</v>
      </c>
      <c r="CI170">
        <v>3</v>
      </c>
      <c r="CJ170">
        <v>2</v>
      </c>
      <c r="CK170" t="s">
        <v>129</v>
      </c>
      <c r="CL170" t="s">
        <v>81</v>
      </c>
    </row>
    <row r="171" spans="1:90" x14ac:dyDescent="0.25">
      <c r="A171" t="s">
        <v>241</v>
      </c>
      <c r="B171" t="s">
        <v>228</v>
      </c>
      <c r="C171" t="s">
        <v>72</v>
      </c>
      <c r="E171" t="str">
        <f>"009940728320"</f>
        <v>009940728320</v>
      </c>
      <c r="F171" s="2">
        <v>44187</v>
      </c>
      <c r="G171">
        <v>202106</v>
      </c>
      <c r="H171" t="s">
        <v>90</v>
      </c>
      <c r="I171" t="s">
        <v>91</v>
      </c>
      <c r="J171" t="s">
        <v>312</v>
      </c>
      <c r="K171" t="s">
        <v>75</v>
      </c>
      <c r="L171" t="s">
        <v>90</v>
      </c>
      <c r="M171" t="s">
        <v>91</v>
      </c>
      <c r="N171" t="s">
        <v>234</v>
      </c>
      <c r="O171" t="s">
        <v>78</v>
      </c>
      <c r="P171" t="str">
        <f>"KIA                           "</f>
        <v xml:space="preserve">KIA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3.43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G171">
        <v>0</v>
      </c>
      <c r="BH171">
        <v>1</v>
      </c>
      <c r="BI171">
        <v>1</v>
      </c>
      <c r="BJ171">
        <v>0.5</v>
      </c>
      <c r="BK171">
        <v>1</v>
      </c>
      <c r="BL171">
        <v>36.14</v>
      </c>
      <c r="BM171">
        <v>5.42</v>
      </c>
      <c r="BN171">
        <v>41.56</v>
      </c>
      <c r="BO171">
        <v>41.56</v>
      </c>
      <c r="BR171" t="s">
        <v>441</v>
      </c>
      <c r="BS171" s="2">
        <v>44188</v>
      </c>
      <c r="BT171" s="3">
        <v>0.55208333333333337</v>
      </c>
      <c r="BU171" t="s">
        <v>552</v>
      </c>
      <c r="BV171" t="s">
        <v>81</v>
      </c>
      <c r="BW171" t="s">
        <v>117</v>
      </c>
      <c r="BX171" t="s">
        <v>124</v>
      </c>
      <c r="BY171">
        <v>2400</v>
      </c>
      <c r="BZ171" t="s">
        <v>80</v>
      </c>
      <c r="CA171" t="s">
        <v>208</v>
      </c>
      <c r="CC171" t="s">
        <v>91</v>
      </c>
      <c r="CD171">
        <v>3610</v>
      </c>
      <c r="CE171" t="s">
        <v>89</v>
      </c>
      <c r="CF171" s="2">
        <v>44189</v>
      </c>
      <c r="CI171">
        <v>1</v>
      </c>
      <c r="CJ171">
        <v>1</v>
      </c>
      <c r="CK171">
        <v>22</v>
      </c>
      <c r="CL171" t="s">
        <v>81</v>
      </c>
    </row>
    <row r="172" spans="1:90" x14ac:dyDescent="0.25">
      <c r="A172" t="s">
        <v>241</v>
      </c>
      <c r="B172" t="s">
        <v>228</v>
      </c>
      <c r="C172" t="s">
        <v>72</v>
      </c>
      <c r="E172" t="str">
        <f>"009940728321"</f>
        <v>009940728321</v>
      </c>
      <c r="F172" s="2">
        <v>44187</v>
      </c>
      <c r="G172">
        <v>202106</v>
      </c>
      <c r="H172" t="s">
        <v>90</v>
      </c>
      <c r="I172" t="s">
        <v>91</v>
      </c>
      <c r="J172" t="s">
        <v>312</v>
      </c>
      <c r="K172" t="s">
        <v>75</v>
      </c>
      <c r="L172" t="s">
        <v>203</v>
      </c>
      <c r="M172" t="s">
        <v>204</v>
      </c>
      <c r="N172" t="s">
        <v>234</v>
      </c>
      <c r="O172" t="s">
        <v>78</v>
      </c>
      <c r="P172" t="str">
        <f>"KIA                           "</f>
        <v xml:space="preserve">KIA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4.4000000000000004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G172">
        <v>0</v>
      </c>
      <c r="BH172">
        <v>1</v>
      </c>
      <c r="BI172">
        <v>1</v>
      </c>
      <c r="BJ172">
        <v>0.5</v>
      </c>
      <c r="BK172">
        <v>1</v>
      </c>
      <c r="BL172">
        <v>46.27</v>
      </c>
      <c r="BM172">
        <v>6.94</v>
      </c>
      <c r="BN172">
        <v>53.21</v>
      </c>
      <c r="BO172">
        <v>53.21</v>
      </c>
      <c r="BQ172" t="s">
        <v>550</v>
      </c>
      <c r="BR172" t="s">
        <v>441</v>
      </c>
      <c r="BS172" s="2">
        <v>44188</v>
      </c>
      <c r="BT172" s="3">
        <v>0.39861111111111108</v>
      </c>
      <c r="BU172" t="s">
        <v>551</v>
      </c>
      <c r="BV172" t="s">
        <v>79</v>
      </c>
      <c r="BY172">
        <v>2400</v>
      </c>
      <c r="BZ172" t="s">
        <v>80</v>
      </c>
      <c r="CA172" t="s">
        <v>495</v>
      </c>
      <c r="CC172" t="s">
        <v>204</v>
      </c>
      <c r="CD172">
        <v>2146</v>
      </c>
      <c r="CE172" t="s">
        <v>89</v>
      </c>
      <c r="CF172" s="2">
        <v>44188</v>
      </c>
      <c r="CI172">
        <v>1</v>
      </c>
      <c r="CJ172">
        <v>1</v>
      </c>
      <c r="CK172">
        <v>21</v>
      </c>
      <c r="CL172" t="s">
        <v>81</v>
      </c>
    </row>
    <row r="173" spans="1:90" hidden="1" x14ac:dyDescent="0.25">
      <c r="A173" t="s">
        <v>241</v>
      </c>
      <c r="B173" t="s">
        <v>228</v>
      </c>
      <c r="C173" t="s">
        <v>72</v>
      </c>
      <c r="E173" t="str">
        <f>"009940728309"</f>
        <v>009940728309</v>
      </c>
      <c r="F173" s="2">
        <v>44186</v>
      </c>
      <c r="G173">
        <v>202106</v>
      </c>
      <c r="H173" t="s">
        <v>90</v>
      </c>
      <c r="I173" t="s">
        <v>91</v>
      </c>
      <c r="J173" t="s">
        <v>312</v>
      </c>
      <c r="K173" t="s">
        <v>75</v>
      </c>
      <c r="L173" t="s">
        <v>525</v>
      </c>
      <c r="M173" t="s">
        <v>526</v>
      </c>
      <c r="N173" t="s">
        <v>527</v>
      </c>
      <c r="O173" t="s">
        <v>78</v>
      </c>
      <c r="P173" t="str">
        <f>"KIA                           "</f>
        <v xml:space="preserve">KIA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4.4000000000000004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46.27</v>
      </c>
      <c r="BM173">
        <v>6.94</v>
      </c>
      <c r="BN173">
        <v>53.21</v>
      </c>
      <c r="BO173">
        <v>53.21</v>
      </c>
      <c r="BQ173" t="s">
        <v>528</v>
      </c>
      <c r="BR173" t="s">
        <v>441</v>
      </c>
      <c r="BS173" s="2">
        <v>44188</v>
      </c>
      <c r="BT173" s="3">
        <v>0.52083333333333337</v>
      </c>
      <c r="BU173" t="s">
        <v>529</v>
      </c>
      <c r="BV173" t="s">
        <v>81</v>
      </c>
      <c r="BY173">
        <v>1200</v>
      </c>
      <c r="BZ173" t="s">
        <v>80</v>
      </c>
      <c r="CA173" t="s">
        <v>530</v>
      </c>
      <c r="CC173" t="s">
        <v>526</v>
      </c>
      <c r="CD173">
        <v>1240</v>
      </c>
      <c r="CE173" t="s">
        <v>89</v>
      </c>
      <c r="CI173">
        <v>1</v>
      </c>
      <c r="CJ173">
        <v>2</v>
      </c>
      <c r="CK173">
        <v>21</v>
      </c>
      <c r="CL173" t="s">
        <v>81</v>
      </c>
    </row>
    <row r="174" spans="1:90" hidden="1" x14ac:dyDescent="0.25">
      <c r="A174" t="s">
        <v>241</v>
      </c>
      <c r="B174" t="s">
        <v>228</v>
      </c>
      <c r="C174" t="s">
        <v>72</v>
      </c>
      <c r="E174" t="str">
        <f>"009940728317"</f>
        <v>009940728317</v>
      </c>
      <c r="F174" s="2">
        <v>44186</v>
      </c>
      <c r="G174">
        <v>202106</v>
      </c>
      <c r="H174" t="s">
        <v>90</v>
      </c>
      <c r="I174" t="s">
        <v>91</v>
      </c>
      <c r="J174" t="s">
        <v>312</v>
      </c>
      <c r="K174" t="s">
        <v>75</v>
      </c>
      <c r="L174" t="s">
        <v>95</v>
      </c>
      <c r="M174" t="s">
        <v>96</v>
      </c>
      <c r="N174" t="s">
        <v>531</v>
      </c>
      <c r="O174" t="s">
        <v>78</v>
      </c>
      <c r="P174" t="str">
        <f>"KIA                           "</f>
        <v xml:space="preserve">KIA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4.4000000000000004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G174">
        <v>0</v>
      </c>
      <c r="BH174">
        <v>1</v>
      </c>
      <c r="BI174">
        <v>2</v>
      </c>
      <c r="BJ174">
        <v>0.5</v>
      </c>
      <c r="BK174">
        <v>2</v>
      </c>
      <c r="BL174">
        <v>46.27</v>
      </c>
      <c r="BM174">
        <v>6.94</v>
      </c>
      <c r="BN174">
        <v>53.21</v>
      </c>
      <c r="BO174">
        <v>53.21</v>
      </c>
      <c r="BQ174" t="s">
        <v>532</v>
      </c>
      <c r="BR174" t="s">
        <v>441</v>
      </c>
      <c r="BS174" s="2">
        <v>44188</v>
      </c>
      <c r="BT174" s="3">
        <v>0.3354166666666667</v>
      </c>
      <c r="BU174" t="s">
        <v>533</v>
      </c>
      <c r="BV174" t="s">
        <v>81</v>
      </c>
      <c r="BW174" t="s">
        <v>97</v>
      </c>
      <c r="BX174" t="s">
        <v>131</v>
      </c>
      <c r="BY174">
        <v>2400</v>
      </c>
      <c r="BZ174" t="s">
        <v>80</v>
      </c>
      <c r="CA174" t="s">
        <v>140</v>
      </c>
      <c r="CC174" t="s">
        <v>96</v>
      </c>
      <c r="CD174">
        <v>7530</v>
      </c>
      <c r="CE174" t="s">
        <v>89</v>
      </c>
      <c r="CF174" s="2">
        <v>44189</v>
      </c>
      <c r="CI174">
        <v>1</v>
      </c>
      <c r="CJ174">
        <v>2</v>
      </c>
      <c r="CK174">
        <v>21</v>
      </c>
      <c r="CL174" t="s">
        <v>81</v>
      </c>
    </row>
    <row r="175" spans="1:90" x14ac:dyDescent="0.25">
      <c r="A175" t="s">
        <v>241</v>
      </c>
      <c r="B175" t="s">
        <v>228</v>
      </c>
      <c r="C175" t="s">
        <v>72</v>
      </c>
      <c r="E175" t="str">
        <f>"009940728395"</f>
        <v>009940728395</v>
      </c>
      <c r="F175" s="2">
        <v>44180</v>
      </c>
      <c r="G175">
        <v>202106</v>
      </c>
      <c r="H175" t="s">
        <v>90</v>
      </c>
      <c r="I175" t="s">
        <v>91</v>
      </c>
      <c r="J175" t="s">
        <v>312</v>
      </c>
      <c r="K175" t="s">
        <v>75</v>
      </c>
      <c r="L175" t="s">
        <v>193</v>
      </c>
      <c r="M175" t="s">
        <v>96</v>
      </c>
      <c r="N175" t="s">
        <v>234</v>
      </c>
      <c r="O175" t="s">
        <v>93</v>
      </c>
      <c r="P175" t="str">
        <f>"                              "</f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9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99.71</v>
      </c>
      <c r="BM175">
        <v>14.96</v>
      </c>
      <c r="BN175">
        <v>114.67</v>
      </c>
      <c r="BO175">
        <v>114.67</v>
      </c>
      <c r="BQ175" t="s">
        <v>488</v>
      </c>
      <c r="BR175" t="s">
        <v>441</v>
      </c>
      <c r="BS175" s="2">
        <v>44183</v>
      </c>
      <c r="BT175" s="3">
        <v>0.4770833333333333</v>
      </c>
      <c r="BU175" t="s">
        <v>489</v>
      </c>
      <c r="BV175" t="s">
        <v>79</v>
      </c>
      <c r="BY175">
        <v>1200</v>
      </c>
      <c r="CA175" t="s">
        <v>420</v>
      </c>
      <c r="CC175" t="s">
        <v>96</v>
      </c>
      <c r="CD175">
        <v>8001</v>
      </c>
      <c r="CE175" t="s">
        <v>89</v>
      </c>
      <c r="CF175" s="2">
        <v>44186</v>
      </c>
      <c r="CI175">
        <v>3</v>
      </c>
      <c r="CJ175">
        <v>3</v>
      </c>
      <c r="CK175" t="s">
        <v>129</v>
      </c>
      <c r="CL175" t="s">
        <v>81</v>
      </c>
    </row>
    <row r="176" spans="1:90" x14ac:dyDescent="0.25">
      <c r="A176" t="s">
        <v>241</v>
      </c>
      <c r="B176" t="s">
        <v>228</v>
      </c>
      <c r="C176" t="s">
        <v>72</v>
      </c>
      <c r="E176" t="str">
        <f>"009940728396"</f>
        <v>009940728396</v>
      </c>
      <c r="F176" s="2">
        <v>44180</v>
      </c>
      <c r="G176">
        <v>202106</v>
      </c>
      <c r="H176" t="s">
        <v>90</v>
      </c>
      <c r="I176" t="s">
        <v>91</v>
      </c>
      <c r="J176" t="s">
        <v>312</v>
      </c>
      <c r="K176" t="s">
        <v>75</v>
      </c>
      <c r="L176" t="s">
        <v>164</v>
      </c>
      <c r="M176" t="s">
        <v>165</v>
      </c>
      <c r="N176" t="s">
        <v>234</v>
      </c>
      <c r="O176" t="s">
        <v>93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8.24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91.74</v>
      </c>
      <c r="BM176">
        <v>13.76</v>
      </c>
      <c r="BN176">
        <v>105.5</v>
      </c>
      <c r="BO176">
        <v>105.5</v>
      </c>
      <c r="BQ176" t="s">
        <v>492</v>
      </c>
      <c r="BR176" t="s">
        <v>441</v>
      </c>
      <c r="BS176" s="2">
        <v>44182</v>
      </c>
      <c r="BT176" s="3">
        <v>0.40763888888888888</v>
      </c>
      <c r="BU176" t="s">
        <v>202</v>
      </c>
      <c r="BV176" t="s">
        <v>79</v>
      </c>
      <c r="BY176">
        <v>1200</v>
      </c>
      <c r="CC176" t="s">
        <v>165</v>
      </c>
      <c r="CD176">
        <v>1450</v>
      </c>
      <c r="CE176" t="s">
        <v>89</v>
      </c>
      <c r="CF176" s="2">
        <v>44183</v>
      </c>
      <c r="CI176">
        <v>1</v>
      </c>
      <c r="CJ176">
        <v>2</v>
      </c>
      <c r="CK176" t="s">
        <v>331</v>
      </c>
      <c r="CL176" t="s">
        <v>81</v>
      </c>
    </row>
    <row r="177" spans="1:90" x14ac:dyDescent="0.25">
      <c r="A177" t="s">
        <v>241</v>
      </c>
      <c r="B177" t="s">
        <v>228</v>
      </c>
      <c r="C177" t="s">
        <v>72</v>
      </c>
      <c r="E177" t="str">
        <f>"009940728398"</f>
        <v>009940728398</v>
      </c>
      <c r="F177" s="2">
        <v>44180</v>
      </c>
      <c r="G177">
        <v>202106</v>
      </c>
      <c r="H177" t="s">
        <v>90</v>
      </c>
      <c r="I177" t="s">
        <v>91</v>
      </c>
      <c r="J177" t="s">
        <v>312</v>
      </c>
      <c r="K177" t="s">
        <v>75</v>
      </c>
      <c r="L177" t="s">
        <v>115</v>
      </c>
      <c r="M177" t="s">
        <v>116</v>
      </c>
      <c r="N177" t="s">
        <v>234</v>
      </c>
      <c r="O177" t="s">
        <v>93</v>
      </c>
      <c r="P177" t="str">
        <f>"KIA                           "</f>
        <v xml:space="preserve">KIA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6.18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70.06</v>
      </c>
      <c r="BM177">
        <v>10.51</v>
      </c>
      <c r="BN177">
        <v>80.569999999999993</v>
      </c>
      <c r="BO177">
        <v>80.569999999999993</v>
      </c>
      <c r="BQ177" t="s">
        <v>476</v>
      </c>
      <c r="BR177" t="s">
        <v>441</v>
      </c>
      <c r="BS177" s="2">
        <v>44182</v>
      </c>
      <c r="BT177" s="3">
        <v>0.38125000000000003</v>
      </c>
      <c r="BU177" t="s">
        <v>477</v>
      </c>
      <c r="BV177" t="s">
        <v>79</v>
      </c>
      <c r="BY177">
        <v>1200</v>
      </c>
      <c r="CA177" t="s">
        <v>199</v>
      </c>
      <c r="CC177" t="s">
        <v>116</v>
      </c>
      <c r="CD177">
        <v>3200</v>
      </c>
      <c r="CE177" t="s">
        <v>89</v>
      </c>
      <c r="CF177" s="2">
        <v>44183</v>
      </c>
      <c r="CI177">
        <v>1</v>
      </c>
      <c r="CJ177">
        <v>2</v>
      </c>
      <c r="CK177" t="s">
        <v>190</v>
      </c>
      <c r="CL177" t="s">
        <v>81</v>
      </c>
    </row>
    <row r="178" spans="1:90" hidden="1" x14ac:dyDescent="0.25">
      <c r="A178" t="s">
        <v>241</v>
      </c>
      <c r="B178" t="s">
        <v>228</v>
      </c>
      <c r="C178" t="s">
        <v>72</v>
      </c>
      <c r="E178" t="str">
        <f>"009940728313"</f>
        <v>009940728313</v>
      </c>
      <c r="F178" s="2">
        <v>44186</v>
      </c>
      <c r="G178">
        <v>202106</v>
      </c>
      <c r="H178" t="s">
        <v>90</v>
      </c>
      <c r="I178" t="s">
        <v>91</v>
      </c>
      <c r="J178" t="s">
        <v>312</v>
      </c>
      <c r="K178" t="s">
        <v>75</v>
      </c>
      <c r="L178" t="s">
        <v>109</v>
      </c>
      <c r="M178" t="s">
        <v>110</v>
      </c>
      <c r="N178" t="s">
        <v>539</v>
      </c>
      <c r="O178" t="s">
        <v>184</v>
      </c>
      <c r="P178" t="str">
        <f>".                             "</f>
        <v xml:space="preserve">.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8.24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86.74</v>
      </c>
      <c r="BM178">
        <v>13.01</v>
      </c>
      <c r="BN178">
        <v>99.75</v>
      </c>
      <c r="BO178">
        <v>99.75</v>
      </c>
      <c r="BP178" t="s">
        <v>540</v>
      </c>
      <c r="BQ178" t="s">
        <v>541</v>
      </c>
      <c r="BR178" t="s">
        <v>441</v>
      </c>
      <c r="BS178" s="2">
        <v>44187</v>
      </c>
      <c r="BT178" s="3">
        <v>0.51041666666666663</v>
      </c>
      <c r="BU178" t="s">
        <v>214</v>
      </c>
      <c r="BV178" t="s">
        <v>79</v>
      </c>
      <c r="BY178">
        <v>1200</v>
      </c>
      <c r="BZ178" t="s">
        <v>211</v>
      </c>
      <c r="CA178" t="s">
        <v>218</v>
      </c>
      <c r="CC178" t="s">
        <v>110</v>
      </c>
      <c r="CD178">
        <v>2193</v>
      </c>
      <c r="CE178" t="s">
        <v>89</v>
      </c>
      <c r="CF178" s="2">
        <v>44188</v>
      </c>
      <c r="CI178">
        <v>1</v>
      </c>
      <c r="CJ178">
        <v>1</v>
      </c>
      <c r="CK178">
        <v>31</v>
      </c>
      <c r="CL178" t="s">
        <v>81</v>
      </c>
    </row>
    <row r="179" spans="1:90" x14ac:dyDescent="0.25">
      <c r="A179" t="s">
        <v>241</v>
      </c>
      <c r="B179" t="s">
        <v>228</v>
      </c>
      <c r="C179" t="s">
        <v>72</v>
      </c>
      <c r="E179" t="str">
        <f>"029908382435"</f>
        <v>029908382435</v>
      </c>
      <c r="F179" s="2">
        <v>44166</v>
      </c>
      <c r="G179">
        <v>202106</v>
      </c>
      <c r="H179" t="s">
        <v>122</v>
      </c>
      <c r="I179" t="s">
        <v>123</v>
      </c>
      <c r="J179" t="s">
        <v>229</v>
      </c>
      <c r="K179" t="s">
        <v>75</v>
      </c>
      <c r="L179" t="s">
        <v>76</v>
      </c>
      <c r="M179" t="s">
        <v>77</v>
      </c>
      <c r="N179" t="s">
        <v>262</v>
      </c>
      <c r="O179" t="s">
        <v>93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6.18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G179">
        <v>0</v>
      </c>
      <c r="BH179">
        <v>1</v>
      </c>
      <c r="BI179">
        <v>2</v>
      </c>
      <c r="BJ179">
        <v>5.5</v>
      </c>
      <c r="BK179">
        <v>6</v>
      </c>
      <c r="BL179">
        <v>70.06</v>
      </c>
      <c r="BM179">
        <v>10.51</v>
      </c>
      <c r="BN179">
        <v>80.569999999999993</v>
      </c>
      <c r="BO179">
        <v>80.569999999999993</v>
      </c>
      <c r="BQ179" t="s">
        <v>342</v>
      </c>
      <c r="BR179" t="s">
        <v>335</v>
      </c>
      <c r="BS179" s="2">
        <v>44168</v>
      </c>
      <c r="BT179" s="3">
        <v>0.54861111111111105</v>
      </c>
      <c r="BU179" t="s">
        <v>343</v>
      </c>
      <c r="BV179" t="s">
        <v>79</v>
      </c>
      <c r="BY179">
        <v>27720</v>
      </c>
      <c r="CA179" t="s">
        <v>344</v>
      </c>
      <c r="CC179" t="s">
        <v>77</v>
      </c>
      <c r="CD179">
        <v>5247</v>
      </c>
      <c r="CE179" t="s">
        <v>89</v>
      </c>
      <c r="CF179" s="2">
        <v>44168</v>
      </c>
      <c r="CI179">
        <v>2</v>
      </c>
      <c r="CJ179">
        <v>2</v>
      </c>
      <c r="CK179" t="s">
        <v>345</v>
      </c>
      <c r="CL179" t="s">
        <v>81</v>
      </c>
    </row>
    <row r="180" spans="1:90" hidden="1" x14ac:dyDescent="0.25">
      <c r="A180" t="s">
        <v>241</v>
      </c>
      <c r="B180" t="s">
        <v>228</v>
      </c>
      <c r="C180" t="s">
        <v>72</v>
      </c>
      <c r="E180" t="str">
        <f>"009940728308"</f>
        <v>009940728308</v>
      </c>
      <c r="F180" s="2">
        <v>44186</v>
      </c>
      <c r="G180">
        <v>202106</v>
      </c>
      <c r="H180" t="s">
        <v>90</v>
      </c>
      <c r="I180" t="s">
        <v>91</v>
      </c>
      <c r="J180" t="s">
        <v>312</v>
      </c>
      <c r="K180" t="s">
        <v>75</v>
      </c>
      <c r="L180" t="s">
        <v>112</v>
      </c>
      <c r="M180" t="s">
        <v>92</v>
      </c>
      <c r="N180" t="s">
        <v>485</v>
      </c>
      <c r="O180" t="s">
        <v>78</v>
      </c>
      <c r="P180" t="str">
        <f>"SEND SMS 0834668297 ON DEL.USE"</f>
        <v>SEND SMS 0834668297 ON DEL.USE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4.4000000000000004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G180">
        <v>0</v>
      </c>
      <c r="BH180">
        <v>1</v>
      </c>
      <c r="BI180">
        <v>1</v>
      </c>
      <c r="BJ180">
        <v>1.2</v>
      </c>
      <c r="BK180">
        <v>1.5</v>
      </c>
      <c r="BL180">
        <v>46.27</v>
      </c>
      <c r="BM180">
        <v>6.94</v>
      </c>
      <c r="BN180">
        <v>53.21</v>
      </c>
      <c r="BO180">
        <v>53.21</v>
      </c>
      <c r="BQ180" t="s">
        <v>547</v>
      </c>
      <c r="BR180" t="s">
        <v>441</v>
      </c>
      <c r="BS180" s="2">
        <v>44195</v>
      </c>
      <c r="BT180" s="3">
        <v>0.60416666666666663</v>
      </c>
      <c r="BU180" t="s">
        <v>197</v>
      </c>
      <c r="BV180" t="s">
        <v>81</v>
      </c>
      <c r="BW180" t="s">
        <v>117</v>
      </c>
      <c r="BX180" t="s">
        <v>224</v>
      </c>
      <c r="BY180">
        <v>6000</v>
      </c>
      <c r="BZ180" t="s">
        <v>80</v>
      </c>
      <c r="CC180" t="s">
        <v>92</v>
      </c>
      <c r="CD180">
        <v>1</v>
      </c>
      <c r="CE180" t="s">
        <v>89</v>
      </c>
      <c r="CI180">
        <v>1</v>
      </c>
      <c r="CJ180">
        <v>7</v>
      </c>
      <c r="CK180">
        <v>21</v>
      </c>
      <c r="CL180" t="s">
        <v>81</v>
      </c>
    </row>
    <row r="181" spans="1:90" x14ac:dyDescent="0.25">
      <c r="A181" t="s">
        <v>241</v>
      </c>
      <c r="B181" t="s">
        <v>228</v>
      </c>
      <c r="C181" t="s">
        <v>72</v>
      </c>
      <c r="E181" t="str">
        <f>"029908382436"</f>
        <v>029908382436</v>
      </c>
      <c r="F181" s="2">
        <v>44166</v>
      </c>
      <c r="G181">
        <v>202106</v>
      </c>
      <c r="H181" t="s">
        <v>122</v>
      </c>
      <c r="I181" t="s">
        <v>123</v>
      </c>
      <c r="J181" t="s">
        <v>229</v>
      </c>
      <c r="K181" t="s">
        <v>75</v>
      </c>
      <c r="L181" t="s">
        <v>87</v>
      </c>
      <c r="M181" t="s">
        <v>88</v>
      </c>
      <c r="N181" t="s">
        <v>234</v>
      </c>
      <c r="O181" t="s">
        <v>93</v>
      </c>
      <c r="P181" t="str">
        <f>"ANNE                          "</f>
        <v xml:space="preserve">ANNE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8.93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G181">
        <v>0</v>
      </c>
      <c r="BH181">
        <v>1</v>
      </c>
      <c r="BI181">
        <v>2</v>
      </c>
      <c r="BJ181">
        <v>4.5999999999999996</v>
      </c>
      <c r="BK181">
        <v>5</v>
      </c>
      <c r="BL181">
        <v>98.97</v>
      </c>
      <c r="BM181">
        <v>14.85</v>
      </c>
      <c r="BN181">
        <v>113.82</v>
      </c>
      <c r="BO181">
        <v>113.82</v>
      </c>
      <c r="BQ181" t="s">
        <v>334</v>
      </c>
      <c r="BR181" t="s">
        <v>335</v>
      </c>
      <c r="BS181" s="2">
        <v>44169</v>
      </c>
      <c r="BT181" s="3">
        <v>0.41666666666666669</v>
      </c>
      <c r="BU181" t="s">
        <v>336</v>
      </c>
      <c r="BV181" t="s">
        <v>81</v>
      </c>
      <c r="BW181" t="s">
        <v>97</v>
      </c>
      <c r="BX181" t="s">
        <v>152</v>
      </c>
      <c r="BY181">
        <v>23100</v>
      </c>
      <c r="CA181" t="s">
        <v>101</v>
      </c>
      <c r="CC181" t="s">
        <v>88</v>
      </c>
      <c r="CD181">
        <v>6000</v>
      </c>
      <c r="CE181" t="s">
        <v>89</v>
      </c>
      <c r="CF181" s="2">
        <v>44174</v>
      </c>
      <c r="CI181">
        <v>2</v>
      </c>
      <c r="CJ181">
        <v>3</v>
      </c>
      <c r="CK181" t="s">
        <v>194</v>
      </c>
      <c r="CL181" t="s">
        <v>81</v>
      </c>
    </row>
    <row r="182" spans="1:90" x14ac:dyDescent="0.25">
      <c r="A182" t="s">
        <v>241</v>
      </c>
      <c r="B182" t="s">
        <v>228</v>
      </c>
      <c r="C182" t="s">
        <v>72</v>
      </c>
      <c r="E182" t="str">
        <f>"029908382438"</f>
        <v>029908382438</v>
      </c>
      <c r="F182" s="2">
        <v>44176</v>
      </c>
      <c r="G182">
        <v>202106</v>
      </c>
      <c r="H182" t="s">
        <v>122</v>
      </c>
      <c r="I182" t="s">
        <v>123</v>
      </c>
      <c r="J182" t="s">
        <v>229</v>
      </c>
      <c r="K182" t="s">
        <v>75</v>
      </c>
      <c r="L182" t="s">
        <v>193</v>
      </c>
      <c r="M182" t="s">
        <v>96</v>
      </c>
      <c r="N182" t="s">
        <v>234</v>
      </c>
      <c r="O182" t="s">
        <v>93</v>
      </c>
      <c r="P182" t="str">
        <f>"SAMANTHA R.                   "</f>
        <v xml:space="preserve">SAMANTHA R.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9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G182">
        <v>0</v>
      </c>
      <c r="BH182">
        <v>1</v>
      </c>
      <c r="BI182">
        <v>9.5</v>
      </c>
      <c r="BJ182">
        <v>5.5</v>
      </c>
      <c r="BK182">
        <v>10</v>
      </c>
      <c r="BL182">
        <v>99.71</v>
      </c>
      <c r="BM182">
        <v>14.96</v>
      </c>
      <c r="BN182">
        <v>114.67</v>
      </c>
      <c r="BO182">
        <v>114.67</v>
      </c>
      <c r="BQ182" t="s">
        <v>390</v>
      </c>
      <c r="BR182" t="s">
        <v>391</v>
      </c>
      <c r="BS182" s="2">
        <v>44179</v>
      </c>
      <c r="BT182" s="3">
        <v>0.41666666666666669</v>
      </c>
      <c r="BU182" t="s">
        <v>236</v>
      </c>
      <c r="BV182" t="s">
        <v>79</v>
      </c>
      <c r="BY182">
        <v>27720</v>
      </c>
      <c r="CC182" t="s">
        <v>96</v>
      </c>
      <c r="CD182">
        <v>8000</v>
      </c>
      <c r="CE182" t="s">
        <v>89</v>
      </c>
      <c r="CF182" s="2">
        <v>44180</v>
      </c>
      <c r="CI182">
        <v>3</v>
      </c>
      <c r="CJ182">
        <v>1</v>
      </c>
      <c r="CK182" t="s">
        <v>129</v>
      </c>
      <c r="CL182" t="s">
        <v>81</v>
      </c>
    </row>
    <row r="183" spans="1:90" hidden="1" x14ac:dyDescent="0.25">
      <c r="A183" t="s">
        <v>241</v>
      </c>
      <c r="B183" t="s">
        <v>228</v>
      </c>
      <c r="C183" t="s">
        <v>72</v>
      </c>
      <c r="E183" t="str">
        <f>"009939671521"</f>
        <v>009939671521</v>
      </c>
      <c r="F183" s="2">
        <v>44187</v>
      </c>
      <c r="G183">
        <v>202106</v>
      </c>
      <c r="H183" t="s">
        <v>122</v>
      </c>
      <c r="I183" t="s">
        <v>123</v>
      </c>
      <c r="J183" t="s">
        <v>242</v>
      </c>
      <c r="K183" t="s">
        <v>75</v>
      </c>
      <c r="L183" t="s">
        <v>109</v>
      </c>
      <c r="M183" t="s">
        <v>110</v>
      </c>
      <c r="N183" t="s">
        <v>229</v>
      </c>
      <c r="O183" t="s">
        <v>78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4.4000000000000004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G183">
        <v>0</v>
      </c>
      <c r="BH183">
        <v>1</v>
      </c>
      <c r="BI183">
        <v>1</v>
      </c>
      <c r="BJ183">
        <v>0.3</v>
      </c>
      <c r="BK183">
        <v>1</v>
      </c>
      <c r="BL183">
        <v>46.27</v>
      </c>
      <c r="BM183">
        <v>6.94</v>
      </c>
      <c r="BN183">
        <v>53.21</v>
      </c>
      <c r="BO183">
        <v>53.21</v>
      </c>
      <c r="BR183" t="s">
        <v>272</v>
      </c>
      <c r="BS183" s="2">
        <v>44188</v>
      </c>
      <c r="BT183" s="3">
        <v>0.30416666666666664</v>
      </c>
      <c r="BU183" t="s">
        <v>216</v>
      </c>
      <c r="BV183" t="s">
        <v>79</v>
      </c>
      <c r="BY183">
        <v>1560</v>
      </c>
      <c r="BZ183" t="s">
        <v>80</v>
      </c>
      <c r="CC183" t="s">
        <v>110</v>
      </c>
      <c r="CD183">
        <v>2013</v>
      </c>
      <c r="CE183" t="s">
        <v>89</v>
      </c>
      <c r="CF183" s="2">
        <v>44189</v>
      </c>
      <c r="CI183">
        <v>1</v>
      </c>
      <c r="CJ183">
        <v>1</v>
      </c>
      <c r="CK183">
        <v>21</v>
      </c>
      <c r="CL183" t="s">
        <v>81</v>
      </c>
    </row>
    <row r="184" spans="1:90" x14ac:dyDescent="0.25">
      <c r="A184" t="s">
        <v>241</v>
      </c>
      <c r="B184" t="s">
        <v>228</v>
      </c>
      <c r="C184" t="s">
        <v>72</v>
      </c>
      <c r="E184" t="str">
        <f>"029908382440"</f>
        <v>029908382440</v>
      </c>
      <c r="F184" s="2">
        <v>44183</v>
      </c>
      <c r="G184">
        <v>202106</v>
      </c>
      <c r="H184" t="s">
        <v>122</v>
      </c>
      <c r="I184" t="s">
        <v>123</v>
      </c>
      <c r="J184" t="s">
        <v>229</v>
      </c>
      <c r="K184" t="s">
        <v>75</v>
      </c>
      <c r="L184" t="s">
        <v>87</v>
      </c>
      <c r="M184" t="s">
        <v>88</v>
      </c>
      <c r="N184" t="s">
        <v>234</v>
      </c>
      <c r="O184" t="s">
        <v>93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8.93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G184">
        <v>0</v>
      </c>
      <c r="BH184">
        <v>1</v>
      </c>
      <c r="BI184">
        <v>2</v>
      </c>
      <c r="BJ184">
        <v>8.1</v>
      </c>
      <c r="BK184">
        <v>8</v>
      </c>
      <c r="BL184">
        <v>98.97</v>
      </c>
      <c r="BM184">
        <v>14.85</v>
      </c>
      <c r="BN184">
        <v>113.82</v>
      </c>
      <c r="BO184">
        <v>113.82</v>
      </c>
      <c r="BQ184" t="s">
        <v>334</v>
      </c>
      <c r="BR184" t="s">
        <v>231</v>
      </c>
      <c r="BS184" s="2">
        <v>44186</v>
      </c>
      <c r="BT184" s="3">
        <v>0.41666666666666669</v>
      </c>
      <c r="BU184" t="s">
        <v>500</v>
      </c>
      <c r="BV184" t="s">
        <v>79</v>
      </c>
      <c r="BY184">
        <v>40320</v>
      </c>
      <c r="CA184" t="s">
        <v>111</v>
      </c>
      <c r="CC184" t="s">
        <v>88</v>
      </c>
      <c r="CD184">
        <v>6000</v>
      </c>
      <c r="CE184" t="s">
        <v>89</v>
      </c>
      <c r="CF184" s="2">
        <v>44186</v>
      </c>
      <c r="CI184">
        <v>2</v>
      </c>
      <c r="CJ184">
        <v>1</v>
      </c>
      <c r="CK184" t="s">
        <v>194</v>
      </c>
      <c r="CL184" t="s">
        <v>81</v>
      </c>
    </row>
    <row r="185" spans="1:90" x14ac:dyDescent="0.25">
      <c r="A185" t="s">
        <v>241</v>
      </c>
      <c r="B185" t="s">
        <v>228</v>
      </c>
      <c r="C185" t="s">
        <v>72</v>
      </c>
      <c r="E185" t="str">
        <f>"029908382441"</f>
        <v>029908382441</v>
      </c>
      <c r="F185" s="2">
        <v>44183</v>
      </c>
      <c r="G185">
        <v>202106</v>
      </c>
      <c r="H185" t="s">
        <v>122</v>
      </c>
      <c r="I185" t="s">
        <v>123</v>
      </c>
      <c r="J185" t="s">
        <v>229</v>
      </c>
      <c r="K185" t="s">
        <v>75</v>
      </c>
      <c r="L185" t="s">
        <v>76</v>
      </c>
      <c r="M185" t="s">
        <v>77</v>
      </c>
      <c r="N185" t="s">
        <v>234</v>
      </c>
      <c r="O185" t="s">
        <v>93</v>
      </c>
      <c r="P185" t="str">
        <f>"ANNE                          "</f>
        <v xml:space="preserve">ANNE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6.18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G185">
        <v>0</v>
      </c>
      <c r="BH185">
        <v>1</v>
      </c>
      <c r="BI185">
        <v>1</v>
      </c>
      <c r="BJ185">
        <v>5.5</v>
      </c>
      <c r="BK185">
        <v>6</v>
      </c>
      <c r="BL185">
        <v>70.06</v>
      </c>
      <c r="BM185">
        <v>10.51</v>
      </c>
      <c r="BN185">
        <v>80.569999999999993</v>
      </c>
      <c r="BO185">
        <v>80.569999999999993</v>
      </c>
      <c r="BQ185" t="s">
        <v>511</v>
      </c>
      <c r="BR185" t="s">
        <v>335</v>
      </c>
      <c r="BS185" s="2">
        <v>44193</v>
      </c>
      <c r="BT185" s="3">
        <v>0.49236111111111108</v>
      </c>
      <c r="BU185" t="s">
        <v>512</v>
      </c>
      <c r="BV185" t="s">
        <v>81</v>
      </c>
      <c r="BW185" t="s">
        <v>97</v>
      </c>
      <c r="BX185" t="s">
        <v>161</v>
      </c>
      <c r="BY185">
        <v>27720</v>
      </c>
      <c r="CA185" t="s">
        <v>215</v>
      </c>
      <c r="CC185" t="s">
        <v>77</v>
      </c>
      <c r="CD185">
        <v>5247</v>
      </c>
      <c r="CE185" t="s">
        <v>89</v>
      </c>
      <c r="CF185" s="2">
        <v>44193</v>
      </c>
      <c r="CI185">
        <v>2</v>
      </c>
      <c r="CJ185">
        <v>6</v>
      </c>
      <c r="CK185" t="s">
        <v>345</v>
      </c>
      <c r="CL185" t="s">
        <v>81</v>
      </c>
    </row>
    <row r="186" spans="1:90" hidden="1" x14ac:dyDescent="0.25">
      <c r="A186" t="s">
        <v>241</v>
      </c>
      <c r="B186" t="s">
        <v>228</v>
      </c>
      <c r="C186" t="s">
        <v>72</v>
      </c>
      <c r="E186" t="str">
        <f>"009940476338"</f>
        <v>009940476338</v>
      </c>
      <c r="F186" s="2">
        <v>44188</v>
      </c>
      <c r="G186">
        <v>202106</v>
      </c>
      <c r="H186" t="s">
        <v>112</v>
      </c>
      <c r="I186" t="s">
        <v>92</v>
      </c>
      <c r="J186" t="s">
        <v>242</v>
      </c>
      <c r="K186" t="s">
        <v>75</v>
      </c>
      <c r="L186" t="s">
        <v>109</v>
      </c>
      <c r="M186" t="s">
        <v>110</v>
      </c>
      <c r="N186" t="s">
        <v>229</v>
      </c>
      <c r="O186" t="s">
        <v>93</v>
      </c>
      <c r="P186" t="str">
        <f>"NOREF                         "</f>
        <v xml:space="preserve">NOREF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6.18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G186">
        <v>0</v>
      </c>
      <c r="BH186">
        <v>1</v>
      </c>
      <c r="BI186">
        <v>1</v>
      </c>
      <c r="BJ186">
        <v>0.5</v>
      </c>
      <c r="BK186">
        <v>1</v>
      </c>
      <c r="BL186">
        <v>70.06</v>
      </c>
      <c r="BM186">
        <v>10.51</v>
      </c>
      <c r="BN186">
        <v>80.569999999999993</v>
      </c>
      <c r="BO186">
        <v>80.569999999999993</v>
      </c>
      <c r="BQ186" t="s">
        <v>175</v>
      </c>
      <c r="BR186" t="s">
        <v>475</v>
      </c>
      <c r="BS186" s="2">
        <v>44189</v>
      </c>
      <c r="BT186" s="3">
        <v>0.30972222222222223</v>
      </c>
      <c r="BU186" t="s">
        <v>216</v>
      </c>
      <c r="BV186" t="s">
        <v>79</v>
      </c>
      <c r="BY186">
        <v>2400</v>
      </c>
      <c r="CC186" t="s">
        <v>110</v>
      </c>
      <c r="CD186">
        <v>2000</v>
      </c>
      <c r="CE186" t="s">
        <v>89</v>
      </c>
      <c r="CF186" s="2">
        <v>44189</v>
      </c>
      <c r="CI186">
        <v>0</v>
      </c>
      <c r="CJ186">
        <v>0</v>
      </c>
      <c r="CK186" t="s">
        <v>359</v>
      </c>
      <c r="CL186" t="s">
        <v>81</v>
      </c>
    </row>
    <row r="187" spans="1:90" hidden="1" x14ac:dyDescent="0.25">
      <c r="A187" t="s">
        <v>241</v>
      </c>
      <c r="B187" t="s">
        <v>228</v>
      </c>
      <c r="C187" t="s">
        <v>72</v>
      </c>
      <c r="E187" t="str">
        <f>"009940476429"</f>
        <v>009940476429</v>
      </c>
      <c r="F187" s="2">
        <v>44188</v>
      </c>
      <c r="G187">
        <v>202106</v>
      </c>
      <c r="H187" t="s">
        <v>112</v>
      </c>
      <c r="I187" t="s">
        <v>92</v>
      </c>
      <c r="J187" t="s">
        <v>242</v>
      </c>
      <c r="K187" t="s">
        <v>75</v>
      </c>
      <c r="L187" t="s">
        <v>109</v>
      </c>
      <c r="M187" t="s">
        <v>110</v>
      </c>
      <c r="N187" t="s">
        <v>229</v>
      </c>
      <c r="O187" t="s">
        <v>93</v>
      </c>
      <c r="P187" t="str">
        <f>"NOREF                         "</f>
        <v xml:space="preserve">NOREF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6.18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70.06</v>
      </c>
      <c r="BM187">
        <v>10.51</v>
      </c>
      <c r="BN187">
        <v>80.569999999999993</v>
      </c>
      <c r="BO187">
        <v>80.569999999999993</v>
      </c>
      <c r="BQ187" t="s">
        <v>175</v>
      </c>
      <c r="BR187" t="s">
        <v>175</v>
      </c>
      <c r="BS187" s="2">
        <v>44189</v>
      </c>
      <c r="BT187" s="3">
        <v>0.30972222222222223</v>
      </c>
      <c r="BU187" t="s">
        <v>216</v>
      </c>
      <c r="BV187" t="s">
        <v>79</v>
      </c>
      <c r="BY187">
        <v>1200</v>
      </c>
      <c r="CC187" t="s">
        <v>110</v>
      </c>
      <c r="CD187">
        <v>2000</v>
      </c>
      <c r="CE187" t="s">
        <v>89</v>
      </c>
      <c r="CF187" s="2">
        <v>44189</v>
      </c>
      <c r="CI187">
        <v>0</v>
      </c>
      <c r="CJ187">
        <v>0</v>
      </c>
      <c r="CK187" t="s">
        <v>359</v>
      </c>
      <c r="CL187" t="s">
        <v>81</v>
      </c>
    </row>
    <row r="188" spans="1:90" hidden="1" x14ac:dyDescent="0.25">
      <c r="A188" t="s">
        <v>241</v>
      </c>
      <c r="B188" t="s">
        <v>228</v>
      </c>
      <c r="C188" t="s">
        <v>72</v>
      </c>
      <c r="E188" t="str">
        <f>"009940854267"</f>
        <v>009940854267</v>
      </c>
      <c r="F188" s="2">
        <v>44188</v>
      </c>
      <c r="G188">
        <v>202106</v>
      </c>
      <c r="H188" t="s">
        <v>87</v>
      </c>
      <c r="I188" t="s">
        <v>88</v>
      </c>
      <c r="J188" t="s">
        <v>269</v>
      </c>
      <c r="K188" t="s">
        <v>75</v>
      </c>
      <c r="L188" t="s">
        <v>109</v>
      </c>
      <c r="M188" t="s">
        <v>110</v>
      </c>
      <c r="N188" t="s">
        <v>581</v>
      </c>
      <c r="O188" t="s">
        <v>78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4.4000000000000004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G188">
        <v>0</v>
      </c>
      <c r="BH188">
        <v>1</v>
      </c>
      <c r="BI188">
        <v>1</v>
      </c>
      <c r="BJ188">
        <v>0.3</v>
      </c>
      <c r="BK188">
        <v>1</v>
      </c>
      <c r="BL188">
        <v>46.27</v>
      </c>
      <c r="BM188">
        <v>6.94</v>
      </c>
      <c r="BN188">
        <v>53.21</v>
      </c>
      <c r="BO188">
        <v>53.21</v>
      </c>
      <c r="BQ188" t="s">
        <v>252</v>
      </c>
      <c r="BR188" t="s">
        <v>182</v>
      </c>
      <c r="BS188" s="2">
        <v>44189</v>
      </c>
      <c r="BT188" s="3">
        <v>0.30972222222222223</v>
      </c>
      <c r="BU188" t="s">
        <v>216</v>
      </c>
      <c r="BV188" t="s">
        <v>79</v>
      </c>
      <c r="BY188">
        <v>1260</v>
      </c>
      <c r="BZ188" t="s">
        <v>80</v>
      </c>
      <c r="CC188" t="s">
        <v>110</v>
      </c>
      <c r="CD188">
        <v>2016</v>
      </c>
      <c r="CE188" t="s">
        <v>89</v>
      </c>
      <c r="CF188" s="2">
        <v>44189</v>
      </c>
      <c r="CI188">
        <v>1</v>
      </c>
      <c r="CJ188">
        <v>1</v>
      </c>
      <c r="CK188">
        <v>21</v>
      </c>
      <c r="CL188" t="s">
        <v>81</v>
      </c>
    </row>
    <row r="189" spans="1:90" hidden="1" x14ac:dyDescent="0.25">
      <c r="A189" t="s">
        <v>241</v>
      </c>
      <c r="B189" t="s">
        <v>228</v>
      </c>
      <c r="C189" t="s">
        <v>72</v>
      </c>
      <c r="E189" t="str">
        <f>"009940204777"</f>
        <v>009940204777</v>
      </c>
      <c r="F189" s="2">
        <v>44188</v>
      </c>
      <c r="G189">
        <v>202106</v>
      </c>
      <c r="H189" t="s">
        <v>109</v>
      </c>
      <c r="I189" t="s">
        <v>110</v>
      </c>
      <c r="J189" t="s">
        <v>243</v>
      </c>
      <c r="K189" t="s">
        <v>75</v>
      </c>
      <c r="L189" t="s">
        <v>109</v>
      </c>
      <c r="M189" t="s">
        <v>110</v>
      </c>
      <c r="N189" t="s">
        <v>229</v>
      </c>
      <c r="O189" t="s">
        <v>93</v>
      </c>
      <c r="P189" t="str">
        <f>"NA                            "</f>
        <v xml:space="preserve">NA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6.18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70.06</v>
      </c>
      <c r="BM189">
        <v>10.51</v>
      </c>
      <c r="BN189">
        <v>80.569999999999993</v>
      </c>
      <c r="BO189">
        <v>80.569999999999993</v>
      </c>
      <c r="BQ189" t="s">
        <v>200</v>
      </c>
      <c r="BR189" t="s">
        <v>200</v>
      </c>
      <c r="BS189" s="2">
        <v>44189</v>
      </c>
      <c r="BT189" s="3">
        <v>0.30972222222222223</v>
      </c>
      <c r="BU189" t="s">
        <v>216</v>
      </c>
      <c r="BV189" t="s">
        <v>79</v>
      </c>
      <c r="BY189">
        <v>1200</v>
      </c>
      <c r="CC189" t="s">
        <v>110</v>
      </c>
      <c r="CD189">
        <v>2000</v>
      </c>
      <c r="CE189" t="s">
        <v>89</v>
      </c>
      <c r="CF189" s="2">
        <v>44189</v>
      </c>
      <c r="CI189">
        <v>1</v>
      </c>
      <c r="CJ189">
        <v>1</v>
      </c>
      <c r="CK189" t="s">
        <v>190</v>
      </c>
      <c r="CL189" t="s">
        <v>81</v>
      </c>
    </row>
    <row r="190" spans="1:90" hidden="1" x14ac:dyDescent="0.25">
      <c r="A190" t="s">
        <v>241</v>
      </c>
      <c r="B190" t="s">
        <v>228</v>
      </c>
      <c r="C190" t="s">
        <v>72</v>
      </c>
      <c r="E190" t="str">
        <f>"009940383133"</f>
        <v>009940383133</v>
      </c>
      <c r="F190" s="2">
        <v>44189</v>
      </c>
      <c r="G190">
        <v>202106</v>
      </c>
      <c r="H190" t="s">
        <v>177</v>
      </c>
      <c r="I190" t="s">
        <v>178</v>
      </c>
      <c r="J190" t="s">
        <v>395</v>
      </c>
      <c r="K190" t="s">
        <v>75</v>
      </c>
      <c r="L190" t="s">
        <v>109</v>
      </c>
      <c r="M190" t="s">
        <v>110</v>
      </c>
      <c r="N190" t="s">
        <v>229</v>
      </c>
      <c r="O190" t="s">
        <v>93</v>
      </c>
      <c r="P190" t="str">
        <f>"NA                            "</f>
        <v xml:space="preserve">NA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6.18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G190">
        <v>0</v>
      </c>
      <c r="BH190">
        <v>1</v>
      </c>
      <c r="BI190">
        <v>0.2</v>
      </c>
      <c r="BJ190">
        <v>1.1000000000000001</v>
      </c>
      <c r="BK190">
        <v>2</v>
      </c>
      <c r="BL190">
        <v>70.06</v>
      </c>
      <c r="BM190">
        <v>10.51</v>
      </c>
      <c r="BN190">
        <v>80.569999999999993</v>
      </c>
      <c r="BO190">
        <v>80.569999999999993</v>
      </c>
      <c r="BQ190" t="s">
        <v>200</v>
      </c>
      <c r="BR190" t="s">
        <v>475</v>
      </c>
      <c r="BS190" s="2">
        <v>44193</v>
      </c>
      <c r="BT190" s="3">
        <v>0.30555555555555552</v>
      </c>
      <c r="BU190" t="s">
        <v>553</v>
      </c>
      <c r="BV190" t="s">
        <v>79</v>
      </c>
      <c r="BY190">
        <v>5652.74</v>
      </c>
      <c r="CC190" t="s">
        <v>110</v>
      </c>
      <c r="CD190">
        <v>2013</v>
      </c>
      <c r="CE190" t="s">
        <v>89</v>
      </c>
      <c r="CF190" s="2">
        <v>44193</v>
      </c>
      <c r="CI190">
        <v>1</v>
      </c>
      <c r="CJ190">
        <v>2</v>
      </c>
      <c r="CK190" t="s">
        <v>359</v>
      </c>
      <c r="CL190" t="s">
        <v>81</v>
      </c>
    </row>
    <row r="191" spans="1:90" hidden="1" x14ac:dyDescent="0.25">
      <c r="A191" t="s">
        <v>241</v>
      </c>
      <c r="B191" t="s">
        <v>228</v>
      </c>
      <c r="C191" t="s">
        <v>72</v>
      </c>
      <c r="E191" t="str">
        <f>"009940755401"</f>
        <v>009940755401</v>
      </c>
      <c r="F191" s="2">
        <v>44188</v>
      </c>
      <c r="G191">
        <v>202106</v>
      </c>
      <c r="H191" t="s">
        <v>95</v>
      </c>
      <c r="I191" t="s">
        <v>96</v>
      </c>
      <c r="J191" t="s">
        <v>242</v>
      </c>
      <c r="K191" t="s">
        <v>75</v>
      </c>
      <c r="L191" t="s">
        <v>109</v>
      </c>
      <c r="M191" t="s">
        <v>110</v>
      </c>
      <c r="N191" t="s">
        <v>229</v>
      </c>
      <c r="O191" t="s">
        <v>93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9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G191">
        <v>0</v>
      </c>
      <c r="BH191">
        <v>1</v>
      </c>
      <c r="BI191">
        <v>0.4</v>
      </c>
      <c r="BJ191">
        <v>2.9</v>
      </c>
      <c r="BK191">
        <v>3</v>
      </c>
      <c r="BL191">
        <v>99.71</v>
      </c>
      <c r="BM191">
        <v>14.96</v>
      </c>
      <c r="BN191">
        <v>114.67</v>
      </c>
      <c r="BO191">
        <v>114.67</v>
      </c>
      <c r="BR191" t="s">
        <v>175</v>
      </c>
      <c r="BS191" s="2">
        <v>44189</v>
      </c>
      <c r="BT191" s="3">
        <v>0.30972222222222223</v>
      </c>
      <c r="BU191" t="s">
        <v>216</v>
      </c>
      <c r="BV191" t="s">
        <v>79</v>
      </c>
      <c r="BY191">
        <v>14256.06</v>
      </c>
      <c r="CC191" t="s">
        <v>110</v>
      </c>
      <c r="CD191">
        <v>2013</v>
      </c>
      <c r="CE191" t="s">
        <v>89</v>
      </c>
      <c r="CF191" s="2">
        <v>44189</v>
      </c>
      <c r="CI191">
        <v>2</v>
      </c>
      <c r="CJ191">
        <v>1</v>
      </c>
      <c r="CK191" t="s">
        <v>129</v>
      </c>
      <c r="CL191" t="s">
        <v>81</v>
      </c>
    </row>
    <row r="192" spans="1:90" hidden="1" x14ac:dyDescent="0.25">
      <c r="A192" t="s">
        <v>241</v>
      </c>
      <c r="B192" t="s">
        <v>228</v>
      </c>
      <c r="C192" t="s">
        <v>72</v>
      </c>
      <c r="E192" t="str">
        <f>"009940504759"</f>
        <v>009940504759</v>
      </c>
      <c r="F192" s="2">
        <v>44193</v>
      </c>
      <c r="G192">
        <v>202106</v>
      </c>
      <c r="H192" t="s">
        <v>90</v>
      </c>
      <c r="I192" t="s">
        <v>91</v>
      </c>
      <c r="J192" t="s">
        <v>554</v>
      </c>
      <c r="K192" t="s">
        <v>75</v>
      </c>
      <c r="L192" t="s">
        <v>109</v>
      </c>
      <c r="M192" t="s">
        <v>110</v>
      </c>
      <c r="N192" t="s">
        <v>229</v>
      </c>
      <c r="O192" t="s">
        <v>93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8.24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G192">
        <v>0</v>
      </c>
      <c r="BH192">
        <v>1</v>
      </c>
      <c r="BI192">
        <v>1</v>
      </c>
      <c r="BJ192">
        <v>2.4</v>
      </c>
      <c r="BK192">
        <v>3</v>
      </c>
      <c r="BL192">
        <v>91.74</v>
      </c>
      <c r="BM192">
        <v>13.76</v>
      </c>
      <c r="BN192">
        <v>105.5</v>
      </c>
      <c r="BO192">
        <v>105.5</v>
      </c>
      <c r="BQ192" t="s">
        <v>313</v>
      </c>
      <c r="BR192" t="s">
        <v>555</v>
      </c>
      <c r="BS192" s="2">
        <v>44194</v>
      </c>
      <c r="BT192" s="3">
        <v>0.28819444444444448</v>
      </c>
      <c r="BU192" t="s">
        <v>216</v>
      </c>
      <c r="BV192" t="s">
        <v>79</v>
      </c>
      <c r="BY192">
        <v>12000</v>
      </c>
      <c r="CC192" t="s">
        <v>110</v>
      </c>
      <c r="CD192">
        <v>2000</v>
      </c>
      <c r="CE192" t="s">
        <v>89</v>
      </c>
      <c r="CF192" s="2">
        <v>44194</v>
      </c>
      <c r="CI192">
        <v>1</v>
      </c>
      <c r="CJ192">
        <v>1</v>
      </c>
      <c r="CK192" t="s">
        <v>331</v>
      </c>
      <c r="CL192" t="s">
        <v>81</v>
      </c>
    </row>
    <row r="193" spans="1:90" hidden="1" x14ac:dyDescent="0.25">
      <c r="A193" t="s">
        <v>241</v>
      </c>
      <c r="B193" t="s">
        <v>228</v>
      </c>
      <c r="C193" t="s">
        <v>72</v>
      </c>
      <c r="E193" t="str">
        <f>"009940854268"</f>
        <v>009940854268</v>
      </c>
      <c r="F193" s="2">
        <v>44194</v>
      </c>
      <c r="G193">
        <v>202106</v>
      </c>
      <c r="H193" t="s">
        <v>87</v>
      </c>
      <c r="I193" t="s">
        <v>88</v>
      </c>
      <c r="J193" t="s">
        <v>269</v>
      </c>
      <c r="K193" t="s">
        <v>75</v>
      </c>
      <c r="L193" t="s">
        <v>109</v>
      </c>
      <c r="M193" t="s">
        <v>110</v>
      </c>
      <c r="N193" t="s">
        <v>229</v>
      </c>
      <c r="O193" t="s">
        <v>78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4.4000000000000004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46.27</v>
      </c>
      <c r="BM193">
        <v>6.94</v>
      </c>
      <c r="BN193">
        <v>53.21</v>
      </c>
      <c r="BO193">
        <v>53.21</v>
      </c>
      <c r="BQ193" t="s">
        <v>252</v>
      </c>
      <c r="BR193" t="s">
        <v>273</v>
      </c>
      <c r="BS193" s="2">
        <v>44195</v>
      </c>
      <c r="BT193" s="3">
        <v>0.30555555555555552</v>
      </c>
      <c r="BU193" t="s">
        <v>216</v>
      </c>
      <c r="BV193" t="s">
        <v>79</v>
      </c>
      <c r="BY193">
        <v>1200</v>
      </c>
      <c r="BZ193" t="s">
        <v>80</v>
      </c>
      <c r="CC193" t="s">
        <v>110</v>
      </c>
      <c r="CD193">
        <v>2013</v>
      </c>
      <c r="CE193" t="s">
        <v>89</v>
      </c>
      <c r="CF193" s="2">
        <v>44195</v>
      </c>
      <c r="CI193">
        <v>1</v>
      </c>
      <c r="CJ193">
        <v>1</v>
      </c>
      <c r="CK193">
        <v>21</v>
      </c>
      <c r="CL193" t="s">
        <v>81</v>
      </c>
    </row>
    <row r="194" spans="1:90" hidden="1" x14ac:dyDescent="0.25">
      <c r="A194" t="s">
        <v>241</v>
      </c>
      <c r="B194" t="s">
        <v>228</v>
      </c>
      <c r="C194" t="s">
        <v>72</v>
      </c>
      <c r="E194" t="str">
        <f>"009940593391"</f>
        <v>009940593391</v>
      </c>
      <c r="F194" s="2">
        <v>44194</v>
      </c>
      <c r="G194">
        <v>202106</v>
      </c>
      <c r="H194" t="s">
        <v>112</v>
      </c>
      <c r="I194" t="s">
        <v>92</v>
      </c>
      <c r="J194" t="s">
        <v>556</v>
      </c>
      <c r="K194" t="s">
        <v>75</v>
      </c>
      <c r="L194" t="s">
        <v>109</v>
      </c>
      <c r="M194" t="s">
        <v>110</v>
      </c>
      <c r="N194" t="s">
        <v>557</v>
      </c>
      <c r="O194" t="s">
        <v>78</v>
      </c>
      <c r="P194" t="str">
        <f>"NOREF                         "</f>
        <v xml:space="preserve">NOREF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4.4000000000000004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G194">
        <v>0</v>
      </c>
      <c r="BH194">
        <v>1</v>
      </c>
      <c r="BI194">
        <v>1</v>
      </c>
      <c r="BJ194">
        <v>0.5</v>
      </c>
      <c r="BK194">
        <v>1</v>
      </c>
      <c r="BL194">
        <v>46.27</v>
      </c>
      <c r="BM194">
        <v>6.94</v>
      </c>
      <c r="BN194">
        <v>53.21</v>
      </c>
      <c r="BO194">
        <v>53.21</v>
      </c>
      <c r="BR194" t="s">
        <v>385</v>
      </c>
      <c r="BS194" s="2">
        <v>44195</v>
      </c>
      <c r="BT194" s="3">
        <v>0.30555555555555552</v>
      </c>
      <c r="BU194" t="s">
        <v>216</v>
      </c>
      <c r="BV194" t="s">
        <v>79</v>
      </c>
      <c r="BY194">
        <v>2400</v>
      </c>
      <c r="BZ194" t="s">
        <v>80</v>
      </c>
      <c r="CC194" t="s">
        <v>110</v>
      </c>
      <c r="CD194">
        <v>2013</v>
      </c>
      <c r="CE194" t="s">
        <v>89</v>
      </c>
      <c r="CF194" s="2">
        <v>44195</v>
      </c>
      <c r="CI194">
        <v>1</v>
      </c>
      <c r="CJ194">
        <v>1</v>
      </c>
      <c r="CK194">
        <v>21</v>
      </c>
      <c r="CL194" t="s">
        <v>81</v>
      </c>
    </row>
    <row r="195" spans="1:90" hidden="1" x14ac:dyDescent="0.25">
      <c r="A195" t="s">
        <v>241</v>
      </c>
      <c r="B195" t="s">
        <v>228</v>
      </c>
      <c r="C195" t="s">
        <v>72</v>
      </c>
      <c r="E195" t="str">
        <f>"009940265341"</f>
        <v>009940265341</v>
      </c>
      <c r="F195" s="2">
        <v>44194</v>
      </c>
      <c r="G195">
        <v>202106</v>
      </c>
      <c r="H195" t="s">
        <v>109</v>
      </c>
      <c r="I195" t="s">
        <v>110</v>
      </c>
      <c r="J195" t="s">
        <v>558</v>
      </c>
      <c r="K195" t="s">
        <v>75</v>
      </c>
      <c r="L195" t="s">
        <v>109</v>
      </c>
      <c r="M195" t="s">
        <v>110</v>
      </c>
      <c r="N195" t="s">
        <v>581</v>
      </c>
      <c r="O195" t="s">
        <v>93</v>
      </c>
      <c r="P195" t="str">
        <f>"NA                            "</f>
        <v xml:space="preserve">NA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6.18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G195">
        <v>0</v>
      </c>
      <c r="BH195">
        <v>1</v>
      </c>
      <c r="BI195">
        <v>0.2</v>
      </c>
      <c r="BJ195">
        <v>1.6</v>
      </c>
      <c r="BK195">
        <v>2</v>
      </c>
      <c r="BL195">
        <v>70.06</v>
      </c>
      <c r="BM195">
        <v>10.51</v>
      </c>
      <c r="BN195">
        <v>80.569999999999993</v>
      </c>
      <c r="BO195">
        <v>80.569999999999993</v>
      </c>
      <c r="BQ195" t="s">
        <v>200</v>
      </c>
      <c r="BR195" t="s">
        <v>559</v>
      </c>
      <c r="BS195" s="2">
        <v>44195</v>
      </c>
      <c r="BT195" s="3">
        <v>0.30555555555555552</v>
      </c>
      <c r="BU195" t="s">
        <v>216</v>
      </c>
      <c r="BV195" t="s">
        <v>79</v>
      </c>
      <c r="BY195">
        <v>7970.14</v>
      </c>
      <c r="CC195" t="s">
        <v>110</v>
      </c>
      <c r="CD195">
        <v>2000</v>
      </c>
      <c r="CE195" t="s">
        <v>89</v>
      </c>
      <c r="CF195" s="2">
        <v>44195</v>
      </c>
      <c r="CI195">
        <v>1</v>
      </c>
      <c r="CJ195">
        <v>1</v>
      </c>
      <c r="CK195" t="s">
        <v>190</v>
      </c>
      <c r="CL195" t="s">
        <v>81</v>
      </c>
    </row>
    <row r="196" spans="1:90" hidden="1" x14ac:dyDescent="0.25">
      <c r="A196" t="s">
        <v>241</v>
      </c>
      <c r="B196" t="s">
        <v>228</v>
      </c>
      <c r="C196" t="s">
        <v>72</v>
      </c>
      <c r="E196" t="str">
        <f>"009940759904"</f>
        <v>009940759904</v>
      </c>
      <c r="F196" s="2">
        <v>44194</v>
      </c>
      <c r="G196">
        <v>202106</v>
      </c>
      <c r="H196" t="s">
        <v>95</v>
      </c>
      <c r="I196" t="s">
        <v>96</v>
      </c>
      <c r="J196" t="s">
        <v>355</v>
      </c>
      <c r="K196" t="s">
        <v>75</v>
      </c>
      <c r="L196" t="s">
        <v>109</v>
      </c>
      <c r="M196" t="s">
        <v>110</v>
      </c>
      <c r="N196" t="s">
        <v>229</v>
      </c>
      <c r="O196" t="s">
        <v>93</v>
      </c>
      <c r="P196" t="str">
        <f>"NA                            "</f>
        <v xml:space="preserve">NA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9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G196">
        <v>0</v>
      </c>
      <c r="BH196">
        <v>1</v>
      </c>
      <c r="BI196">
        <v>0.6</v>
      </c>
      <c r="BJ196">
        <v>2.2000000000000002</v>
      </c>
      <c r="BK196">
        <v>3</v>
      </c>
      <c r="BL196">
        <v>99.71</v>
      </c>
      <c r="BM196">
        <v>14.96</v>
      </c>
      <c r="BN196">
        <v>114.67</v>
      </c>
      <c r="BO196">
        <v>114.67</v>
      </c>
      <c r="BR196" t="s">
        <v>175</v>
      </c>
      <c r="BS196" s="2">
        <v>44195</v>
      </c>
      <c r="BT196" s="3">
        <v>0.30555555555555552</v>
      </c>
      <c r="BU196" t="s">
        <v>216</v>
      </c>
      <c r="BV196" t="s">
        <v>79</v>
      </c>
      <c r="BY196">
        <v>10863</v>
      </c>
      <c r="CC196" t="s">
        <v>110</v>
      </c>
      <c r="CD196">
        <v>2013</v>
      </c>
      <c r="CE196" t="s">
        <v>89</v>
      </c>
      <c r="CF196" s="2">
        <v>44195</v>
      </c>
      <c r="CI196">
        <v>2</v>
      </c>
      <c r="CJ196">
        <v>1</v>
      </c>
      <c r="CK196" t="s">
        <v>129</v>
      </c>
      <c r="CL196" t="s">
        <v>81</v>
      </c>
    </row>
    <row r="197" spans="1:90" hidden="1" x14ac:dyDescent="0.25">
      <c r="A197" t="s">
        <v>241</v>
      </c>
      <c r="B197" t="s">
        <v>228</v>
      </c>
      <c r="C197" t="s">
        <v>72</v>
      </c>
      <c r="E197" t="str">
        <f>"009940845731"</f>
        <v>009940845731</v>
      </c>
      <c r="F197" s="2">
        <v>44194</v>
      </c>
      <c r="G197">
        <v>202106</v>
      </c>
      <c r="H197" t="s">
        <v>195</v>
      </c>
      <c r="I197" t="s">
        <v>196</v>
      </c>
      <c r="J197" t="s">
        <v>242</v>
      </c>
      <c r="K197" t="s">
        <v>75</v>
      </c>
      <c r="L197" t="s">
        <v>109</v>
      </c>
      <c r="M197" t="s">
        <v>110</v>
      </c>
      <c r="N197" t="s">
        <v>229</v>
      </c>
      <c r="O197" t="s">
        <v>93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8.24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91.74</v>
      </c>
      <c r="BM197">
        <v>13.76</v>
      </c>
      <c r="BN197">
        <v>105.5</v>
      </c>
      <c r="BO197">
        <v>105.5</v>
      </c>
      <c r="BR197" t="s">
        <v>239</v>
      </c>
      <c r="BS197" s="2">
        <v>44195</v>
      </c>
      <c r="BT197" s="3">
        <v>0.30555555555555552</v>
      </c>
      <c r="BU197" t="s">
        <v>216</v>
      </c>
      <c r="BV197" t="s">
        <v>79</v>
      </c>
      <c r="BY197">
        <v>1200</v>
      </c>
      <c r="CC197" t="s">
        <v>110</v>
      </c>
      <c r="CD197">
        <v>2013</v>
      </c>
      <c r="CE197" t="s">
        <v>89</v>
      </c>
      <c r="CF197" s="2">
        <v>44195</v>
      </c>
      <c r="CI197">
        <v>1</v>
      </c>
      <c r="CJ197">
        <v>1</v>
      </c>
      <c r="CK197" t="s">
        <v>126</v>
      </c>
      <c r="CL197" t="s">
        <v>81</v>
      </c>
    </row>
    <row r="198" spans="1:90" hidden="1" x14ac:dyDescent="0.25">
      <c r="A198" t="s">
        <v>241</v>
      </c>
      <c r="B198" t="s">
        <v>228</v>
      </c>
      <c r="C198" t="s">
        <v>72</v>
      </c>
      <c r="E198" t="str">
        <f>"009940759983"</f>
        <v>009940759983</v>
      </c>
      <c r="F198" s="2">
        <v>44194</v>
      </c>
      <c r="G198">
        <v>202106</v>
      </c>
      <c r="H198" t="s">
        <v>95</v>
      </c>
      <c r="I198" t="s">
        <v>96</v>
      </c>
      <c r="J198" t="s">
        <v>392</v>
      </c>
      <c r="K198" t="s">
        <v>75</v>
      </c>
      <c r="L198" t="s">
        <v>109</v>
      </c>
      <c r="M198" t="s">
        <v>110</v>
      </c>
      <c r="N198" t="s">
        <v>229</v>
      </c>
      <c r="O198" t="s">
        <v>93</v>
      </c>
      <c r="P198" t="str">
        <f>"NA                            "</f>
        <v xml:space="preserve">NA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9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G198">
        <v>0</v>
      </c>
      <c r="BH198">
        <v>1</v>
      </c>
      <c r="BI198">
        <v>0.7</v>
      </c>
      <c r="BJ198">
        <v>1.9</v>
      </c>
      <c r="BK198">
        <v>2</v>
      </c>
      <c r="BL198">
        <v>99.71</v>
      </c>
      <c r="BM198">
        <v>14.96</v>
      </c>
      <c r="BN198">
        <v>114.67</v>
      </c>
      <c r="BO198">
        <v>114.67</v>
      </c>
      <c r="BQ198" t="s">
        <v>313</v>
      </c>
      <c r="BR198" t="s">
        <v>393</v>
      </c>
      <c r="BS198" s="2">
        <v>44195</v>
      </c>
      <c r="BT198" s="3">
        <v>0.30555555555555552</v>
      </c>
      <c r="BU198" t="s">
        <v>216</v>
      </c>
      <c r="BV198" t="s">
        <v>79</v>
      </c>
      <c r="BY198">
        <v>9280.98</v>
      </c>
      <c r="CC198" t="s">
        <v>110</v>
      </c>
      <c r="CD198">
        <v>2013</v>
      </c>
      <c r="CE198" t="s">
        <v>89</v>
      </c>
      <c r="CF198" s="2">
        <v>44195</v>
      </c>
      <c r="CI198">
        <v>2</v>
      </c>
      <c r="CJ198">
        <v>1</v>
      </c>
      <c r="CK198" t="s">
        <v>129</v>
      </c>
      <c r="CL198" t="s">
        <v>81</v>
      </c>
    </row>
    <row r="199" spans="1:90" hidden="1" x14ac:dyDescent="0.25">
      <c r="A199" t="s">
        <v>241</v>
      </c>
      <c r="B199" t="s">
        <v>228</v>
      </c>
      <c r="C199" t="s">
        <v>72</v>
      </c>
      <c r="E199" t="str">
        <f>"009940459469"</f>
        <v>009940459469</v>
      </c>
      <c r="F199" s="2">
        <v>44194</v>
      </c>
      <c r="G199">
        <v>202106</v>
      </c>
      <c r="H199" t="s">
        <v>87</v>
      </c>
      <c r="I199" t="s">
        <v>88</v>
      </c>
      <c r="J199" t="s">
        <v>251</v>
      </c>
      <c r="K199" t="s">
        <v>75</v>
      </c>
      <c r="L199" t="s">
        <v>109</v>
      </c>
      <c r="M199" t="s">
        <v>110</v>
      </c>
      <c r="N199" t="s">
        <v>581</v>
      </c>
      <c r="O199" t="s">
        <v>78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4.4000000000000004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G199">
        <v>0</v>
      </c>
      <c r="BH199">
        <v>1</v>
      </c>
      <c r="BI199">
        <v>2</v>
      </c>
      <c r="BJ199">
        <v>0.7</v>
      </c>
      <c r="BK199">
        <v>2</v>
      </c>
      <c r="BL199">
        <v>46.27</v>
      </c>
      <c r="BM199">
        <v>6.94</v>
      </c>
      <c r="BN199">
        <v>53.21</v>
      </c>
      <c r="BO199">
        <v>53.21</v>
      </c>
      <c r="BQ199" t="s">
        <v>313</v>
      </c>
      <c r="BR199" t="s">
        <v>253</v>
      </c>
      <c r="BS199" s="2">
        <v>44195</v>
      </c>
      <c r="BT199" s="3">
        <v>0.30555555555555552</v>
      </c>
      <c r="BU199" t="s">
        <v>216</v>
      </c>
      <c r="BV199" t="s">
        <v>79</v>
      </c>
      <c r="BY199">
        <v>3600</v>
      </c>
      <c r="BZ199" t="s">
        <v>80</v>
      </c>
      <c r="CC199" t="s">
        <v>110</v>
      </c>
      <c r="CD199">
        <v>2013</v>
      </c>
      <c r="CE199" t="s">
        <v>89</v>
      </c>
      <c r="CF199" s="2">
        <v>44195</v>
      </c>
      <c r="CI199">
        <v>1</v>
      </c>
      <c r="CJ199">
        <v>1</v>
      </c>
      <c r="CK199">
        <v>21</v>
      </c>
      <c r="CL199" t="s">
        <v>81</v>
      </c>
    </row>
    <row r="200" spans="1:90" hidden="1" x14ac:dyDescent="0.25">
      <c r="A200" t="s">
        <v>241</v>
      </c>
      <c r="B200" t="s">
        <v>228</v>
      </c>
      <c r="C200" t="s">
        <v>72</v>
      </c>
      <c r="E200" t="str">
        <f>"009940474370"</f>
        <v>009940474370</v>
      </c>
      <c r="F200" s="2">
        <v>44194</v>
      </c>
      <c r="G200">
        <v>202106</v>
      </c>
      <c r="H200" t="s">
        <v>112</v>
      </c>
      <c r="I200" t="s">
        <v>92</v>
      </c>
      <c r="J200" t="s">
        <v>242</v>
      </c>
      <c r="K200" t="s">
        <v>75</v>
      </c>
      <c r="L200" t="s">
        <v>109</v>
      </c>
      <c r="M200" t="s">
        <v>110</v>
      </c>
      <c r="N200" t="s">
        <v>229</v>
      </c>
      <c r="O200" t="s">
        <v>78</v>
      </c>
      <c r="P200" t="str">
        <f>"NOREF                         "</f>
        <v xml:space="preserve">NOREF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4.4000000000000004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46.27</v>
      </c>
      <c r="BM200">
        <v>6.94</v>
      </c>
      <c r="BN200">
        <v>53.21</v>
      </c>
      <c r="BO200">
        <v>53.21</v>
      </c>
      <c r="BQ200" t="s">
        <v>175</v>
      </c>
      <c r="BR200" t="s">
        <v>272</v>
      </c>
      <c r="BS200" s="2">
        <v>44195</v>
      </c>
      <c r="BT200" s="3">
        <v>0.30555555555555552</v>
      </c>
      <c r="BU200" t="s">
        <v>216</v>
      </c>
      <c r="BV200" t="s">
        <v>79</v>
      </c>
      <c r="BY200">
        <v>1200</v>
      </c>
      <c r="BZ200" t="s">
        <v>80</v>
      </c>
      <c r="CC200" t="s">
        <v>110</v>
      </c>
      <c r="CD200">
        <v>2013</v>
      </c>
      <c r="CE200" t="s">
        <v>89</v>
      </c>
      <c r="CF200" s="2">
        <v>44195</v>
      </c>
      <c r="CI200">
        <v>1</v>
      </c>
      <c r="CJ200">
        <v>1</v>
      </c>
      <c r="CK200">
        <v>21</v>
      </c>
      <c r="CL200" t="s">
        <v>81</v>
      </c>
    </row>
    <row r="201" spans="1:90" hidden="1" x14ac:dyDescent="0.25">
      <c r="A201" t="s">
        <v>241</v>
      </c>
      <c r="B201" t="s">
        <v>228</v>
      </c>
      <c r="C201" t="s">
        <v>72</v>
      </c>
      <c r="E201" t="str">
        <f>"009940755400"</f>
        <v>009940755400</v>
      </c>
      <c r="F201" s="2">
        <v>44194</v>
      </c>
      <c r="G201">
        <v>202106</v>
      </c>
      <c r="H201" t="s">
        <v>95</v>
      </c>
      <c r="I201" t="s">
        <v>96</v>
      </c>
      <c r="J201" t="s">
        <v>242</v>
      </c>
      <c r="K201" t="s">
        <v>75</v>
      </c>
      <c r="L201" t="s">
        <v>109</v>
      </c>
      <c r="M201" t="s">
        <v>110</v>
      </c>
      <c r="N201" t="s">
        <v>229</v>
      </c>
      <c r="O201" t="s">
        <v>78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4.4000000000000004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G201">
        <v>0</v>
      </c>
      <c r="BH201">
        <v>1</v>
      </c>
      <c r="BI201">
        <v>0.3</v>
      </c>
      <c r="BJ201">
        <v>1.9</v>
      </c>
      <c r="BK201">
        <v>2</v>
      </c>
      <c r="BL201">
        <v>46.27</v>
      </c>
      <c r="BM201">
        <v>6.94</v>
      </c>
      <c r="BN201">
        <v>53.21</v>
      </c>
      <c r="BO201">
        <v>53.21</v>
      </c>
      <c r="BR201" t="s">
        <v>210</v>
      </c>
      <c r="BS201" s="2">
        <v>44195</v>
      </c>
      <c r="BT201" s="3">
        <v>0.30555555555555552</v>
      </c>
      <c r="BU201" t="s">
        <v>216</v>
      </c>
      <c r="BV201" t="s">
        <v>79</v>
      </c>
      <c r="BY201">
        <v>9736.48</v>
      </c>
      <c r="BZ201" t="s">
        <v>80</v>
      </c>
      <c r="CC201" t="s">
        <v>110</v>
      </c>
      <c r="CD201">
        <v>2013</v>
      </c>
      <c r="CE201" t="s">
        <v>89</v>
      </c>
      <c r="CF201" s="2">
        <v>44195</v>
      </c>
      <c r="CI201">
        <v>1</v>
      </c>
      <c r="CJ201">
        <v>1</v>
      </c>
      <c r="CK201">
        <v>21</v>
      </c>
      <c r="CL201" t="s">
        <v>81</v>
      </c>
    </row>
    <row r="202" spans="1:90" hidden="1" x14ac:dyDescent="0.25">
      <c r="A202" t="s">
        <v>241</v>
      </c>
      <c r="B202" t="s">
        <v>228</v>
      </c>
      <c r="C202" t="s">
        <v>72</v>
      </c>
      <c r="E202" t="str">
        <f>"009940991141"</f>
        <v>009940991141</v>
      </c>
      <c r="F202" s="2">
        <v>44194</v>
      </c>
      <c r="G202">
        <v>202106</v>
      </c>
      <c r="H202" t="s">
        <v>84</v>
      </c>
      <c r="I202" t="s">
        <v>85</v>
      </c>
      <c r="J202" t="s">
        <v>578</v>
      </c>
      <c r="K202" t="s">
        <v>75</v>
      </c>
      <c r="L202" t="s">
        <v>109</v>
      </c>
      <c r="M202" t="s">
        <v>110</v>
      </c>
      <c r="N202" t="s">
        <v>229</v>
      </c>
      <c r="O202" t="s">
        <v>78</v>
      </c>
      <c r="P202" t="str">
        <f>"NA                            "</f>
        <v xml:space="preserve">NA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3.43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G202">
        <v>0</v>
      </c>
      <c r="BH202">
        <v>1</v>
      </c>
      <c r="BI202">
        <v>0.8</v>
      </c>
      <c r="BJ202">
        <v>2.5</v>
      </c>
      <c r="BK202">
        <v>3</v>
      </c>
      <c r="BL202">
        <v>36.14</v>
      </c>
      <c r="BM202">
        <v>5.42</v>
      </c>
      <c r="BN202">
        <v>41.56</v>
      </c>
      <c r="BO202">
        <v>41.56</v>
      </c>
      <c r="BQ202" t="s">
        <v>271</v>
      </c>
      <c r="BR202" t="s">
        <v>200</v>
      </c>
      <c r="BS202" s="2">
        <v>44195</v>
      </c>
      <c r="BT202" s="3">
        <v>0.30555555555555552</v>
      </c>
      <c r="BU202" t="s">
        <v>216</v>
      </c>
      <c r="BV202" t="s">
        <v>79</v>
      </c>
      <c r="BY202">
        <v>12710.63</v>
      </c>
      <c r="BZ202" t="s">
        <v>80</v>
      </c>
      <c r="CC202" t="s">
        <v>110</v>
      </c>
      <c r="CD202">
        <v>2013</v>
      </c>
      <c r="CE202" t="s">
        <v>89</v>
      </c>
      <c r="CF202" s="2">
        <v>44195</v>
      </c>
      <c r="CI202">
        <v>1</v>
      </c>
      <c r="CJ202">
        <v>1</v>
      </c>
      <c r="CK202">
        <v>22</v>
      </c>
      <c r="CL202" t="s">
        <v>81</v>
      </c>
    </row>
    <row r="203" spans="1:90" hidden="1" x14ac:dyDescent="0.25">
      <c r="A203" t="s">
        <v>241</v>
      </c>
      <c r="B203" t="s">
        <v>228</v>
      </c>
      <c r="C203" t="s">
        <v>72</v>
      </c>
      <c r="E203" t="str">
        <f>"009940698166"</f>
        <v>009940698166</v>
      </c>
      <c r="F203" s="2">
        <v>44194</v>
      </c>
      <c r="G203">
        <v>202106</v>
      </c>
      <c r="H203" t="s">
        <v>109</v>
      </c>
      <c r="I203" t="s">
        <v>110</v>
      </c>
      <c r="J203" t="s">
        <v>560</v>
      </c>
      <c r="K203" t="s">
        <v>75</v>
      </c>
      <c r="L203" t="s">
        <v>109</v>
      </c>
      <c r="M203" t="s">
        <v>110</v>
      </c>
      <c r="N203" t="s">
        <v>472</v>
      </c>
      <c r="O203" t="s">
        <v>78</v>
      </c>
      <c r="P203" t="str">
        <f>"..                            "</f>
        <v xml:space="preserve">..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3.43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G203">
        <v>0</v>
      </c>
      <c r="BH203">
        <v>1</v>
      </c>
      <c r="BI203">
        <v>0.8</v>
      </c>
      <c r="BJ203">
        <v>2.5</v>
      </c>
      <c r="BK203">
        <v>3</v>
      </c>
      <c r="BL203">
        <v>36.14</v>
      </c>
      <c r="BM203">
        <v>5.42</v>
      </c>
      <c r="BN203">
        <v>41.56</v>
      </c>
      <c r="BO203">
        <v>41.56</v>
      </c>
      <c r="BQ203" t="s">
        <v>271</v>
      </c>
      <c r="BR203" t="s">
        <v>272</v>
      </c>
      <c r="BS203" s="2">
        <v>44195</v>
      </c>
      <c r="BT203" s="3">
        <v>0.30555555555555552</v>
      </c>
      <c r="BU203" t="s">
        <v>216</v>
      </c>
      <c r="BV203" t="s">
        <v>79</v>
      </c>
      <c r="BY203">
        <v>12590.26</v>
      </c>
      <c r="BZ203" t="s">
        <v>80</v>
      </c>
      <c r="CC203" t="s">
        <v>110</v>
      </c>
      <c r="CD203">
        <v>2013</v>
      </c>
      <c r="CE203" t="s">
        <v>89</v>
      </c>
      <c r="CF203" s="2">
        <v>44195</v>
      </c>
      <c r="CI203">
        <v>1</v>
      </c>
      <c r="CJ203">
        <v>1</v>
      </c>
      <c r="CK203">
        <v>22</v>
      </c>
      <c r="CL203" t="s">
        <v>81</v>
      </c>
    </row>
    <row r="204" spans="1:90" hidden="1" x14ac:dyDescent="0.25">
      <c r="A204" t="s">
        <v>241</v>
      </c>
      <c r="B204" t="s">
        <v>228</v>
      </c>
      <c r="C204" t="s">
        <v>72</v>
      </c>
      <c r="E204" t="str">
        <f>"009940481657"</f>
        <v>009940481657</v>
      </c>
      <c r="F204" s="2">
        <v>44194</v>
      </c>
      <c r="G204">
        <v>202106</v>
      </c>
      <c r="H204" t="s">
        <v>112</v>
      </c>
      <c r="I204" t="s">
        <v>92</v>
      </c>
      <c r="J204" t="s">
        <v>475</v>
      </c>
      <c r="K204" t="s">
        <v>75</v>
      </c>
      <c r="L204" t="s">
        <v>109</v>
      </c>
      <c r="M204" t="s">
        <v>110</v>
      </c>
      <c r="N204" t="s">
        <v>229</v>
      </c>
      <c r="O204" t="s">
        <v>78</v>
      </c>
      <c r="P204" t="str">
        <f>"NOREF                         "</f>
        <v xml:space="preserve">NOREF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4.4000000000000004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46.27</v>
      </c>
      <c r="BM204">
        <v>6.94</v>
      </c>
      <c r="BN204">
        <v>53.21</v>
      </c>
      <c r="BO204">
        <v>53.21</v>
      </c>
      <c r="BQ204" t="s">
        <v>175</v>
      </c>
      <c r="BR204" t="s">
        <v>272</v>
      </c>
      <c r="BS204" s="2">
        <v>44195</v>
      </c>
      <c r="BT204" s="3">
        <v>0.30555555555555552</v>
      </c>
      <c r="BU204" t="s">
        <v>216</v>
      </c>
      <c r="BV204" t="s">
        <v>79</v>
      </c>
      <c r="BY204">
        <v>1200</v>
      </c>
      <c r="BZ204" t="s">
        <v>80</v>
      </c>
      <c r="CC204" t="s">
        <v>110</v>
      </c>
      <c r="CD204">
        <v>2013</v>
      </c>
      <c r="CE204" t="s">
        <v>89</v>
      </c>
      <c r="CF204" s="2">
        <v>44195</v>
      </c>
      <c r="CI204">
        <v>1</v>
      </c>
      <c r="CJ204">
        <v>1</v>
      </c>
      <c r="CK204">
        <v>21</v>
      </c>
      <c r="CL204" t="s">
        <v>81</v>
      </c>
    </row>
    <row r="205" spans="1:90" hidden="1" x14ac:dyDescent="0.25">
      <c r="A205" t="s">
        <v>241</v>
      </c>
      <c r="B205" t="s">
        <v>228</v>
      </c>
      <c r="C205" t="s">
        <v>72</v>
      </c>
      <c r="E205" t="str">
        <f>"009940374947"</f>
        <v>009940374947</v>
      </c>
      <c r="F205" s="2">
        <v>44194</v>
      </c>
      <c r="G205">
        <v>202106</v>
      </c>
      <c r="H205" t="s">
        <v>109</v>
      </c>
      <c r="I205" t="s">
        <v>110</v>
      </c>
      <c r="J205" t="s">
        <v>242</v>
      </c>
      <c r="K205" t="s">
        <v>75</v>
      </c>
      <c r="L205" t="s">
        <v>109</v>
      </c>
      <c r="M205" t="s">
        <v>110</v>
      </c>
      <c r="N205" t="s">
        <v>229</v>
      </c>
      <c r="O205" t="s">
        <v>93</v>
      </c>
      <c r="P205" t="str">
        <f>"                              "</f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6.18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G205">
        <v>0</v>
      </c>
      <c r="BH205">
        <v>1</v>
      </c>
      <c r="BI205">
        <v>0.6</v>
      </c>
      <c r="BJ205">
        <v>1.7</v>
      </c>
      <c r="BK205">
        <v>2</v>
      </c>
      <c r="BL205">
        <v>70.06</v>
      </c>
      <c r="BM205">
        <v>10.51</v>
      </c>
      <c r="BN205">
        <v>80.569999999999993</v>
      </c>
      <c r="BO205">
        <v>80.569999999999993</v>
      </c>
      <c r="BQ205" t="s">
        <v>271</v>
      </c>
      <c r="BR205" t="s">
        <v>272</v>
      </c>
      <c r="BS205" s="2">
        <v>44195</v>
      </c>
      <c r="BT205" s="3">
        <v>0.30555555555555552</v>
      </c>
      <c r="BU205" t="s">
        <v>216</v>
      </c>
      <c r="BV205" t="s">
        <v>79</v>
      </c>
      <c r="BY205">
        <v>8625.85</v>
      </c>
      <c r="CC205" t="s">
        <v>110</v>
      </c>
      <c r="CD205">
        <v>2013</v>
      </c>
      <c r="CE205" t="s">
        <v>89</v>
      </c>
      <c r="CF205" s="2">
        <v>44195</v>
      </c>
      <c r="CI205">
        <v>1</v>
      </c>
      <c r="CJ205">
        <v>1</v>
      </c>
      <c r="CK205" t="s">
        <v>190</v>
      </c>
      <c r="CL205" t="s">
        <v>81</v>
      </c>
    </row>
    <row r="206" spans="1:90" hidden="1" x14ac:dyDescent="0.25">
      <c r="A206" t="s">
        <v>241</v>
      </c>
      <c r="B206" t="s">
        <v>228</v>
      </c>
      <c r="C206" t="s">
        <v>72</v>
      </c>
      <c r="E206" t="str">
        <f>"009940720277"</f>
        <v>009940720277</v>
      </c>
      <c r="F206" s="2">
        <v>44194</v>
      </c>
      <c r="G206">
        <v>202106</v>
      </c>
      <c r="H206" t="s">
        <v>180</v>
      </c>
      <c r="I206" t="s">
        <v>181</v>
      </c>
      <c r="J206" t="s">
        <v>242</v>
      </c>
      <c r="K206" t="s">
        <v>75</v>
      </c>
      <c r="L206" t="s">
        <v>109</v>
      </c>
      <c r="M206" t="s">
        <v>110</v>
      </c>
      <c r="N206" t="s">
        <v>472</v>
      </c>
      <c r="O206" t="s">
        <v>93</v>
      </c>
      <c r="P206" t="str">
        <f>"                              "</f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9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99.71</v>
      </c>
      <c r="BM206">
        <v>14.96</v>
      </c>
      <c r="BN206">
        <v>114.67</v>
      </c>
      <c r="BO206">
        <v>114.67</v>
      </c>
      <c r="BR206" t="s">
        <v>561</v>
      </c>
      <c r="BS206" s="2">
        <v>44195</v>
      </c>
      <c r="BT206" s="3">
        <v>0.30555555555555552</v>
      </c>
      <c r="BU206" t="s">
        <v>216</v>
      </c>
      <c r="BV206" t="s">
        <v>79</v>
      </c>
      <c r="BY206">
        <v>1200</v>
      </c>
      <c r="CC206" t="s">
        <v>110</v>
      </c>
      <c r="CD206">
        <v>2000</v>
      </c>
      <c r="CE206" t="s">
        <v>89</v>
      </c>
      <c r="CF206" s="2">
        <v>44195</v>
      </c>
      <c r="CI206">
        <v>1</v>
      </c>
      <c r="CJ206">
        <v>1</v>
      </c>
      <c r="CK206" t="s">
        <v>127</v>
      </c>
      <c r="CL206" t="s">
        <v>81</v>
      </c>
    </row>
    <row r="207" spans="1:90" hidden="1" x14ac:dyDescent="0.25">
      <c r="A207" t="s">
        <v>241</v>
      </c>
      <c r="B207" t="s">
        <v>228</v>
      </c>
      <c r="C207" t="s">
        <v>72</v>
      </c>
      <c r="E207" t="str">
        <f>"009940713198"</f>
        <v>009940713198</v>
      </c>
      <c r="F207" s="2">
        <v>44195</v>
      </c>
      <c r="G207">
        <v>202106</v>
      </c>
      <c r="H207" t="s">
        <v>122</v>
      </c>
      <c r="I207" t="s">
        <v>123</v>
      </c>
      <c r="J207" t="s">
        <v>562</v>
      </c>
      <c r="K207" t="s">
        <v>75</v>
      </c>
      <c r="L207" t="s">
        <v>109</v>
      </c>
      <c r="M207" t="s">
        <v>110</v>
      </c>
      <c r="N207" t="s">
        <v>472</v>
      </c>
      <c r="O207" t="s">
        <v>78</v>
      </c>
      <c r="P207" t="str">
        <f>"                              "</f>
        <v xml:space="preserve"> 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5.49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G207">
        <v>0</v>
      </c>
      <c r="BH207">
        <v>1</v>
      </c>
      <c r="BI207">
        <v>1</v>
      </c>
      <c r="BJ207">
        <v>2.4</v>
      </c>
      <c r="BK207">
        <v>2.5</v>
      </c>
      <c r="BL207">
        <v>57.82</v>
      </c>
      <c r="BM207">
        <v>8.67</v>
      </c>
      <c r="BN207">
        <v>66.489999999999995</v>
      </c>
      <c r="BO207">
        <v>66.489999999999995</v>
      </c>
      <c r="BQ207" t="s">
        <v>472</v>
      </c>
      <c r="BR207" t="s">
        <v>423</v>
      </c>
      <c r="BS207" s="2">
        <v>44196</v>
      </c>
      <c r="BT207" s="3">
        <v>0.29166666666666669</v>
      </c>
      <c r="BU207" t="s">
        <v>170</v>
      </c>
      <c r="BV207" t="s">
        <v>79</v>
      </c>
      <c r="BY207">
        <v>12000</v>
      </c>
      <c r="BZ207" t="s">
        <v>80</v>
      </c>
      <c r="CC207" t="s">
        <v>110</v>
      </c>
      <c r="CD207">
        <v>2013</v>
      </c>
      <c r="CE207" t="s">
        <v>89</v>
      </c>
      <c r="CI207">
        <v>1</v>
      </c>
      <c r="CJ207">
        <v>1</v>
      </c>
      <c r="CK207">
        <v>21</v>
      </c>
      <c r="CL207" t="s">
        <v>81</v>
      </c>
    </row>
    <row r="208" spans="1:90" hidden="1" x14ac:dyDescent="0.25">
      <c r="A208" t="s">
        <v>241</v>
      </c>
      <c r="B208" t="s">
        <v>228</v>
      </c>
      <c r="C208" t="s">
        <v>72</v>
      </c>
      <c r="E208" t="str">
        <f>"009940713197"</f>
        <v>009940713197</v>
      </c>
      <c r="F208" s="2">
        <v>44195</v>
      </c>
      <c r="G208">
        <v>202106</v>
      </c>
      <c r="H208" t="s">
        <v>122</v>
      </c>
      <c r="I208" t="s">
        <v>123</v>
      </c>
      <c r="J208" t="s">
        <v>229</v>
      </c>
      <c r="K208" t="s">
        <v>75</v>
      </c>
      <c r="L208" t="s">
        <v>109</v>
      </c>
      <c r="M208" t="s">
        <v>110</v>
      </c>
      <c r="N208" t="s">
        <v>229</v>
      </c>
      <c r="O208" t="s">
        <v>78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5.49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G208">
        <v>0</v>
      </c>
      <c r="BH208">
        <v>1</v>
      </c>
      <c r="BI208">
        <v>1</v>
      </c>
      <c r="BJ208">
        <v>2.4</v>
      </c>
      <c r="BK208">
        <v>2.5</v>
      </c>
      <c r="BL208">
        <v>57.82</v>
      </c>
      <c r="BM208">
        <v>8.67</v>
      </c>
      <c r="BN208">
        <v>66.489999999999995</v>
      </c>
      <c r="BO208">
        <v>66.489999999999995</v>
      </c>
      <c r="BQ208" t="s">
        <v>472</v>
      </c>
      <c r="BR208" t="s">
        <v>423</v>
      </c>
      <c r="BS208" s="2">
        <v>44196</v>
      </c>
      <c r="BT208" s="3">
        <v>0.29652777777777778</v>
      </c>
      <c r="BU208" t="s">
        <v>252</v>
      </c>
      <c r="BV208" t="s">
        <v>79</v>
      </c>
      <c r="BY208">
        <v>12000</v>
      </c>
      <c r="BZ208" t="s">
        <v>80</v>
      </c>
      <c r="CC208" t="s">
        <v>110</v>
      </c>
      <c r="CD208">
        <v>2013</v>
      </c>
      <c r="CE208" t="s">
        <v>89</v>
      </c>
      <c r="CI208">
        <v>1</v>
      </c>
      <c r="CJ208">
        <v>1</v>
      </c>
      <c r="CK208">
        <v>21</v>
      </c>
      <c r="CL208" t="s">
        <v>81</v>
      </c>
    </row>
    <row r="209" spans="1:90" hidden="1" x14ac:dyDescent="0.25">
      <c r="A209" t="s">
        <v>241</v>
      </c>
      <c r="B209" t="s">
        <v>228</v>
      </c>
      <c r="C209" t="s">
        <v>72</v>
      </c>
      <c r="E209" t="str">
        <f>"009940698168"</f>
        <v>009940698168</v>
      </c>
      <c r="F209" s="2">
        <v>44195</v>
      </c>
      <c r="G209">
        <v>202106</v>
      </c>
      <c r="H209" t="s">
        <v>109</v>
      </c>
      <c r="I209" t="s">
        <v>110</v>
      </c>
      <c r="J209" t="s">
        <v>277</v>
      </c>
      <c r="K209" t="s">
        <v>75</v>
      </c>
      <c r="L209" t="s">
        <v>109</v>
      </c>
      <c r="M209" t="s">
        <v>110</v>
      </c>
      <c r="N209" t="s">
        <v>229</v>
      </c>
      <c r="O209" t="s">
        <v>78</v>
      </c>
      <c r="P209" t="str">
        <f>"..                            "</f>
        <v xml:space="preserve">..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3.43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G209">
        <v>0</v>
      </c>
      <c r="BH209">
        <v>1</v>
      </c>
      <c r="BI209">
        <v>1.9</v>
      </c>
      <c r="BJ209">
        <v>2.6</v>
      </c>
      <c r="BK209">
        <v>3</v>
      </c>
      <c r="BL209">
        <v>36.14</v>
      </c>
      <c r="BM209">
        <v>5.42</v>
      </c>
      <c r="BN209">
        <v>41.56</v>
      </c>
      <c r="BO209">
        <v>41.56</v>
      </c>
      <c r="BQ209" t="s">
        <v>271</v>
      </c>
      <c r="BR209" t="s">
        <v>272</v>
      </c>
      <c r="BS209" s="2">
        <v>44196</v>
      </c>
      <c r="BT209" s="3">
        <v>0.29375000000000001</v>
      </c>
      <c r="BU209" t="s">
        <v>252</v>
      </c>
      <c r="BV209" t="s">
        <v>79</v>
      </c>
      <c r="BY209">
        <v>12785.47</v>
      </c>
      <c r="BZ209" t="s">
        <v>80</v>
      </c>
      <c r="CC209" t="s">
        <v>110</v>
      </c>
      <c r="CD209">
        <v>2013</v>
      </c>
      <c r="CE209" t="s">
        <v>89</v>
      </c>
      <c r="CI209">
        <v>1</v>
      </c>
      <c r="CJ209">
        <v>1</v>
      </c>
      <c r="CK209">
        <v>22</v>
      </c>
      <c r="CL209" t="s">
        <v>81</v>
      </c>
    </row>
    <row r="210" spans="1:90" hidden="1" x14ac:dyDescent="0.25">
      <c r="A210" t="s">
        <v>241</v>
      </c>
      <c r="B210" t="s">
        <v>228</v>
      </c>
      <c r="C210" t="s">
        <v>72</v>
      </c>
      <c r="E210" t="str">
        <f>"009940713199"</f>
        <v>009940713199</v>
      </c>
      <c r="F210" s="2">
        <v>44195</v>
      </c>
      <c r="G210">
        <v>202106</v>
      </c>
      <c r="H210" t="s">
        <v>122</v>
      </c>
      <c r="I210" t="s">
        <v>123</v>
      </c>
      <c r="J210" t="s">
        <v>229</v>
      </c>
      <c r="K210" t="s">
        <v>75</v>
      </c>
      <c r="L210" t="s">
        <v>109</v>
      </c>
      <c r="M210" t="s">
        <v>110</v>
      </c>
      <c r="N210" t="s">
        <v>472</v>
      </c>
      <c r="O210" t="s">
        <v>78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5.49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G210">
        <v>0</v>
      </c>
      <c r="BH210">
        <v>1</v>
      </c>
      <c r="BI210">
        <v>1</v>
      </c>
      <c r="BJ210">
        <v>2.4</v>
      </c>
      <c r="BK210">
        <v>2.5</v>
      </c>
      <c r="BL210">
        <v>57.82</v>
      </c>
      <c r="BM210">
        <v>8.67</v>
      </c>
      <c r="BN210">
        <v>66.489999999999995</v>
      </c>
      <c r="BO210">
        <v>66.489999999999995</v>
      </c>
      <c r="BQ210" t="s">
        <v>563</v>
      </c>
      <c r="BR210" t="s">
        <v>423</v>
      </c>
      <c r="BS210" s="2">
        <v>44196</v>
      </c>
      <c r="BT210" s="3">
        <v>0.29375000000000001</v>
      </c>
      <c r="BU210" t="s">
        <v>252</v>
      </c>
      <c r="BV210" t="s">
        <v>79</v>
      </c>
      <c r="BY210">
        <v>12000</v>
      </c>
      <c r="BZ210" t="s">
        <v>80</v>
      </c>
      <c r="CC210" t="s">
        <v>110</v>
      </c>
      <c r="CD210">
        <v>2013</v>
      </c>
      <c r="CE210" t="s">
        <v>89</v>
      </c>
      <c r="CI210">
        <v>1</v>
      </c>
      <c r="CJ210">
        <v>1</v>
      </c>
      <c r="CK210">
        <v>21</v>
      </c>
      <c r="CL210" t="s">
        <v>81</v>
      </c>
    </row>
    <row r="211" spans="1:90" hidden="1" x14ac:dyDescent="0.25">
      <c r="A211" t="s">
        <v>241</v>
      </c>
      <c r="B211" t="s">
        <v>228</v>
      </c>
      <c r="C211" t="s">
        <v>72</v>
      </c>
      <c r="E211" t="str">
        <f>"009940728323"</f>
        <v>009940728323</v>
      </c>
      <c r="F211" s="2">
        <v>44195</v>
      </c>
      <c r="G211">
        <v>202106</v>
      </c>
      <c r="H211" t="s">
        <v>90</v>
      </c>
      <c r="I211" t="s">
        <v>91</v>
      </c>
      <c r="J211" t="s">
        <v>312</v>
      </c>
      <c r="K211" t="s">
        <v>75</v>
      </c>
      <c r="L211" t="s">
        <v>168</v>
      </c>
      <c r="M211" t="s">
        <v>169</v>
      </c>
      <c r="N211" t="s">
        <v>75</v>
      </c>
      <c r="O211" t="s">
        <v>184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8.52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G211">
        <v>0</v>
      </c>
      <c r="BH211">
        <v>1</v>
      </c>
      <c r="BI211">
        <v>2</v>
      </c>
      <c r="BJ211">
        <v>1.6</v>
      </c>
      <c r="BK211">
        <v>2</v>
      </c>
      <c r="BL211">
        <v>89.64</v>
      </c>
      <c r="BM211">
        <v>13.45</v>
      </c>
      <c r="BN211">
        <v>103.09</v>
      </c>
      <c r="BO211">
        <v>103.09</v>
      </c>
      <c r="BQ211" t="s">
        <v>564</v>
      </c>
      <c r="BR211" t="s">
        <v>441</v>
      </c>
      <c r="BS211" t="s">
        <v>133</v>
      </c>
      <c r="BY211">
        <v>8000</v>
      </c>
      <c r="BZ211" t="s">
        <v>185</v>
      </c>
      <c r="CC211" t="s">
        <v>169</v>
      </c>
      <c r="CD211">
        <v>1055</v>
      </c>
      <c r="CE211" t="s">
        <v>89</v>
      </c>
      <c r="CI211">
        <v>1</v>
      </c>
      <c r="CJ211" t="s">
        <v>133</v>
      </c>
      <c r="CK211">
        <v>33</v>
      </c>
      <c r="CL211" t="s">
        <v>81</v>
      </c>
    </row>
    <row r="212" spans="1:90" hidden="1" x14ac:dyDescent="0.25">
      <c r="A212" t="s">
        <v>241</v>
      </c>
      <c r="B212" t="s">
        <v>228</v>
      </c>
      <c r="C212" t="s">
        <v>72</v>
      </c>
      <c r="E212" t="str">
        <f>"009940728325"</f>
        <v>009940728325</v>
      </c>
      <c r="F212" s="2">
        <v>44195</v>
      </c>
      <c r="G212">
        <v>202106</v>
      </c>
      <c r="H212" t="s">
        <v>90</v>
      </c>
      <c r="I212" t="s">
        <v>91</v>
      </c>
      <c r="J212" t="s">
        <v>312</v>
      </c>
      <c r="K212" t="s">
        <v>75</v>
      </c>
      <c r="L212" t="s">
        <v>109</v>
      </c>
      <c r="M212" t="s">
        <v>110</v>
      </c>
      <c r="N212" t="s">
        <v>75</v>
      </c>
      <c r="O212" t="s">
        <v>184</v>
      </c>
      <c r="P212" t="str">
        <f>"                              "</f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8.24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G212">
        <v>0</v>
      </c>
      <c r="BH212">
        <v>1</v>
      </c>
      <c r="BI212">
        <v>2</v>
      </c>
      <c r="BJ212">
        <v>1.6</v>
      </c>
      <c r="BK212">
        <v>2</v>
      </c>
      <c r="BL212">
        <v>86.74</v>
      </c>
      <c r="BM212">
        <v>13.01</v>
      </c>
      <c r="BN212">
        <v>99.75</v>
      </c>
      <c r="BO212">
        <v>99.75</v>
      </c>
      <c r="BQ212" t="s">
        <v>565</v>
      </c>
      <c r="BR212" t="s">
        <v>441</v>
      </c>
      <c r="BS212" t="s">
        <v>133</v>
      </c>
      <c r="BY212">
        <v>8000</v>
      </c>
      <c r="BZ212" t="s">
        <v>185</v>
      </c>
      <c r="CC212" t="s">
        <v>110</v>
      </c>
      <c r="CD212">
        <v>2074</v>
      </c>
      <c r="CE212" t="s">
        <v>89</v>
      </c>
      <c r="CI212">
        <v>1</v>
      </c>
      <c r="CJ212" t="s">
        <v>133</v>
      </c>
      <c r="CK212">
        <v>31</v>
      </c>
      <c r="CL212" t="s">
        <v>81</v>
      </c>
    </row>
    <row r="213" spans="1:90" hidden="1" x14ac:dyDescent="0.25">
      <c r="A213" t="s">
        <v>241</v>
      </c>
      <c r="B213" t="s">
        <v>228</v>
      </c>
      <c r="C213" t="s">
        <v>72</v>
      </c>
      <c r="E213" t="str">
        <f>"009940728324"</f>
        <v>009940728324</v>
      </c>
      <c r="F213" s="2">
        <v>44195</v>
      </c>
      <c r="G213">
        <v>202106</v>
      </c>
      <c r="H213" t="s">
        <v>90</v>
      </c>
      <c r="I213" t="s">
        <v>91</v>
      </c>
      <c r="J213" t="s">
        <v>312</v>
      </c>
      <c r="K213" t="s">
        <v>75</v>
      </c>
      <c r="L213" t="s">
        <v>102</v>
      </c>
      <c r="M213" t="s">
        <v>103</v>
      </c>
      <c r="N213" t="s">
        <v>75</v>
      </c>
      <c r="O213" t="s">
        <v>184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57.63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G213">
        <v>0</v>
      </c>
      <c r="BH213">
        <v>1</v>
      </c>
      <c r="BI213">
        <v>2</v>
      </c>
      <c r="BJ213">
        <v>25.6</v>
      </c>
      <c r="BK213">
        <v>26</v>
      </c>
      <c r="BL213">
        <v>606.47</v>
      </c>
      <c r="BM213">
        <v>90.97</v>
      </c>
      <c r="BN213">
        <v>697.44</v>
      </c>
      <c r="BO213">
        <v>697.44</v>
      </c>
      <c r="BQ213" t="s">
        <v>566</v>
      </c>
      <c r="BR213" t="s">
        <v>441</v>
      </c>
      <c r="BS213" s="2">
        <v>44196</v>
      </c>
      <c r="BT213" s="3">
        <v>0.41388888888888892</v>
      </c>
      <c r="BU213" t="s">
        <v>567</v>
      </c>
      <c r="BV213" t="s">
        <v>79</v>
      </c>
      <c r="BY213">
        <v>128000</v>
      </c>
      <c r="BZ213" t="s">
        <v>185</v>
      </c>
      <c r="CA213" t="s">
        <v>227</v>
      </c>
      <c r="CC213" t="s">
        <v>103</v>
      </c>
      <c r="CD213">
        <v>1947</v>
      </c>
      <c r="CE213" t="s">
        <v>89</v>
      </c>
      <c r="CI213">
        <v>1</v>
      </c>
      <c r="CJ213">
        <v>1</v>
      </c>
      <c r="CK213">
        <v>33</v>
      </c>
      <c r="CL213" t="s">
        <v>81</v>
      </c>
    </row>
    <row r="214" spans="1:90" hidden="1" x14ac:dyDescent="0.25">
      <c r="A214" t="s">
        <v>241</v>
      </c>
      <c r="B214" t="s">
        <v>228</v>
      </c>
      <c r="C214" t="s">
        <v>72</v>
      </c>
      <c r="E214" t="str">
        <f>"009940728393"</f>
        <v>009940728393</v>
      </c>
      <c r="F214" s="2">
        <v>44195</v>
      </c>
      <c r="G214">
        <v>202106</v>
      </c>
      <c r="H214" t="s">
        <v>90</v>
      </c>
      <c r="I214" t="s">
        <v>91</v>
      </c>
      <c r="J214" t="s">
        <v>312</v>
      </c>
      <c r="K214" t="s">
        <v>75</v>
      </c>
      <c r="L214" t="s">
        <v>106</v>
      </c>
      <c r="M214" t="s">
        <v>107</v>
      </c>
      <c r="N214" t="s">
        <v>75</v>
      </c>
      <c r="O214" t="s">
        <v>184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8.24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G214">
        <v>0</v>
      </c>
      <c r="BH214">
        <v>1</v>
      </c>
      <c r="BI214">
        <v>2</v>
      </c>
      <c r="BJ214">
        <v>1.6</v>
      </c>
      <c r="BK214">
        <v>2</v>
      </c>
      <c r="BL214">
        <v>86.74</v>
      </c>
      <c r="BM214">
        <v>13.01</v>
      </c>
      <c r="BN214">
        <v>99.75</v>
      </c>
      <c r="BO214">
        <v>99.75</v>
      </c>
      <c r="BQ214" t="s">
        <v>568</v>
      </c>
      <c r="BR214" t="s">
        <v>441</v>
      </c>
      <c r="BS214" t="s">
        <v>133</v>
      </c>
      <c r="BY214">
        <v>8000</v>
      </c>
      <c r="BZ214" t="s">
        <v>185</v>
      </c>
      <c r="CC214" t="s">
        <v>107</v>
      </c>
      <c r="CD214">
        <v>2194</v>
      </c>
      <c r="CE214" t="s">
        <v>89</v>
      </c>
      <c r="CI214">
        <v>1</v>
      </c>
      <c r="CJ214" t="s">
        <v>133</v>
      </c>
      <c r="CK214">
        <v>31</v>
      </c>
      <c r="CL214" t="s">
        <v>81</v>
      </c>
    </row>
    <row r="215" spans="1:90" hidden="1" x14ac:dyDescent="0.25">
      <c r="A215" t="s">
        <v>241</v>
      </c>
      <c r="B215" t="s">
        <v>228</v>
      </c>
      <c r="C215" t="s">
        <v>72</v>
      </c>
      <c r="E215" t="str">
        <f>"009940728322"</f>
        <v>009940728322</v>
      </c>
      <c r="F215" s="2">
        <v>44195</v>
      </c>
      <c r="G215">
        <v>202106</v>
      </c>
      <c r="H215" t="s">
        <v>90</v>
      </c>
      <c r="I215" t="s">
        <v>91</v>
      </c>
      <c r="J215" t="s">
        <v>312</v>
      </c>
      <c r="K215" t="s">
        <v>75</v>
      </c>
      <c r="L215" t="s">
        <v>99</v>
      </c>
      <c r="M215" t="s">
        <v>100</v>
      </c>
      <c r="N215" t="s">
        <v>75</v>
      </c>
      <c r="O215" t="s">
        <v>184</v>
      </c>
      <c r="P215" t="str">
        <f>"                              "</f>
        <v xml:space="preserve">  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8.52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G215">
        <v>0</v>
      </c>
      <c r="BH215">
        <v>1</v>
      </c>
      <c r="BI215">
        <v>2</v>
      </c>
      <c r="BJ215">
        <v>1.6</v>
      </c>
      <c r="BK215">
        <v>2</v>
      </c>
      <c r="BL215">
        <v>89.64</v>
      </c>
      <c r="BM215">
        <v>13.45</v>
      </c>
      <c r="BN215">
        <v>103.09</v>
      </c>
      <c r="BO215">
        <v>103.09</v>
      </c>
      <c r="BQ215" t="s">
        <v>569</v>
      </c>
      <c r="BR215" t="s">
        <v>441</v>
      </c>
      <c r="BS215" t="s">
        <v>133</v>
      </c>
      <c r="BY215">
        <v>8000</v>
      </c>
      <c r="BZ215" t="s">
        <v>185</v>
      </c>
      <c r="CC215" t="s">
        <v>100</v>
      </c>
      <c r="CD215">
        <v>1740</v>
      </c>
      <c r="CE215" t="s">
        <v>89</v>
      </c>
      <c r="CI215">
        <v>1</v>
      </c>
      <c r="CJ215" t="s">
        <v>133</v>
      </c>
      <c r="CK215">
        <v>33</v>
      </c>
      <c r="CL215" t="s">
        <v>81</v>
      </c>
    </row>
    <row r="216" spans="1:90" hidden="1" x14ac:dyDescent="0.25">
      <c r="A216" t="s">
        <v>241</v>
      </c>
      <c r="B216" t="s">
        <v>228</v>
      </c>
      <c r="C216" t="s">
        <v>72</v>
      </c>
      <c r="E216" t="str">
        <f>"009940728326"</f>
        <v>009940728326</v>
      </c>
      <c r="F216" s="2">
        <v>44195</v>
      </c>
      <c r="G216">
        <v>202106</v>
      </c>
      <c r="H216" t="s">
        <v>90</v>
      </c>
      <c r="I216" t="s">
        <v>91</v>
      </c>
      <c r="J216" t="s">
        <v>312</v>
      </c>
      <c r="K216" t="s">
        <v>75</v>
      </c>
      <c r="L216" t="s">
        <v>112</v>
      </c>
      <c r="M216" t="s">
        <v>92</v>
      </c>
      <c r="N216" t="s">
        <v>75</v>
      </c>
      <c r="O216" t="s">
        <v>184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8.24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G216">
        <v>0</v>
      </c>
      <c r="BH216">
        <v>1</v>
      </c>
      <c r="BI216">
        <v>1</v>
      </c>
      <c r="BJ216">
        <v>3.8</v>
      </c>
      <c r="BK216">
        <v>4</v>
      </c>
      <c r="BL216">
        <v>86.74</v>
      </c>
      <c r="BM216">
        <v>13.01</v>
      </c>
      <c r="BN216">
        <v>99.75</v>
      </c>
      <c r="BO216">
        <v>99.75</v>
      </c>
      <c r="BQ216" t="s">
        <v>570</v>
      </c>
      <c r="BR216" t="s">
        <v>441</v>
      </c>
      <c r="BS216" t="s">
        <v>133</v>
      </c>
      <c r="BY216">
        <v>18750</v>
      </c>
      <c r="BZ216" t="s">
        <v>185</v>
      </c>
      <c r="CC216" t="s">
        <v>92</v>
      </c>
      <c r="CD216">
        <v>2</v>
      </c>
      <c r="CE216" t="s">
        <v>89</v>
      </c>
      <c r="CI216">
        <v>1</v>
      </c>
      <c r="CJ216" t="s">
        <v>133</v>
      </c>
      <c r="CK216">
        <v>31</v>
      </c>
      <c r="CL216" t="s">
        <v>81</v>
      </c>
    </row>
    <row r="217" spans="1:90" hidden="1" x14ac:dyDescent="0.25">
      <c r="A217" t="s">
        <v>241</v>
      </c>
      <c r="B217" t="s">
        <v>228</v>
      </c>
      <c r="C217" t="s">
        <v>72</v>
      </c>
      <c r="E217" t="str">
        <f>"009940663188"</f>
        <v>009940663188</v>
      </c>
      <c r="F217" s="2">
        <v>44195</v>
      </c>
      <c r="G217">
        <v>202106</v>
      </c>
      <c r="H217" t="s">
        <v>109</v>
      </c>
      <c r="I217" t="s">
        <v>110</v>
      </c>
      <c r="J217" t="s">
        <v>579</v>
      </c>
      <c r="K217" t="s">
        <v>75</v>
      </c>
      <c r="L217" t="s">
        <v>109</v>
      </c>
      <c r="M217" t="s">
        <v>110</v>
      </c>
      <c r="N217" t="s">
        <v>472</v>
      </c>
      <c r="O217" t="s">
        <v>93</v>
      </c>
      <c r="P217" t="str">
        <f>"NA                            "</f>
        <v xml:space="preserve">NA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6.18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G217">
        <v>0</v>
      </c>
      <c r="BH217">
        <v>1</v>
      </c>
      <c r="BI217">
        <v>0.8</v>
      </c>
      <c r="BJ217">
        <v>2.2000000000000002</v>
      </c>
      <c r="BK217">
        <v>3</v>
      </c>
      <c r="BL217">
        <v>70.06</v>
      </c>
      <c r="BM217">
        <v>10.51</v>
      </c>
      <c r="BN217">
        <v>80.569999999999993</v>
      </c>
      <c r="BO217">
        <v>80.569999999999993</v>
      </c>
      <c r="BQ217" t="s">
        <v>200</v>
      </c>
      <c r="BR217" t="s">
        <v>475</v>
      </c>
      <c r="BS217" s="2">
        <v>44196</v>
      </c>
      <c r="BT217" s="3">
        <v>0.29375000000000001</v>
      </c>
      <c r="BU217" t="s">
        <v>252</v>
      </c>
      <c r="BY217">
        <v>10909.08</v>
      </c>
      <c r="CC217" t="s">
        <v>110</v>
      </c>
      <c r="CD217">
        <v>2013</v>
      </c>
      <c r="CE217" t="s">
        <v>89</v>
      </c>
      <c r="CI217">
        <v>1</v>
      </c>
      <c r="CJ217">
        <v>1</v>
      </c>
      <c r="CK217" t="s">
        <v>190</v>
      </c>
      <c r="CL217" t="s">
        <v>81</v>
      </c>
    </row>
  </sheetData>
  <autoFilter ref="A1:CN217">
    <filterColumn colId="13">
      <filters>
        <filter val="P V T"/>
        <filter val="PVT"/>
      </filters>
    </filterColumn>
  </autoFilter>
  <sortState ref="A3:CR321">
    <sortCondition ref="E3:E3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2020-12-31T12:41:24Z</dcterms:created>
  <dcterms:modified xsi:type="dcterms:W3CDTF">2021-01-04T08:35:13Z</dcterms:modified>
</cp:coreProperties>
</file>