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59" i="1"/>
  <c r="E359"/>
  <c r="P358"/>
  <c r="E358"/>
  <c r="P357"/>
  <c r="E357"/>
  <c r="P356"/>
  <c r="E356"/>
  <c r="P355"/>
  <c r="E355"/>
  <c r="P354"/>
  <c r="E354"/>
  <c r="P353"/>
  <c r="E353"/>
  <c r="P352"/>
  <c r="E352"/>
  <c r="P351"/>
  <c r="E351"/>
  <c r="P350"/>
  <c r="E350"/>
  <c r="P349"/>
  <c r="E349"/>
  <c r="P348"/>
  <c r="E348"/>
  <c r="P347"/>
  <c r="E347"/>
  <c r="P346"/>
  <c r="E346"/>
  <c r="P345"/>
  <c r="E345"/>
  <c r="P344"/>
  <c r="E344"/>
  <c r="P343"/>
  <c r="E343"/>
  <c r="P342"/>
  <c r="E342"/>
  <c r="P341"/>
  <c r="E341"/>
  <c r="P340"/>
  <c r="E340"/>
  <c r="P339"/>
  <c r="E339"/>
  <c r="P338"/>
  <c r="E338"/>
  <c r="P337"/>
  <c r="E337"/>
  <c r="P336"/>
  <c r="E336"/>
  <c r="P335"/>
  <c r="E335"/>
  <c r="P334"/>
  <c r="E334"/>
  <c r="P333"/>
  <c r="E333"/>
  <c r="P332"/>
  <c r="E332"/>
  <c r="P331"/>
  <c r="E331"/>
  <c r="P330"/>
  <c r="E330"/>
  <c r="P329"/>
  <c r="E329"/>
  <c r="P328"/>
  <c r="E328"/>
  <c r="P327"/>
  <c r="E327"/>
  <c r="P326"/>
  <c r="E326"/>
  <c r="P325"/>
  <c r="E325"/>
  <c r="P324"/>
  <c r="E324"/>
  <c r="P323"/>
  <c r="E323"/>
  <c r="P322"/>
  <c r="E322"/>
  <c r="P321"/>
  <c r="E321"/>
  <c r="P320"/>
  <c r="E320"/>
  <c r="P319"/>
  <c r="E319"/>
  <c r="P318"/>
  <c r="E318"/>
  <c r="P317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<sst xmlns="http://schemas.openxmlformats.org/spreadsheetml/2006/main" count="6865" uniqueCount="630">
  <si>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</si>
  <si>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</si>
  <si>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</si>
  <si>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</si>
  <si>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</si>
  <si>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</si>
  <si>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</si>
  <si>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</si>
  <si>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</si>
  <si>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</si>
  <si>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</si>
  <si>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</si>
  <si>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</si>
  <si>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</si>
  <si>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</si>
  <si>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</si>
  <si>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</si>
  <si>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</si>
  <si>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</si>
  <si>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</si>
  <si>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</si>
  <si>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</si>
  <si>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</si>
  <si>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</si>
  <si>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</si>
  <si>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</si>
  <si>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</si>
  <si>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</si>
  <si>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</si>
  <si>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</si>
  <si>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</si>
  <si>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</si>
  <si>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</si>
  <si>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</si>
  <si>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</si>
  <si>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</si>
  <si>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</si>
  <si>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</si>
  <si>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</si>
  <si>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</si>
  <si>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</si>
  <si>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</si>
  <si>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</si>
  <si>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</si>
  <si>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</si>
  <si>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</si>
  <si>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</si>
  <si>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</si>
  <si>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</si>
  <si>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</si>
  <si>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</si>
  <si>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</si>
  <si>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</si>
  <si>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</si>
  <si>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</si>
  <si>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</si>
  <si>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</si>
  <si>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</si>
  <si>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</si>
  <si>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</si>
  <si>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</si>
  <si>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</si>
  <si>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</si>
  <si>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</si>
  <si>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</si>
  <si>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</si>
  <si>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</si>
  <si>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</si>
  <si>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</si>
  <si>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</si>
  <si>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</si>
  <si>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</si>
  <si>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</si>
  <si>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</si>
  <si>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WHITE</t>
  </si>
  <si>
    <t>WHITE RIVER</t>
  </si>
  <si>
    <t xml:space="preserve">ATM SOLUTION                       </t>
  </si>
  <si>
    <t xml:space="preserve">                                   </t>
  </si>
  <si>
    <t>JOHAN</t>
  </si>
  <si>
    <t>JOHANNESBURG</t>
  </si>
  <si>
    <t xml:space="preserve">ATM SOLUTIONS JHB                  </t>
  </si>
  <si>
    <t>ON1</t>
  </si>
  <si>
    <t>STORE</t>
  </si>
  <si>
    <t>DUMISANE</t>
  </si>
  <si>
    <t>SIGNED</t>
  </si>
  <si>
    <t>yes</t>
  </si>
  <si>
    <t>BOX</t>
  </si>
  <si>
    <t>no</t>
  </si>
  <si>
    <t>J17989</t>
  </si>
  <si>
    <t>PORT3</t>
  </si>
  <si>
    <t>PORT ELIZABETH</t>
  </si>
  <si>
    <t xml:space="preserve">ATM SOLUTIONS                      </t>
  </si>
  <si>
    <t>UPING</t>
  </si>
  <si>
    <t>UPINGTON</t>
  </si>
  <si>
    <t xml:space="preserve">SKYNET DEPOT                       </t>
  </si>
  <si>
    <t>RD</t>
  </si>
  <si>
    <t>GEORGE MODISE</t>
  </si>
  <si>
    <t>MALCOLM</t>
  </si>
  <si>
    <t>GEORGE</t>
  </si>
  <si>
    <t>RD3</t>
  </si>
  <si>
    <t>ZWELAKHE</t>
  </si>
  <si>
    <t>EUGENE</t>
  </si>
  <si>
    <t>ZANELE</t>
  </si>
  <si>
    <t>BOXES</t>
  </si>
  <si>
    <t>RD2</t>
  </si>
  <si>
    <t>CAPET</t>
  </si>
  <si>
    <t>CAPE TOWN</t>
  </si>
  <si>
    <t xml:space="preserve">ATM SOL                            </t>
  </si>
  <si>
    <t>ZWELAKHE MOLEFE</t>
  </si>
  <si>
    <t>MAHMOOD</t>
  </si>
  <si>
    <t>FLYER</t>
  </si>
  <si>
    <t>MIDD2</t>
  </si>
  <si>
    <t>MIDDELBURG (Mpumalanga)</t>
  </si>
  <si>
    <t>PRETO</t>
  </si>
  <si>
    <t>PRETORIA</t>
  </si>
  <si>
    <t xml:space="preserve">PRESISIAN SCANNING AND PRINTIN     </t>
  </si>
  <si>
    <t>JAKAYLA</t>
  </si>
  <si>
    <t>NATASCHA</t>
  </si>
  <si>
    <t>maria</t>
  </si>
  <si>
    <t>POD received from cell 0766143929 M</t>
  </si>
  <si>
    <t>PARCEL</t>
  </si>
  <si>
    <t>GYS</t>
  </si>
  <si>
    <t>DEBRA</t>
  </si>
  <si>
    <t>DELIWE</t>
  </si>
  <si>
    <t>RUSTE</t>
  </si>
  <si>
    <t>RUSTENBURG</t>
  </si>
  <si>
    <t xml:space="preserve">ATM SOLUTIONS RUSTENBURG           </t>
  </si>
  <si>
    <t>STORES</t>
  </si>
  <si>
    <t>NICO</t>
  </si>
  <si>
    <t>RDR</t>
  </si>
  <si>
    <t>PIET1</t>
  </si>
  <si>
    <t>PIETERMARITZBURG</t>
  </si>
  <si>
    <t>M REDDY</t>
  </si>
  <si>
    <t>RDD</t>
  </si>
  <si>
    <t xml:space="preserve">STORES 9DANIEL MARULANE            </t>
  </si>
  <si>
    <t>ATM SOLUTION</t>
  </si>
  <si>
    <t>Anastasa</t>
  </si>
  <si>
    <t>POD received from cell 0747681797 M</t>
  </si>
  <si>
    <t>BLOE1</t>
  </si>
  <si>
    <t>BLOEMFONTEIN</t>
  </si>
  <si>
    <t>JEROME</t>
  </si>
  <si>
    <t>landra</t>
  </si>
  <si>
    <t>RD1</t>
  </si>
  <si>
    <t>NEWCA</t>
  </si>
  <si>
    <t>NEWCASTLE</t>
  </si>
  <si>
    <t>LINDO</t>
  </si>
  <si>
    <t>rd1</t>
  </si>
  <si>
    <t xml:space="preserve">ATM SOLUTIONS WITBANK              </t>
  </si>
  <si>
    <t>GEORGES</t>
  </si>
  <si>
    <t>PAUL</t>
  </si>
  <si>
    <t>PAUL ACKERMANS</t>
  </si>
  <si>
    <t>PIET2</t>
  </si>
  <si>
    <t>PIETERSBURG</t>
  </si>
  <si>
    <t>ROBERT</t>
  </si>
  <si>
    <t>kgaogelo</t>
  </si>
  <si>
    <t>POD received from cell 0760135133 M</t>
  </si>
  <si>
    <t>KURUM</t>
  </si>
  <si>
    <t>KURUMAN</t>
  </si>
  <si>
    <t>SANDT</t>
  </si>
  <si>
    <t>SANDTON</t>
  </si>
  <si>
    <t>MODISE</t>
  </si>
  <si>
    <t>RDX</t>
  </si>
  <si>
    <t>SIBUSISO</t>
  </si>
  <si>
    <t>Late linehaul</t>
  </si>
  <si>
    <t>amt</t>
  </si>
  <si>
    <t>SPARES</t>
  </si>
  <si>
    <t>MMABA</t>
  </si>
  <si>
    <t>MMABATHO</t>
  </si>
  <si>
    <t>PETER</t>
  </si>
  <si>
    <t>NELSP</t>
  </si>
  <si>
    <t>NELSPRUIT</t>
  </si>
  <si>
    <t xml:space="preserve">ATN SOL                            </t>
  </si>
  <si>
    <t>DONALD</t>
  </si>
  <si>
    <t>ASHLEY</t>
  </si>
  <si>
    <t xml:space="preserve">THABILE                       </t>
  </si>
  <si>
    <t xml:space="preserve">                                        </t>
  </si>
  <si>
    <t>DURBA</t>
  </si>
  <si>
    <t>DURBAN</t>
  </si>
  <si>
    <t>YASHEN</t>
  </si>
  <si>
    <t>EVELYNNE</t>
  </si>
  <si>
    <t>WELKO</t>
  </si>
  <si>
    <t>WELKOM</t>
  </si>
  <si>
    <t xml:space="preserve">ATM SOL-LOOKS DEPT                 </t>
  </si>
  <si>
    <t>SOPHIE</t>
  </si>
  <si>
    <t>BARTEL</t>
  </si>
  <si>
    <t>rdD</t>
  </si>
  <si>
    <t>capet</t>
  </si>
  <si>
    <t>MAHMOED</t>
  </si>
  <si>
    <t>LIANDRA</t>
  </si>
  <si>
    <t>GEORG</t>
  </si>
  <si>
    <t>DAYMIAN</t>
  </si>
  <si>
    <t>DAYMAIN</t>
  </si>
  <si>
    <t>MARBL</t>
  </si>
  <si>
    <t>MARBLE HALL</t>
  </si>
  <si>
    <t>LINCO</t>
  </si>
  <si>
    <t>DYMIAN</t>
  </si>
  <si>
    <t>RDY</t>
  </si>
  <si>
    <t>KLERK</t>
  </si>
  <si>
    <t>KLERKSDORP</t>
  </si>
  <si>
    <t>ZWELAAKHE</t>
  </si>
  <si>
    <t>STEPHANS</t>
  </si>
  <si>
    <t>SOLLY SEBATI</t>
  </si>
  <si>
    <t>PIETER LINCO</t>
  </si>
  <si>
    <t>DEBRA RAFAPA</t>
  </si>
  <si>
    <t>SAMSON</t>
  </si>
  <si>
    <t>SHOOSTHI</t>
  </si>
  <si>
    <t>ROSY MOOKA</t>
  </si>
  <si>
    <t>nahmood</t>
  </si>
  <si>
    <t>POD received from cell 0793213658 M</t>
  </si>
  <si>
    <t xml:space="preserve">ATM SOLUTIONS DURBAN               </t>
  </si>
  <si>
    <t>PRESHEN</t>
  </si>
  <si>
    <t>rdd</t>
  </si>
  <si>
    <t xml:space="preserve">ATM SOLUTIONA                      </t>
  </si>
  <si>
    <t>VANNESSA</t>
  </si>
  <si>
    <t>eugene</t>
  </si>
  <si>
    <t>POD received from cell 0745016150 M</t>
  </si>
  <si>
    <t>RICHA</t>
  </si>
  <si>
    <t>RICHARDS BAY</t>
  </si>
  <si>
    <t xml:space="preserve">atm solution                       </t>
  </si>
  <si>
    <t>calvin</t>
  </si>
  <si>
    <t>bo</t>
  </si>
  <si>
    <t>rd2</t>
  </si>
  <si>
    <t>TSHEPISO</t>
  </si>
  <si>
    <t>THABILE</t>
  </si>
  <si>
    <t>bem</t>
  </si>
  <si>
    <t>NTHABISENG</t>
  </si>
  <si>
    <t>SIPHO</t>
  </si>
  <si>
    <t>Driver late</t>
  </si>
  <si>
    <t>pem</t>
  </si>
  <si>
    <t>Hold for Collection</t>
  </si>
  <si>
    <t>RUM</t>
  </si>
  <si>
    <t>THOHO</t>
  </si>
  <si>
    <t>THOHOYANDOU</t>
  </si>
  <si>
    <t>ABSALOME</t>
  </si>
  <si>
    <t>nahmoos</t>
  </si>
  <si>
    <t>MALVOLM</t>
  </si>
  <si>
    <t>ILELG</t>
  </si>
  <si>
    <t>GERHARD</t>
  </si>
  <si>
    <t>ire</t>
  </si>
  <si>
    <t>DEBRA EMILE</t>
  </si>
  <si>
    <t>ILLEG SIG</t>
  </si>
  <si>
    <t>ILLEG</t>
  </si>
  <si>
    <t>nelsp</t>
  </si>
  <si>
    <t>VRYBU</t>
  </si>
  <si>
    <t>VRYBURG</t>
  </si>
  <si>
    <t>THABO</t>
  </si>
  <si>
    <t>NICODEMUS</t>
  </si>
  <si>
    <t>BROAM</t>
  </si>
  <si>
    <t>BOITUMELO</t>
  </si>
  <si>
    <t>PORT4</t>
  </si>
  <si>
    <t>PORT SHEPSTONE</t>
  </si>
  <si>
    <t xml:space="preserve">ATMSOL                             </t>
  </si>
  <si>
    <t>KISHAL</t>
  </si>
  <si>
    <t>NA</t>
  </si>
  <si>
    <t>Outlying delivery location</t>
  </si>
  <si>
    <t>col</t>
  </si>
  <si>
    <t>STEPHAN</t>
  </si>
  <si>
    <t xml:space="preserve">ATM WELKOM                         </t>
  </si>
  <si>
    <t>EAST</t>
  </si>
  <si>
    <t>EAST LONDON</t>
  </si>
  <si>
    <t>JOHN</t>
  </si>
  <si>
    <t>JASON</t>
  </si>
  <si>
    <t xml:space="preserve">ATM SOLUTIONS-SANDTON -JHB         </t>
  </si>
  <si>
    <t>TONI</t>
  </si>
  <si>
    <t>AMT</t>
  </si>
  <si>
    <t xml:space="preserve">ATM SOL.                           </t>
  </si>
  <si>
    <t xml:space="preserve">ATM SOLTION                        </t>
  </si>
  <si>
    <t>BARTTEL</t>
  </si>
  <si>
    <t>CHAROZA</t>
  </si>
  <si>
    <t xml:space="preserve">ATM SOL WELKOM                     </t>
  </si>
  <si>
    <t>BATEL</t>
  </si>
  <si>
    <t>PCL</t>
  </si>
  <si>
    <t xml:space="preserve">ATM SOL KLERKSDORP                 </t>
  </si>
  <si>
    <t>LADYS</t>
  </si>
  <si>
    <t>LADYSMITH (NTL)</t>
  </si>
  <si>
    <t xml:space="preserve">ATM SOL LADYSMITH                  </t>
  </si>
  <si>
    <t>SOPHI</t>
  </si>
  <si>
    <t xml:space="preserve">ATM SOLUTIONS PLZ                  </t>
  </si>
  <si>
    <t>MALCOM</t>
  </si>
  <si>
    <t>ANASTASA</t>
  </si>
  <si>
    <t>Missed cutoff</t>
  </si>
  <si>
    <t>shm</t>
  </si>
  <si>
    <t xml:space="preserve">ATM SOLUTIONS  DURBAN              </t>
  </si>
  <si>
    <t>SHIVASTHI</t>
  </si>
  <si>
    <t>COL</t>
  </si>
  <si>
    <t>PINET</t>
  </si>
  <si>
    <t>PINETOWN</t>
  </si>
  <si>
    <t>illeg</t>
  </si>
  <si>
    <t xml:space="preserve">ATM SOL STORES DEPT                </t>
  </si>
  <si>
    <t>WARRE</t>
  </si>
  <si>
    <t>WARRENTON</t>
  </si>
  <si>
    <t xml:space="preserve">ATM SOL KIMBELEY                   </t>
  </si>
  <si>
    <t>PIET</t>
  </si>
  <si>
    <t xml:space="preserve">PIET                          </t>
  </si>
  <si>
    <t>mib</t>
  </si>
  <si>
    <t xml:space="preserve">ATM SOL RIBAY                      </t>
  </si>
  <si>
    <t>MZWANDILE</t>
  </si>
  <si>
    <t>tap</t>
  </si>
  <si>
    <t xml:space="preserve">ATM SLO UPPINGTOB                  </t>
  </si>
  <si>
    <t xml:space="preserve">ATM SOL DURBAN                     </t>
  </si>
  <si>
    <t>SHIVESTHI</t>
  </si>
  <si>
    <t xml:space="preserve">ATM SOL PIETERMARITZBERG           </t>
  </si>
  <si>
    <t>MERVLEN</t>
  </si>
  <si>
    <t>mervlen</t>
  </si>
  <si>
    <t>rav</t>
  </si>
  <si>
    <t xml:space="preserve">ATM SOL RUSUERNBURG                </t>
  </si>
  <si>
    <t>GARHARD</t>
  </si>
  <si>
    <t xml:space="preserve">ATM SOLTUTIONS                     </t>
  </si>
  <si>
    <t xml:space="preserve">ATM SOL BLOEMFONTEIN               </t>
  </si>
  <si>
    <t>JEROM</t>
  </si>
  <si>
    <t>hein</t>
  </si>
  <si>
    <t xml:space="preserve">ATM SOLUTION PORT ELIABERTH        </t>
  </si>
  <si>
    <t>MORATUWA</t>
  </si>
  <si>
    <t>anastacia</t>
  </si>
  <si>
    <t>Consignee not available)</t>
  </si>
  <si>
    <t>SHM</t>
  </si>
  <si>
    <t>FLY</t>
  </si>
  <si>
    <t xml:space="preserve">ATM SOLUTIONS MARBLE HALL          </t>
  </si>
  <si>
    <t>PIETER</t>
  </si>
  <si>
    <t>Appointment required</t>
  </si>
  <si>
    <t>hap</t>
  </si>
  <si>
    <t>linco</t>
  </si>
  <si>
    <t xml:space="preserve">ATM SOLUTION WELKOM                </t>
  </si>
  <si>
    <t>jon</t>
  </si>
  <si>
    <t xml:space="preserve">ATM SOLUTIONS BLOEMFONTAIN         </t>
  </si>
  <si>
    <t>HEIN</t>
  </si>
  <si>
    <t xml:space="preserve">ATM SOLUTIONS PIETERMARITZBURG     </t>
  </si>
  <si>
    <t>BETHL</t>
  </si>
  <si>
    <t>BETHLEHEM</t>
  </si>
  <si>
    <t xml:space="preserve">ATM BETHLEM                        </t>
  </si>
  <si>
    <t>MO</t>
  </si>
  <si>
    <t>T TSHABALALA</t>
  </si>
  <si>
    <t>MOL</t>
  </si>
  <si>
    <t>QD KIT</t>
  </si>
  <si>
    <t>STEPHEN</t>
  </si>
  <si>
    <t xml:space="preserve">ATM SOLUTIONSD                     </t>
  </si>
  <si>
    <t xml:space="preserve">ATM SOL MAFIKENG                   </t>
  </si>
  <si>
    <t xml:space="preserve">ATM SOL NELSPRUIT                  </t>
  </si>
  <si>
    <t>SUMISANE</t>
  </si>
  <si>
    <t>dumisane</t>
  </si>
  <si>
    <t xml:space="preserve">ATM SOL GEORGE                     </t>
  </si>
  <si>
    <t>ONE BOX SHORT REC</t>
  </si>
  <si>
    <t>LOUIS</t>
  </si>
  <si>
    <t>LOUIS TRICHARDT</t>
  </si>
  <si>
    <t xml:space="preserve">ATM SOL LOUISTRICHARDS             </t>
  </si>
  <si>
    <t>ABSA</t>
  </si>
  <si>
    <t>THOVHAKALE MS</t>
  </si>
  <si>
    <t>VERWO</t>
  </si>
  <si>
    <t>CENTURION</t>
  </si>
  <si>
    <t xml:space="preserve">CONNECT NET                        </t>
  </si>
  <si>
    <t>ADRI</t>
  </si>
  <si>
    <t>NATHAN</t>
  </si>
  <si>
    <t xml:space="preserve">ATM SOL WITBANK                    </t>
  </si>
  <si>
    <t xml:space="preserve">ATM SOL CPT                        </t>
  </si>
  <si>
    <t>kiatsha</t>
  </si>
  <si>
    <t>B MELK</t>
  </si>
  <si>
    <t>TONI AUMUK</t>
  </si>
  <si>
    <t>SIGNATURE</t>
  </si>
  <si>
    <t xml:space="preserve">ATM SOLUTIONS CAPE TOWN            </t>
  </si>
  <si>
    <t>MAHMOND</t>
  </si>
  <si>
    <t>TEBIA</t>
  </si>
  <si>
    <t>NGF</t>
  </si>
  <si>
    <t>MKHOMBISENUI N</t>
  </si>
  <si>
    <t>LIGUEL DE OLIVERIRA</t>
  </si>
  <si>
    <t>ILLEGE</t>
  </si>
  <si>
    <t>MPHO</t>
  </si>
  <si>
    <t xml:space="preserve">ATM SLOLUTIONA DURBAN              </t>
  </si>
  <si>
    <t>vpa</t>
  </si>
  <si>
    <t xml:space="preserve">ATM SOLUTION BLOEMFONTAIN          </t>
  </si>
  <si>
    <t>liandra</t>
  </si>
  <si>
    <t>NIKITA</t>
  </si>
  <si>
    <t>TSE</t>
  </si>
  <si>
    <t>sign</t>
  </si>
  <si>
    <t xml:space="preserve">ATM SOLUTIONS CPT                  </t>
  </si>
  <si>
    <t>RYDEEN MAHMOOD</t>
  </si>
  <si>
    <t>FAIZA</t>
  </si>
  <si>
    <t>MANATE</t>
  </si>
  <si>
    <t>SIGNATUE</t>
  </si>
  <si>
    <t>portia</t>
  </si>
  <si>
    <t>ACKERMAN</t>
  </si>
  <si>
    <t xml:space="preserve">ATM SOLUTIONS PIETRMARITZBURG      </t>
  </si>
  <si>
    <t>MERVIEN</t>
  </si>
  <si>
    <t xml:space="preserve">GEORGES                       </t>
  </si>
  <si>
    <t>stores</t>
  </si>
  <si>
    <t xml:space="preserve">SYNTELL                            </t>
  </si>
  <si>
    <t>NICOLE</t>
  </si>
  <si>
    <t>SOPHY</t>
  </si>
  <si>
    <t xml:space="preserve">ATM SOLUTIONS-JHB-WAREHOUSE        </t>
  </si>
  <si>
    <t xml:space="preserve">ATM SOLUTION-JHB -WAREHOUASE       </t>
  </si>
  <si>
    <t>AMAROTWA</t>
  </si>
  <si>
    <t>KERSHEN</t>
  </si>
  <si>
    <t xml:space="preserve">ATM SOLUTIONS POLOKWANE            </t>
  </si>
  <si>
    <t xml:space="preserve">SKYNET GEORGE                      </t>
  </si>
  <si>
    <t>DAYMIA RABIE</t>
  </si>
  <si>
    <t>.</t>
  </si>
  <si>
    <t xml:space="preserve">DAYMIAN                       </t>
  </si>
  <si>
    <t>SAMSO KHOZA</t>
  </si>
  <si>
    <t>PAUL ACKERMAN</t>
  </si>
  <si>
    <t>samson</t>
  </si>
  <si>
    <t>APHELELE</t>
  </si>
  <si>
    <t>WILLIAM</t>
  </si>
  <si>
    <t>DEBRA \EMILE</t>
  </si>
  <si>
    <t>DEBRA\EMILE</t>
  </si>
  <si>
    <t>TYASHEN</t>
  </si>
  <si>
    <t>DEBRA SOLUTIONS</t>
  </si>
  <si>
    <t>EVELYN</t>
  </si>
  <si>
    <t xml:space="preserve">ATM SOLUTIONS - JHB                </t>
  </si>
  <si>
    <t xml:space="preserve">ATM SOLUTIONS  CAPE TOWN           </t>
  </si>
  <si>
    <t>MORATUWA \DEBRA</t>
  </si>
  <si>
    <t>selvin</t>
  </si>
  <si>
    <t xml:space="preserve">ATM  SOL  RUSTENBURG               </t>
  </si>
  <si>
    <t xml:space="preserve">ATM  SOLUTIONS BETHLWHWM           </t>
  </si>
  <si>
    <t>MAR</t>
  </si>
  <si>
    <t xml:space="preserve">ATM SOLUTIONS GEORGE               </t>
  </si>
  <si>
    <t>MAYMIAN</t>
  </si>
  <si>
    <t>rum</t>
  </si>
  <si>
    <t>ANASTACIA</t>
  </si>
  <si>
    <t xml:space="preserve">ATOM SOLUTIONS SANDTON             </t>
  </si>
  <si>
    <t xml:space="preserve">ATM SOLUTIONS NELSPRUIT            </t>
  </si>
  <si>
    <t>TEBIN</t>
  </si>
  <si>
    <t xml:space="preserve">STM SOLUTIONS                      </t>
  </si>
  <si>
    <t xml:space="preserve">ATM SOLUTIONS GEORGES              </t>
  </si>
  <si>
    <t xml:space="preserve">ATM SOLUTIONS PE                   </t>
  </si>
  <si>
    <t>MORATUWA  DEBRA</t>
  </si>
  <si>
    <t xml:space="preserve">ATM SOL BETHLEHEM                  </t>
  </si>
  <si>
    <t xml:space="preserve">ATM SOL VRYBURG                    </t>
  </si>
  <si>
    <t xml:space="preserve">ATM SOLUTIONS BLOEMFONTEIN         </t>
  </si>
  <si>
    <t>YASHEEN</t>
  </si>
  <si>
    <t>MKHOMBISENI</t>
  </si>
  <si>
    <t>everynn</t>
  </si>
  <si>
    <t xml:space="preserve">DPT OF HOME AFFAIRS                </t>
  </si>
  <si>
    <t>PAUL KRUGER</t>
  </si>
  <si>
    <t xml:space="preserve">SKYNET SA                          </t>
  </si>
  <si>
    <t>phr</t>
  </si>
  <si>
    <t xml:space="preserve">ATM SOLUTIONS CAPE                 </t>
  </si>
  <si>
    <t>SELVIN</t>
  </si>
  <si>
    <t>NATASHA</t>
  </si>
  <si>
    <t>DERA MORETUWA</t>
  </si>
  <si>
    <t>CALVIN</t>
  </si>
  <si>
    <t>KISHAI</t>
  </si>
  <si>
    <t xml:space="preserve">LIANDRA                       </t>
  </si>
  <si>
    <t xml:space="preserve">ATM SOLUTIONS PORT ELIZABETH       </t>
  </si>
  <si>
    <t>ON2</t>
  </si>
  <si>
    <t>THEODORAH</t>
  </si>
  <si>
    <t>POD received from cell 0789905770 M</t>
  </si>
  <si>
    <t>CENBRA</t>
  </si>
  <si>
    <t>TERSIA</t>
  </si>
  <si>
    <t>RYDEEN</t>
  </si>
  <si>
    <t xml:space="preserve">ATM SOL  GEORGE                    </t>
  </si>
  <si>
    <t>DYAAMIAN</t>
  </si>
  <si>
    <t>SOPHIER</t>
  </si>
  <si>
    <t xml:space="preserve">ATM SOL POLOKWANE                  </t>
  </si>
  <si>
    <t>PCLS</t>
  </si>
  <si>
    <t>shivasthi</t>
  </si>
  <si>
    <t xml:space="preserve">ATM SOLUTION BETHLEHEM             </t>
  </si>
  <si>
    <t>mol</t>
  </si>
  <si>
    <t>POD received from cell 0583032828 M</t>
  </si>
  <si>
    <t>232 3343</t>
  </si>
  <si>
    <t>MERULEN REDDY</t>
  </si>
  <si>
    <t xml:space="preserve">ATOM SOLUTIONS                     </t>
  </si>
  <si>
    <t xml:space="preserve">ATM-LOCKD DEPT                     </t>
  </si>
  <si>
    <t xml:space="preserve">atm solutions                      </t>
  </si>
  <si>
    <t xml:space="preserve">atm solitions                      </t>
  </si>
  <si>
    <t>mahmood</t>
  </si>
  <si>
    <t>CEBRA</t>
  </si>
  <si>
    <t>DAYMAIN RABIE</t>
  </si>
  <si>
    <t>IVO</t>
  </si>
  <si>
    <t xml:space="preserve">ATM SOLUTION DURBAN                </t>
  </si>
  <si>
    <t xml:space="preserve">ATM SOLUTION BLOEMF                </t>
  </si>
  <si>
    <t xml:space="preserve">ATM SOLUTION PIERTERMARZ           </t>
  </si>
  <si>
    <t>MERVLEW</t>
  </si>
  <si>
    <t>?</t>
  </si>
  <si>
    <t xml:space="preserve">ATM SOLUTIONS CAPE T               </t>
  </si>
  <si>
    <t>box</t>
  </si>
  <si>
    <t>ATM SOLUTIONS</t>
  </si>
  <si>
    <t>F</t>
  </si>
  <si>
    <t>SIPHO MTHIMKHULU</t>
  </si>
  <si>
    <t xml:space="preserve">ATM SOL RUSTENBURG                 </t>
  </si>
  <si>
    <t>AMT SOLUTIONS</t>
  </si>
  <si>
    <t>MORATUWA DEBRA</t>
  </si>
  <si>
    <t>Returned to sender on waybill</t>
  </si>
  <si>
    <t>Returned to sender on waybill number R00</t>
  </si>
  <si>
    <t>WANDRA</t>
  </si>
  <si>
    <t>ANDISSA</t>
  </si>
  <si>
    <t>FLYERS</t>
  </si>
  <si>
    <t>LOCKS</t>
  </si>
  <si>
    <t xml:space="preserve">ATM SLOLUTION                      </t>
  </si>
  <si>
    <t>FS ADMIN</t>
  </si>
  <si>
    <t>BArtel</t>
  </si>
  <si>
    <t>flyer</t>
  </si>
  <si>
    <t>SETH</t>
  </si>
  <si>
    <t xml:space="preserve">ATM SOLUTIONS KIMBERLEY            </t>
  </si>
  <si>
    <t>DEBRA  EMILE</t>
  </si>
  <si>
    <t xml:space="preserve">amt solutions                      </t>
  </si>
  <si>
    <t>george</t>
  </si>
  <si>
    <t xml:space="preserve">ATM SOLUTIONS PLK                  </t>
  </si>
  <si>
    <t>IVON</t>
  </si>
  <si>
    <t>GAWIE</t>
  </si>
  <si>
    <t xml:space="preserve">ATM SOLUTIONS MAFIKENG             </t>
  </si>
  <si>
    <t xml:space="preserve">ATM SOLUTIONS NWELSPRUIT           </t>
  </si>
  <si>
    <t>natasha</t>
  </si>
  <si>
    <t>MOIRATUWA DEBRA</t>
  </si>
  <si>
    <t xml:space="preserve">ATM SOLUTIONS EAST LONDON          </t>
  </si>
  <si>
    <t>jason</t>
  </si>
  <si>
    <t>bbt</t>
  </si>
  <si>
    <t>WITNEY ROSENBERG</t>
  </si>
  <si>
    <t xml:space="preserve">G4S LADYSMITH                      </t>
  </si>
  <si>
    <t>CRAIG WILLOUGHBY</t>
  </si>
  <si>
    <t>CGAIG</t>
  </si>
  <si>
    <t xml:space="preserve">POD received from cell 0789905770 M     </t>
  </si>
  <si>
    <t>DUMISANI</t>
  </si>
  <si>
    <t xml:space="preserve">ATM SOLUTIONS TOWN                 </t>
  </si>
  <si>
    <t>elw</t>
  </si>
  <si>
    <t>ZWELAKI</t>
  </si>
  <si>
    <t>yashen</t>
  </si>
  <si>
    <t>lindo</t>
  </si>
  <si>
    <t>shivashni</t>
  </si>
  <si>
    <t xml:space="preserve">GEOGE                         </t>
  </si>
  <si>
    <t xml:space="preserve">ATM SOLUTIONS P E                  </t>
  </si>
  <si>
    <t xml:space="preserve">ANASTACIA                     </t>
  </si>
  <si>
    <t>baij</t>
  </si>
  <si>
    <t>ssh</t>
  </si>
  <si>
    <t>BOX OF SPARES</t>
  </si>
  <si>
    <t xml:space="preserve">ATM SOLUTIONS RICHARDSBAY          </t>
  </si>
  <si>
    <t xml:space="preserve">ATM SOLUTIONS NEWCASTLE            </t>
  </si>
  <si>
    <t>LONDO</t>
  </si>
  <si>
    <t xml:space="preserve">ATM SOLUTIONS PIETERMARIZBURG      </t>
  </si>
  <si>
    <t>MD</t>
  </si>
  <si>
    <t>GEORE</t>
  </si>
  <si>
    <t xml:space="preserve">ATM SOLUTIONS BETHLM               </t>
  </si>
  <si>
    <t>THABO TSHABALALA</t>
  </si>
  <si>
    <t xml:space="preserve">ATM SOLUTIONS KLERKSDORP           </t>
  </si>
  <si>
    <t>George</t>
  </si>
  <si>
    <t>POD received from cell 0721556366 M</t>
  </si>
  <si>
    <t xml:space="preserve">FIDELITY MARBLE HALL               </t>
  </si>
  <si>
    <t>ALFRED</t>
  </si>
  <si>
    <t xml:space="preserve">ATM SOLUTIONS - PE                 </t>
  </si>
  <si>
    <t>EUGENE VAN TONDER</t>
  </si>
  <si>
    <t xml:space="preserve">ATM SOLUTIONS UPPINGTON            </t>
  </si>
  <si>
    <t>OLIVER</t>
  </si>
  <si>
    <t xml:space="preserve">ARMSOL VRYBURG                     </t>
  </si>
  <si>
    <t>THABO MAHLAOLA</t>
  </si>
  <si>
    <t>N A</t>
  </si>
  <si>
    <t>LILY</t>
  </si>
  <si>
    <t xml:space="preserve">ATM SOLUTIONS PORT SHEPSTONE       </t>
  </si>
  <si>
    <t>raj</t>
  </si>
  <si>
    <t>MORATUMA PHOTOLO</t>
  </si>
  <si>
    <t xml:space="preserve">BROAM                         </t>
  </si>
  <si>
    <t>PEM</t>
  </si>
  <si>
    <t>MARK THUISI</t>
  </si>
  <si>
    <t>DERA RAFAPA</t>
  </si>
  <si>
    <t>chivasthi</t>
  </si>
  <si>
    <t>DONALD BOITUMELO</t>
  </si>
  <si>
    <t xml:space="preserve">ATM SOLUTIONS MARBLOE HALL         </t>
  </si>
  <si>
    <t>PETTER</t>
  </si>
  <si>
    <t>WHITNEY</t>
  </si>
  <si>
    <t>VANESSA</t>
  </si>
  <si>
    <t>rd3</t>
  </si>
  <si>
    <t xml:space="preserve">aim solutions                      </t>
  </si>
  <si>
    <t xml:space="preserve">aim sowiths                        </t>
  </si>
  <si>
    <t>skynet els depot</t>
  </si>
  <si>
    <t xml:space="preserve">ATM SOLUTUION                      </t>
  </si>
  <si>
    <t xml:space="preserve">ATM SOLUTIONS UPINGTON             </t>
  </si>
  <si>
    <t xml:space="preserve">ATMSOLUTIONS RUSTENBURG            </t>
  </si>
  <si>
    <t>lisa</t>
  </si>
  <si>
    <t xml:space="preserve">ATM SLOTIONS                       </t>
  </si>
  <si>
    <t>chevashthi</t>
  </si>
  <si>
    <t xml:space="preserve">ATMSOL RUSTENBURG                  </t>
  </si>
  <si>
    <t xml:space="preserve">ATM SYNTELLE                       </t>
  </si>
  <si>
    <t>ZWELAKE</t>
  </si>
  <si>
    <t>STEPHENS</t>
  </si>
  <si>
    <t>ZWELAKHEE</t>
  </si>
  <si>
    <t>OLWETHU</t>
  </si>
  <si>
    <t xml:space="preserve">CONNET NET                         </t>
  </si>
  <si>
    <t>DUIGHT</t>
  </si>
  <si>
    <t>DONOVAN VAN DUNTER</t>
  </si>
  <si>
    <t xml:space="preserve">ATM SLUTION                        </t>
  </si>
  <si>
    <t>HENDR</t>
  </si>
  <si>
    <t>HENDRINA</t>
  </si>
  <si>
    <t xml:space="preserve">TOTAL HENDRINA                     </t>
  </si>
  <si>
    <t>CYNTHIA</t>
  </si>
  <si>
    <t>MURATUWA</t>
  </si>
  <si>
    <t>SAMSON KHOZA</t>
  </si>
  <si>
    <t>s hari</t>
  </si>
  <si>
    <t xml:space="preserve">NTAHBISENG                    </t>
  </si>
  <si>
    <t>NICODEMUS SETHE</t>
  </si>
  <si>
    <t>SHIVASTHI SINGH</t>
  </si>
  <si>
    <t xml:space="preserve">DAYMAIN                       </t>
  </si>
  <si>
    <t>MAHOOD</t>
  </si>
  <si>
    <t xml:space="preserve">THABO TSHABALALA                   </t>
  </si>
  <si>
    <t xml:space="preserve">SAS WINGFIELD                      </t>
  </si>
  <si>
    <t>SS MOKOENA</t>
  </si>
  <si>
    <t>P S MNYANDU</t>
  </si>
  <si>
    <t xml:space="preserve">AMT SOLUTIONS                      </t>
  </si>
  <si>
    <t xml:space="preserve">ATM SLOUTIONS NELSPRUIT            </t>
  </si>
  <si>
    <t>SAM</t>
  </si>
  <si>
    <t xml:space="preserve">ATM SOLUTION JNB                   </t>
  </si>
  <si>
    <t>ERIC</t>
  </si>
  <si>
    <t>DONALD TSHAALAA</t>
  </si>
  <si>
    <t xml:space="preserve">atm solcape town                   </t>
  </si>
  <si>
    <t>atm solcape town</t>
  </si>
  <si>
    <t>pcl</t>
  </si>
  <si>
    <t xml:space="preserve">ATM SLO NEWCASLE                   </t>
  </si>
  <si>
    <t>evenly</t>
  </si>
  <si>
    <t xml:space="preserve">ATMS SOL WITBANK                   </t>
  </si>
  <si>
    <t xml:space="preserve">ATN SOLUTIN                        </t>
  </si>
  <si>
    <t>ZWE</t>
  </si>
  <si>
    <t xml:space="preserve">TM SOL RICHARDBAY                  </t>
  </si>
  <si>
    <t>MORATWA</t>
  </si>
  <si>
    <t>DONAL</t>
  </si>
  <si>
    <t>DAYMIAN RABIE</t>
  </si>
  <si>
    <t>MORATUMA</t>
  </si>
  <si>
    <t xml:space="preserve">ATM SOLUTION PORT ELIZABETH        </t>
  </si>
  <si>
    <t xml:space="preserve">ATM SOLUTION WITBANK               </t>
  </si>
  <si>
    <t xml:space="preserve">ATM SOLUTION S                     </t>
  </si>
  <si>
    <t xml:space="preserve">ATM SOLUTION MARBLE HALL           </t>
  </si>
  <si>
    <t>GUY</t>
  </si>
  <si>
    <t xml:space="preserve">ATM SOLUTINS                       </t>
  </si>
  <si>
    <t xml:space="preserve">ATM SOLUTION  MARBLE HALL          </t>
  </si>
  <si>
    <t>RORBET</t>
  </si>
  <si>
    <t>GERMI</t>
  </si>
  <si>
    <t>GERMISTON</t>
  </si>
  <si>
    <t xml:space="preserve">BOTTLE BOYS CC                     </t>
  </si>
  <si>
    <t>COLETTE</t>
  </si>
  <si>
    <t>POD received from cell 0714212596 M</t>
  </si>
  <si>
    <t>RDL</t>
  </si>
  <si>
    <t xml:space="preserve">ATMSOLUTIONS                       </t>
  </si>
  <si>
    <t xml:space="preserve">ATM SOLUTION RUSTENBURG            </t>
  </si>
  <si>
    <t xml:space="preserve">ATM SOLUTION CAPE TOWN             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</si>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</sst>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361"/>
  <sheetViews>
    <sheetView tabSelected="1" workbookViewId="0">
      <selection sqref="A1:IV1"/>
    </sheetView>
  </sheetViews>
  <sheetFormatPr defaultRowHeight="15"/>
  <cols>
    <col min="1" max="1" width="7.42578125" style="2" bestFit="1" customWidth="1"/>
    <col min="2" max="2" width="37" style="2" bestFit="1" customWidth="1"/>
    <col min="3" max="3" width="5.28515625" style="2" bestFit="1" customWidth="1"/>
    <col min="4" max="4" width="10.140625" style="2" bestFit="1" customWidth="1"/>
    <col min="5" max="5" width="14.42578125" style="2" bestFit="1" customWidth="1"/>
    <col min="6" max="6" width="10.42578125" style="2" bestFit="1" customWidth="1"/>
    <col min="7" max="7" width="7" style="2" bestFit="1" customWidth="1"/>
    <col min="8" max="8" width="8.140625" style="2" bestFit="1" customWidth="1"/>
    <col min="9" max="9" width="26.42578125" style="2" bestFit="1" customWidth="1"/>
    <col min="10" max="10" width="33" style="2" bestFit="1" customWidth="1"/>
    <col min="11" max="11" width="16.140625" style="2" bestFit="1" customWidth="1"/>
    <col min="12" max="12" width="8.140625" style="2" bestFit="1" customWidth="1"/>
    <col min="13" max="13" width="26.42578125" style="2" bestFit="1" customWidth="1"/>
    <col min="14" max="14" width="36.28515625" style="2" bestFit="1" customWidth="1"/>
    <col min="15" max="15" width="4.85546875" style="2" bestFit="1" customWidth="1"/>
    <col min="16" max="16" width="22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8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3.42578125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2" width="8" style="2" bestFit="1" customWidth="1"/>
    <col min="63" max="63" width="6.28515625" style="2" bestFit="1" customWidth="1"/>
    <col min="64" max="66" width="9" style="2" bestFit="1" customWidth="1"/>
    <col min="67" max="67" width="9.140625" style="2"/>
    <col min="68" max="68" width="18.42578125" style="2" bestFit="1" customWidth="1"/>
    <col min="69" max="69" width="23" style="2" bestFit="1" customWidth="1"/>
    <col min="70" max="70" width="21.140625" style="2" bestFit="1" customWidth="1"/>
    <col min="71" max="71" width="10.42578125" style="2" bestFit="1" customWidth="1"/>
    <col min="72" max="72" width="9.7109375" style="2" bestFit="1" customWidth="1"/>
    <col min="73" max="73" width="28.28515625" style="2" bestFit="1" customWidth="1"/>
    <col min="74" max="74" width="8.5703125" style="2" bestFit="1" customWidth="1"/>
    <col min="75" max="75" width="24.28515625" style="2" bestFit="1" customWidth="1"/>
    <col min="76" max="76" width="16.140625" style="2" bestFit="1" customWidth="1"/>
    <col min="77" max="77" width="13.85546875" style="2" bestFit="1" customWidth="1"/>
    <col min="78" max="78" width="8" style="2" bestFit="1" customWidth="1"/>
    <col min="79" max="79" width="39.7109375" style="2" bestFit="1" customWidth="1"/>
    <col min="80" max="80" width="9" style="2" bestFit="1" customWidth="1"/>
    <col min="81" max="81" width="26.4257812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"069908328050"</f>
        <v>069908328050</v>
      </c>
      <c r="F2" s="3">
        <v>42858</v>
      </c>
      <c r="G2" s="2">
        <v>201711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96.64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17</v>
      </c>
      <c r="BJ2" s="2">
        <v>41.4</v>
      </c>
      <c r="BK2" s="2">
        <v>41.5</v>
      </c>
      <c r="BL2" s="2">
        <v>873.52</v>
      </c>
      <c r="BM2" s="2">
        <v>122.29</v>
      </c>
      <c r="BN2" s="2">
        <v>995.81</v>
      </c>
      <c r="BO2" s="2">
        <v>995.81</v>
      </c>
      <c r="BQ2" s="2" t="s">
        <v>82</v>
      </c>
      <c r="BR2" s="2" t="s">
        <v>83</v>
      </c>
      <c r="BS2" s="3">
        <v>42859</v>
      </c>
      <c r="BT2" s="4">
        <v>0.39444444444444443</v>
      </c>
      <c r="BU2" s="2" t="s">
        <v>84</v>
      </c>
      <c r="BV2" s="2" t="s">
        <v>85</v>
      </c>
      <c r="BY2" s="2">
        <v>207207</v>
      </c>
      <c r="BZ2" s="2" t="s">
        <v>27</v>
      </c>
      <c r="CC2" s="2" t="s">
        <v>79</v>
      </c>
      <c r="CD2" s="2">
        <v>2196</v>
      </c>
      <c r="CE2" s="2" t="s">
        <v>86</v>
      </c>
      <c r="CF2" s="3">
        <v>42860</v>
      </c>
      <c r="CI2" s="2">
        <v>1</v>
      </c>
      <c r="CJ2" s="2">
        <v>1</v>
      </c>
      <c r="CK2" s="2">
        <v>21</v>
      </c>
      <c r="CL2" s="2" t="s">
        <v>87</v>
      </c>
    </row>
    <row r="3" spans="1:91">
      <c r="A3" s="2" t="s">
        <v>88</v>
      </c>
      <c r="B3" s="2" t="s">
        <v>72</v>
      </c>
      <c r="C3" s="2" t="s">
        <v>73</v>
      </c>
      <c r="E3" s="2" t="str">
        <f>"039902263259"</f>
        <v>039902263259</v>
      </c>
      <c r="F3" s="3">
        <v>42857</v>
      </c>
      <c r="G3" s="2">
        <v>201711</v>
      </c>
      <c r="H3" s="2" t="s">
        <v>89</v>
      </c>
      <c r="I3" s="2" t="s">
        <v>90</v>
      </c>
      <c r="J3" s="2" t="s">
        <v>91</v>
      </c>
      <c r="K3" s="2" t="s">
        <v>77</v>
      </c>
      <c r="L3" s="2" t="s">
        <v>92</v>
      </c>
      <c r="M3" s="2" t="s">
        <v>93</v>
      </c>
      <c r="N3" s="2" t="s">
        <v>94</v>
      </c>
      <c r="O3" s="2" t="s">
        <v>95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10.45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4</v>
      </c>
      <c r="BJ3" s="2">
        <v>1.1000000000000001</v>
      </c>
      <c r="BK3" s="2">
        <v>4</v>
      </c>
      <c r="BL3" s="2">
        <v>106.71</v>
      </c>
      <c r="BM3" s="2">
        <v>14.94</v>
      </c>
      <c r="BN3" s="2">
        <v>121.65</v>
      </c>
      <c r="BO3" s="2">
        <v>121.65</v>
      </c>
      <c r="BQ3" s="2" t="s">
        <v>96</v>
      </c>
      <c r="BR3" s="2" t="s">
        <v>97</v>
      </c>
      <c r="BS3" s="3">
        <v>42861</v>
      </c>
      <c r="BT3" s="4">
        <v>0.33333333333333331</v>
      </c>
      <c r="BU3" s="2" t="s">
        <v>98</v>
      </c>
      <c r="BV3" s="2" t="s">
        <v>85</v>
      </c>
      <c r="BY3" s="2">
        <v>5292</v>
      </c>
      <c r="CC3" s="2" t="s">
        <v>93</v>
      </c>
      <c r="CD3" s="2">
        <v>8800</v>
      </c>
      <c r="CE3" s="2" t="s">
        <v>86</v>
      </c>
      <c r="CF3" s="3">
        <v>42865</v>
      </c>
      <c r="CI3" s="2">
        <v>3</v>
      </c>
      <c r="CJ3" s="2">
        <v>3</v>
      </c>
      <c r="CK3" s="2" t="s">
        <v>99</v>
      </c>
      <c r="CL3" s="2" t="s">
        <v>87</v>
      </c>
    </row>
    <row r="4" spans="1:91">
      <c r="A4" s="2" t="s">
        <v>88</v>
      </c>
      <c r="B4" s="2" t="s">
        <v>72</v>
      </c>
      <c r="C4" s="2" t="s">
        <v>73</v>
      </c>
      <c r="E4" s="2" t="str">
        <f>"039902642750"</f>
        <v>039902642750</v>
      </c>
      <c r="F4" s="3">
        <v>42857</v>
      </c>
      <c r="G4" s="2">
        <v>201711</v>
      </c>
      <c r="H4" s="2" t="s">
        <v>89</v>
      </c>
      <c r="I4" s="2" t="s">
        <v>90</v>
      </c>
      <c r="J4" s="2" t="s">
        <v>91</v>
      </c>
      <c r="K4" s="2" t="s">
        <v>77</v>
      </c>
      <c r="L4" s="2" t="s">
        <v>78</v>
      </c>
      <c r="M4" s="2" t="s">
        <v>79</v>
      </c>
      <c r="N4" s="2" t="s">
        <v>91</v>
      </c>
      <c r="O4" s="2" t="s">
        <v>95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32.44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3</v>
      </c>
      <c r="BI4" s="2">
        <v>74</v>
      </c>
      <c r="BJ4" s="2">
        <v>78</v>
      </c>
      <c r="BK4" s="2">
        <v>78</v>
      </c>
      <c r="BL4" s="2">
        <v>320.72000000000003</v>
      </c>
      <c r="BM4" s="2">
        <v>44.9</v>
      </c>
      <c r="BN4" s="2">
        <v>365.62</v>
      </c>
      <c r="BO4" s="2">
        <v>365.62</v>
      </c>
      <c r="BQ4" s="2" t="s">
        <v>100</v>
      </c>
      <c r="BR4" s="2" t="s">
        <v>101</v>
      </c>
      <c r="BS4" s="3">
        <v>42859</v>
      </c>
      <c r="BT4" s="4">
        <v>0.51041666666666663</v>
      </c>
      <c r="BU4" s="2" t="s">
        <v>102</v>
      </c>
      <c r="BV4" s="2" t="s">
        <v>85</v>
      </c>
      <c r="BY4" s="2">
        <v>130032</v>
      </c>
      <c r="CC4" s="2" t="s">
        <v>79</v>
      </c>
      <c r="CD4" s="2">
        <v>2090</v>
      </c>
      <c r="CE4" s="2" t="s">
        <v>103</v>
      </c>
      <c r="CF4" s="3">
        <v>42860</v>
      </c>
      <c r="CI4" s="2">
        <v>2</v>
      </c>
      <c r="CJ4" s="2">
        <v>2</v>
      </c>
      <c r="CK4" s="2" t="s">
        <v>104</v>
      </c>
      <c r="CL4" s="2" t="s">
        <v>87</v>
      </c>
    </row>
    <row r="5" spans="1:91">
      <c r="A5" s="2" t="s">
        <v>88</v>
      </c>
      <c r="B5" s="2" t="s">
        <v>72</v>
      </c>
      <c r="C5" s="2" t="s">
        <v>73</v>
      </c>
      <c r="E5" s="2" t="str">
        <f>"019910066610"</f>
        <v>019910066610</v>
      </c>
      <c r="F5" s="3">
        <v>42858</v>
      </c>
      <c r="G5" s="2">
        <v>201711</v>
      </c>
      <c r="H5" s="2" t="s">
        <v>105</v>
      </c>
      <c r="I5" s="2" t="s">
        <v>106</v>
      </c>
      <c r="J5" s="2" t="s">
        <v>91</v>
      </c>
      <c r="K5" s="2" t="s">
        <v>77</v>
      </c>
      <c r="L5" s="2" t="s">
        <v>78</v>
      </c>
      <c r="M5" s="2" t="s">
        <v>79</v>
      </c>
      <c r="N5" s="2" t="s">
        <v>107</v>
      </c>
      <c r="O5" s="2" t="s">
        <v>81</v>
      </c>
      <c r="P5" s="2" t="str">
        <f>"1705200678                    "</f>
        <v xml:space="preserve">1705200678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4.66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42.1</v>
      </c>
      <c r="BM5" s="2">
        <v>5.89</v>
      </c>
      <c r="BN5" s="2">
        <v>47.99</v>
      </c>
      <c r="BO5" s="2">
        <v>47.99</v>
      </c>
      <c r="BQ5" s="2" t="s">
        <v>108</v>
      </c>
      <c r="BR5" s="2" t="s">
        <v>109</v>
      </c>
      <c r="BS5" s="3">
        <v>42859</v>
      </c>
      <c r="BT5" s="4">
        <v>0.34791666666666665</v>
      </c>
      <c r="BU5" s="2" t="s">
        <v>98</v>
      </c>
      <c r="BV5" s="2" t="s">
        <v>85</v>
      </c>
      <c r="BY5" s="2">
        <v>1200</v>
      </c>
      <c r="BZ5" s="2" t="s">
        <v>27</v>
      </c>
      <c r="CC5" s="2" t="s">
        <v>79</v>
      </c>
      <c r="CD5" s="2">
        <v>2090</v>
      </c>
      <c r="CE5" s="2" t="s">
        <v>110</v>
      </c>
      <c r="CF5" s="3">
        <v>42860</v>
      </c>
      <c r="CI5" s="2">
        <v>1</v>
      </c>
      <c r="CJ5" s="2">
        <v>1</v>
      </c>
      <c r="CK5" s="2">
        <v>21</v>
      </c>
      <c r="CL5" s="2" t="s">
        <v>87</v>
      </c>
    </row>
    <row r="6" spans="1:91">
      <c r="A6" s="2" t="s">
        <v>88</v>
      </c>
      <c r="B6" s="2" t="s">
        <v>72</v>
      </c>
      <c r="C6" s="2" t="s">
        <v>73</v>
      </c>
      <c r="E6" s="2" t="str">
        <f>"009936102615"</f>
        <v>009936102615</v>
      </c>
      <c r="F6" s="3">
        <v>42858</v>
      </c>
      <c r="G6" s="2">
        <v>201711</v>
      </c>
      <c r="H6" s="2" t="s">
        <v>111</v>
      </c>
      <c r="I6" s="2" t="s">
        <v>112</v>
      </c>
      <c r="J6" s="2" t="s">
        <v>91</v>
      </c>
      <c r="K6" s="2" t="s">
        <v>77</v>
      </c>
      <c r="L6" s="2" t="s">
        <v>113</v>
      </c>
      <c r="M6" s="2" t="s">
        <v>114</v>
      </c>
      <c r="N6" s="2" t="s">
        <v>115</v>
      </c>
      <c r="O6" s="2" t="s">
        <v>81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9.74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3</v>
      </c>
      <c r="BJ6" s="2">
        <v>2.4</v>
      </c>
      <c r="BK6" s="2">
        <v>3</v>
      </c>
      <c r="BL6" s="2">
        <v>88.04</v>
      </c>
      <c r="BM6" s="2">
        <v>12.33</v>
      </c>
      <c r="BN6" s="2">
        <v>100.37</v>
      </c>
      <c r="BO6" s="2">
        <v>100.37</v>
      </c>
      <c r="BQ6" s="2" t="s">
        <v>116</v>
      </c>
      <c r="BR6" s="2" t="s">
        <v>117</v>
      </c>
      <c r="BS6" s="3">
        <v>42859</v>
      </c>
      <c r="BT6" s="4">
        <v>0.43611111111111112</v>
      </c>
      <c r="BU6" s="2" t="s">
        <v>118</v>
      </c>
      <c r="BV6" s="2" t="s">
        <v>85</v>
      </c>
      <c r="BY6" s="2">
        <v>11803</v>
      </c>
      <c r="BZ6" s="2" t="s">
        <v>27</v>
      </c>
      <c r="CA6" s="2" t="s">
        <v>119</v>
      </c>
      <c r="CC6" s="2" t="s">
        <v>114</v>
      </c>
      <c r="CD6" s="2">
        <v>157</v>
      </c>
      <c r="CE6" s="2" t="s">
        <v>120</v>
      </c>
      <c r="CF6" s="3">
        <v>42860</v>
      </c>
      <c r="CI6" s="2">
        <v>1</v>
      </c>
      <c r="CJ6" s="2">
        <v>1</v>
      </c>
      <c r="CK6" s="2">
        <v>24</v>
      </c>
      <c r="CL6" s="2" t="s">
        <v>87</v>
      </c>
    </row>
    <row r="7" spans="1:91">
      <c r="A7" s="2" t="s">
        <v>88</v>
      </c>
      <c r="B7" s="2" t="s">
        <v>72</v>
      </c>
      <c r="C7" s="2" t="s">
        <v>73</v>
      </c>
      <c r="E7" s="2" t="str">
        <f>"009935957131"</f>
        <v>009935957131</v>
      </c>
      <c r="F7" s="3">
        <v>42857</v>
      </c>
      <c r="G7" s="2">
        <v>201711</v>
      </c>
      <c r="H7" s="2" t="s">
        <v>78</v>
      </c>
      <c r="I7" s="2" t="s">
        <v>79</v>
      </c>
      <c r="J7" s="2" t="s">
        <v>91</v>
      </c>
      <c r="K7" s="2" t="s">
        <v>77</v>
      </c>
      <c r="L7" s="2" t="s">
        <v>111</v>
      </c>
      <c r="M7" s="2" t="s">
        <v>112</v>
      </c>
      <c r="N7" s="2" t="s">
        <v>91</v>
      </c>
      <c r="O7" s="2" t="s">
        <v>81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6.02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0.3</v>
      </c>
      <c r="BK7" s="2">
        <v>1</v>
      </c>
      <c r="BL7" s="2">
        <v>58.58</v>
      </c>
      <c r="BM7" s="2">
        <v>8.1999999999999993</v>
      </c>
      <c r="BN7" s="2">
        <v>66.78</v>
      </c>
      <c r="BO7" s="2">
        <v>66.78</v>
      </c>
      <c r="BQ7" s="2" t="s">
        <v>121</v>
      </c>
      <c r="BR7" s="2" t="s">
        <v>122</v>
      </c>
      <c r="BS7" s="3">
        <v>42858</v>
      </c>
      <c r="BT7" s="4">
        <v>0.41875000000000001</v>
      </c>
      <c r="BU7" s="2" t="s">
        <v>123</v>
      </c>
      <c r="BV7" s="2" t="s">
        <v>85</v>
      </c>
      <c r="BY7" s="2">
        <v>1292</v>
      </c>
      <c r="BZ7" s="2" t="s">
        <v>27</v>
      </c>
      <c r="CC7" s="2" t="s">
        <v>112</v>
      </c>
      <c r="CD7" s="2">
        <v>1034</v>
      </c>
      <c r="CE7" s="2" t="s">
        <v>110</v>
      </c>
      <c r="CF7" s="3">
        <v>42860</v>
      </c>
      <c r="CI7" s="2">
        <v>1</v>
      </c>
      <c r="CJ7" s="2">
        <v>1</v>
      </c>
      <c r="CK7" s="2">
        <v>24</v>
      </c>
      <c r="CL7" s="2" t="s">
        <v>87</v>
      </c>
    </row>
    <row r="8" spans="1:91">
      <c r="A8" s="2" t="s">
        <v>88</v>
      </c>
      <c r="B8" s="2" t="s">
        <v>72</v>
      </c>
      <c r="C8" s="2" t="s">
        <v>73</v>
      </c>
      <c r="E8" s="2" t="str">
        <f>"009936333386"</f>
        <v>009936333386</v>
      </c>
      <c r="F8" s="3">
        <v>42857</v>
      </c>
      <c r="G8" s="2">
        <v>201711</v>
      </c>
      <c r="H8" s="2" t="s">
        <v>124</v>
      </c>
      <c r="I8" s="2" t="s">
        <v>125</v>
      </c>
      <c r="J8" s="2" t="s">
        <v>126</v>
      </c>
      <c r="K8" s="2" t="s">
        <v>77</v>
      </c>
      <c r="L8" s="2" t="s">
        <v>78</v>
      </c>
      <c r="M8" s="2" t="s">
        <v>79</v>
      </c>
      <c r="N8" s="2" t="s">
        <v>76</v>
      </c>
      <c r="O8" s="2" t="s">
        <v>95</v>
      </c>
      <c r="P8" s="2" t="str">
        <f>"PARTS                         "</f>
        <v xml:space="preserve">PARTS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7.37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5</v>
      </c>
      <c r="BI8" s="2">
        <v>5</v>
      </c>
      <c r="BJ8" s="2">
        <v>1.2</v>
      </c>
      <c r="BK8" s="2">
        <v>5</v>
      </c>
      <c r="BL8" s="2">
        <v>76.72</v>
      </c>
      <c r="BM8" s="2">
        <v>10.74</v>
      </c>
      <c r="BN8" s="2">
        <v>87.46</v>
      </c>
      <c r="BO8" s="2">
        <v>87.46</v>
      </c>
      <c r="BQ8" s="2" t="s">
        <v>127</v>
      </c>
      <c r="BR8" s="2" t="s">
        <v>128</v>
      </c>
      <c r="BS8" s="3">
        <v>42858</v>
      </c>
      <c r="BT8" s="4">
        <v>0.60277777777777775</v>
      </c>
      <c r="BU8" s="2" t="s">
        <v>102</v>
      </c>
      <c r="BV8" s="2" t="s">
        <v>85</v>
      </c>
      <c r="BY8" s="2">
        <v>6000</v>
      </c>
      <c r="CC8" s="2" t="s">
        <v>79</v>
      </c>
      <c r="CD8" s="2">
        <v>2054</v>
      </c>
      <c r="CE8" s="2" t="s">
        <v>120</v>
      </c>
      <c r="CF8" s="3">
        <v>42860</v>
      </c>
      <c r="CI8" s="2">
        <v>1</v>
      </c>
      <c r="CJ8" s="2">
        <v>1</v>
      </c>
      <c r="CK8" s="2" t="s">
        <v>129</v>
      </c>
      <c r="CL8" s="2" t="s">
        <v>87</v>
      </c>
    </row>
    <row r="9" spans="1:91">
      <c r="A9" s="2" t="s">
        <v>71</v>
      </c>
      <c r="B9" s="2" t="s">
        <v>72</v>
      </c>
      <c r="C9" s="2" t="s">
        <v>73</v>
      </c>
      <c r="E9" s="2" t="str">
        <f>"009936294934"</f>
        <v>009936294934</v>
      </c>
      <c r="F9" s="3">
        <v>42857</v>
      </c>
      <c r="G9" s="2">
        <v>201711</v>
      </c>
      <c r="H9" s="2" t="s">
        <v>130</v>
      </c>
      <c r="I9" s="2" t="s">
        <v>131</v>
      </c>
      <c r="J9" s="2" t="s">
        <v>91</v>
      </c>
      <c r="K9" s="2" t="s">
        <v>77</v>
      </c>
      <c r="L9" s="2" t="s">
        <v>78</v>
      </c>
      <c r="M9" s="2" t="s">
        <v>79</v>
      </c>
      <c r="N9" s="2" t="s">
        <v>91</v>
      </c>
      <c r="O9" s="2" t="s">
        <v>95</v>
      </c>
      <c r="P9" s="2" t="str">
        <f>"KISHAL                        "</f>
        <v xml:space="preserve">KISHAL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16.57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26</v>
      </c>
      <c r="BJ9" s="2">
        <v>44.1</v>
      </c>
      <c r="BK9" s="2">
        <v>44</v>
      </c>
      <c r="BL9" s="2">
        <v>166.3</v>
      </c>
      <c r="BM9" s="2">
        <v>23.28</v>
      </c>
      <c r="BN9" s="2">
        <v>189.58</v>
      </c>
      <c r="BO9" s="2">
        <v>189.58</v>
      </c>
      <c r="BQ9" s="2" t="s">
        <v>127</v>
      </c>
      <c r="BR9" s="2" t="s">
        <v>132</v>
      </c>
      <c r="BS9" s="3">
        <v>42858</v>
      </c>
      <c r="BT9" s="4">
        <v>0.6020833333333333</v>
      </c>
      <c r="BU9" s="2" t="s">
        <v>102</v>
      </c>
      <c r="BV9" s="2" t="s">
        <v>85</v>
      </c>
      <c r="BY9" s="2">
        <v>220400</v>
      </c>
      <c r="CC9" s="2" t="s">
        <v>79</v>
      </c>
      <c r="CD9" s="2">
        <v>2000</v>
      </c>
      <c r="CE9" s="2" t="s">
        <v>120</v>
      </c>
      <c r="CF9" s="3">
        <v>42860</v>
      </c>
      <c r="CI9" s="2">
        <v>1</v>
      </c>
      <c r="CJ9" s="2">
        <v>1</v>
      </c>
      <c r="CK9" s="2" t="s">
        <v>133</v>
      </c>
      <c r="CL9" s="2" t="s">
        <v>87</v>
      </c>
    </row>
    <row r="10" spans="1:91">
      <c r="A10" s="2" t="s">
        <v>88</v>
      </c>
      <c r="B10" s="2" t="s">
        <v>72</v>
      </c>
      <c r="C10" s="2" t="s">
        <v>73</v>
      </c>
      <c r="E10" s="2" t="str">
        <f>"009936333388"</f>
        <v>009936333388</v>
      </c>
      <c r="F10" s="3">
        <v>42857</v>
      </c>
      <c r="G10" s="2">
        <v>201711</v>
      </c>
      <c r="H10" s="2" t="s">
        <v>124</v>
      </c>
      <c r="I10" s="2" t="s">
        <v>125</v>
      </c>
      <c r="J10" s="2" t="s">
        <v>126</v>
      </c>
      <c r="K10" s="2" t="s">
        <v>77</v>
      </c>
      <c r="L10" s="2" t="s">
        <v>78</v>
      </c>
      <c r="M10" s="2" t="s">
        <v>79</v>
      </c>
      <c r="N10" s="2" t="s">
        <v>134</v>
      </c>
      <c r="O10" s="2" t="s">
        <v>95</v>
      </c>
      <c r="P10" s="2" t="str">
        <f>"PARTS                         "</f>
        <v xml:space="preserve">PARTS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7.37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76.72</v>
      </c>
      <c r="BM10" s="2">
        <v>10.74</v>
      </c>
      <c r="BN10" s="2">
        <v>87.46</v>
      </c>
      <c r="BO10" s="2">
        <v>87.46</v>
      </c>
      <c r="BQ10" s="2" t="s">
        <v>135</v>
      </c>
      <c r="BR10" s="2" t="s">
        <v>128</v>
      </c>
      <c r="BS10" s="3">
        <v>42858</v>
      </c>
      <c r="BT10" s="4">
        <v>0.6020833333333333</v>
      </c>
      <c r="BU10" s="2" t="s">
        <v>102</v>
      </c>
      <c r="BV10" s="2" t="s">
        <v>85</v>
      </c>
      <c r="BY10" s="2">
        <v>1200</v>
      </c>
      <c r="CC10" s="2" t="s">
        <v>79</v>
      </c>
      <c r="CD10" s="2">
        <v>2054</v>
      </c>
      <c r="CE10" s="2" t="s">
        <v>120</v>
      </c>
      <c r="CF10" s="3">
        <v>42860</v>
      </c>
      <c r="CI10" s="2">
        <v>1</v>
      </c>
      <c r="CJ10" s="2">
        <v>1</v>
      </c>
      <c r="CK10" s="2" t="s">
        <v>129</v>
      </c>
      <c r="CL10" s="2" t="s">
        <v>87</v>
      </c>
    </row>
    <row r="11" spans="1:91">
      <c r="A11" s="2" t="s">
        <v>88</v>
      </c>
      <c r="B11" s="2" t="s">
        <v>72</v>
      </c>
      <c r="C11" s="2" t="s">
        <v>73</v>
      </c>
      <c r="E11" s="2" t="str">
        <f>"009936115717"</f>
        <v>009936115717</v>
      </c>
      <c r="F11" s="3">
        <v>42857</v>
      </c>
      <c r="G11" s="2">
        <v>201711</v>
      </c>
      <c r="H11" s="2" t="s">
        <v>78</v>
      </c>
      <c r="I11" s="2" t="s">
        <v>79</v>
      </c>
      <c r="J11" s="2" t="s">
        <v>91</v>
      </c>
      <c r="K11" s="2" t="s">
        <v>77</v>
      </c>
      <c r="L11" s="2" t="s">
        <v>89</v>
      </c>
      <c r="M11" s="2" t="s">
        <v>90</v>
      </c>
      <c r="N11" s="2" t="s">
        <v>91</v>
      </c>
      <c r="O11" s="2" t="s">
        <v>95</v>
      </c>
      <c r="P11" s="2" t="str">
        <f t="shared" ref="P11:P16" si="0"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8.7799999999999994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8</v>
      </c>
      <c r="BJ11" s="2">
        <v>8.1999999999999993</v>
      </c>
      <c r="BK11" s="2">
        <v>9</v>
      </c>
      <c r="BL11" s="2">
        <v>90.42</v>
      </c>
      <c r="BM11" s="2">
        <v>12.66</v>
      </c>
      <c r="BN11" s="2">
        <v>103.08</v>
      </c>
      <c r="BO11" s="2">
        <v>103.08</v>
      </c>
      <c r="BQ11" s="2" t="s">
        <v>97</v>
      </c>
      <c r="BS11" s="3">
        <v>42859</v>
      </c>
      <c r="BT11" s="4">
        <v>0.4236111111111111</v>
      </c>
      <c r="BU11" s="2" t="s">
        <v>136</v>
      </c>
      <c r="BV11" s="2" t="s">
        <v>85</v>
      </c>
      <c r="BY11" s="2">
        <v>40920</v>
      </c>
      <c r="CA11" s="2" t="s">
        <v>137</v>
      </c>
      <c r="CC11" s="2" t="s">
        <v>90</v>
      </c>
      <c r="CD11" s="2">
        <v>6045</v>
      </c>
      <c r="CE11" s="2" t="s">
        <v>86</v>
      </c>
      <c r="CF11" s="3">
        <v>42859</v>
      </c>
      <c r="CI11" s="2">
        <v>2</v>
      </c>
      <c r="CJ11" s="2">
        <v>2</v>
      </c>
      <c r="CK11" s="2" t="s">
        <v>104</v>
      </c>
      <c r="CL11" s="2" t="s">
        <v>87</v>
      </c>
    </row>
    <row r="12" spans="1:91">
      <c r="A12" s="2" t="s">
        <v>88</v>
      </c>
      <c r="B12" s="2" t="s">
        <v>72</v>
      </c>
      <c r="C12" s="2" t="s">
        <v>73</v>
      </c>
      <c r="E12" s="2" t="str">
        <f>"009936115937"</f>
        <v>009936115937</v>
      </c>
      <c r="F12" s="3">
        <v>42857</v>
      </c>
      <c r="G12" s="2">
        <v>201711</v>
      </c>
      <c r="H12" s="2" t="s">
        <v>78</v>
      </c>
      <c r="I12" s="2" t="s">
        <v>79</v>
      </c>
      <c r="J12" s="2" t="s">
        <v>91</v>
      </c>
      <c r="K12" s="2" t="s">
        <v>77</v>
      </c>
      <c r="L12" s="2" t="s">
        <v>138</v>
      </c>
      <c r="M12" s="2" t="s">
        <v>139</v>
      </c>
      <c r="N12" s="2" t="s">
        <v>91</v>
      </c>
      <c r="O12" s="2" t="s">
        <v>95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7.3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</v>
      </c>
      <c r="BI12" s="2">
        <v>13</v>
      </c>
      <c r="BJ12" s="2">
        <v>19.5</v>
      </c>
      <c r="BK12" s="2">
        <v>20</v>
      </c>
      <c r="BL12" s="2">
        <v>76.05</v>
      </c>
      <c r="BM12" s="2">
        <v>10.65</v>
      </c>
      <c r="BN12" s="2">
        <v>86.7</v>
      </c>
      <c r="BO12" s="2">
        <v>86.7</v>
      </c>
      <c r="BQ12" s="2" t="s">
        <v>140</v>
      </c>
      <c r="BR12" s="2" t="s">
        <v>122</v>
      </c>
      <c r="BS12" s="3">
        <v>42858</v>
      </c>
      <c r="BT12" s="4">
        <v>0.5</v>
      </c>
      <c r="BU12" s="2" t="s">
        <v>141</v>
      </c>
      <c r="BV12" s="2" t="s">
        <v>85</v>
      </c>
      <c r="BY12" s="2">
        <v>97332</v>
      </c>
      <c r="CC12" s="2" t="s">
        <v>139</v>
      </c>
      <c r="CD12" s="2">
        <v>9301</v>
      </c>
      <c r="CE12" s="2" t="s">
        <v>86</v>
      </c>
      <c r="CF12" s="3">
        <v>42859</v>
      </c>
      <c r="CI12" s="2">
        <v>1</v>
      </c>
      <c r="CJ12" s="2">
        <v>1</v>
      </c>
      <c r="CK12" s="2" t="s">
        <v>142</v>
      </c>
      <c r="CL12" s="2" t="s">
        <v>87</v>
      </c>
    </row>
    <row r="13" spans="1:91">
      <c r="A13" s="2" t="s">
        <v>88</v>
      </c>
      <c r="B13" s="2" t="s">
        <v>72</v>
      </c>
      <c r="C13" s="2" t="s">
        <v>73</v>
      </c>
      <c r="E13" s="2" t="str">
        <f>"009935802840"</f>
        <v>009935802840</v>
      </c>
      <c r="F13" s="3">
        <v>42857</v>
      </c>
      <c r="G13" s="2">
        <v>201711</v>
      </c>
      <c r="H13" s="2" t="s">
        <v>78</v>
      </c>
      <c r="I13" s="2" t="s">
        <v>79</v>
      </c>
      <c r="J13" s="2" t="s">
        <v>91</v>
      </c>
      <c r="K13" s="2" t="s">
        <v>77</v>
      </c>
      <c r="L13" s="2" t="s">
        <v>143</v>
      </c>
      <c r="M13" s="2" t="s">
        <v>144</v>
      </c>
      <c r="N13" s="2" t="s">
        <v>91</v>
      </c>
      <c r="O13" s="2" t="s">
        <v>95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13.4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27</v>
      </c>
      <c r="BJ13" s="2">
        <v>43.8</v>
      </c>
      <c r="BK13" s="2">
        <v>44</v>
      </c>
      <c r="BL13" s="2">
        <v>135.43</v>
      </c>
      <c r="BM13" s="2">
        <v>18.96</v>
      </c>
      <c r="BN13" s="2">
        <v>154.38999999999999</v>
      </c>
      <c r="BO13" s="2">
        <v>154.38999999999999</v>
      </c>
      <c r="BQ13" s="2" t="s">
        <v>145</v>
      </c>
      <c r="BR13" s="2" t="s">
        <v>122</v>
      </c>
      <c r="BS13" s="3">
        <v>42858</v>
      </c>
      <c r="BT13" s="4">
        <v>0.48541666666666666</v>
      </c>
      <c r="BU13" s="2" t="s">
        <v>145</v>
      </c>
      <c r="BV13" s="2" t="s">
        <v>85</v>
      </c>
      <c r="BY13" s="2">
        <v>219186</v>
      </c>
      <c r="CC13" s="2" t="s">
        <v>144</v>
      </c>
      <c r="CD13" s="2">
        <v>2940</v>
      </c>
      <c r="CE13" s="2" t="s">
        <v>86</v>
      </c>
      <c r="CF13" s="3">
        <v>42860</v>
      </c>
      <c r="CI13" s="2">
        <v>1</v>
      </c>
      <c r="CJ13" s="2">
        <v>1</v>
      </c>
      <c r="CK13" s="2" t="s">
        <v>146</v>
      </c>
      <c r="CL13" s="2" t="s">
        <v>87</v>
      </c>
    </row>
    <row r="14" spans="1:91">
      <c r="A14" s="2" t="s">
        <v>88</v>
      </c>
      <c r="B14" s="2" t="s">
        <v>72</v>
      </c>
      <c r="C14" s="2" t="s">
        <v>73</v>
      </c>
      <c r="E14" s="2" t="str">
        <f>"009935903624"</f>
        <v>009935903624</v>
      </c>
      <c r="F14" s="3">
        <v>42857</v>
      </c>
      <c r="G14" s="2">
        <v>201711</v>
      </c>
      <c r="H14" s="2" t="s">
        <v>111</v>
      </c>
      <c r="I14" s="2" t="s">
        <v>112</v>
      </c>
      <c r="J14" s="2" t="s">
        <v>147</v>
      </c>
      <c r="K14" s="2" t="s">
        <v>77</v>
      </c>
      <c r="L14" s="2" t="s">
        <v>78</v>
      </c>
      <c r="M14" s="2" t="s">
        <v>79</v>
      </c>
      <c r="N14" s="2" t="s">
        <v>91</v>
      </c>
      <c r="O14" s="2" t="s">
        <v>95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16.03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19</v>
      </c>
      <c r="BJ14" s="2">
        <v>52.7</v>
      </c>
      <c r="BK14" s="2">
        <v>53</v>
      </c>
      <c r="BL14" s="2">
        <v>161</v>
      </c>
      <c r="BM14" s="2">
        <v>22.54</v>
      </c>
      <c r="BN14" s="2">
        <v>183.54</v>
      </c>
      <c r="BO14" s="2">
        <v>183.54</v>
      </c>
      <c r="BQ14" s="2" t="s">
        <v>148</v>
      </c>
      <c r="BR14" s="2" t="s">
        <v>149</v>
      </c>
      <c r="BS14" s="3">
        <v>42858</v>
      </c>
      <c r="BT14" s="4">
        <v>0.60277777777777775</v>
      </c>
      <c r="BU14" s="2" t="s">
        <v>102</v>
      </c>
      <c r="BV14" s="2" t="s">
        <v>85</v>
      </c>
      <c r="BY14" s="2">
        <v>263440</v>
      </c>
      <c r="CC14" s="2" t="s">
        <v>79</v>
      </c>
      <c r="CD14" s="2">
        <v>2000</v>
      </c>
      <c r="CE14" s="2" t="s">
        <v>120</v>
      </c>
      <c r="CF14" s="3">
        <v>42860</v>
      </c>
      <c r="CI14" s="2">
        <v>1</v>
      </c>
      <c r="CJ14" s="2">
        <v>1</v>
      </c>
      <c r="CK14" s="2" t="s">
        <v>129</v>
      </c>
      <c r="CL14" s="2" t="s">
        <v>87</v>
      </c>
    </row>
    <row r="15" spans="1:91">
      <c r="A15" s="2" t="s">
        <v>88</v>
      </c>
      <c r="B15" s="2" t="s">
        <v>72</v>
      </c>
      <c r="C15" s="2" t="s">
        <v>73</v>
      </c>
      <c r="E15" s="2" t="str">
        <f>"009935903628"</f>
        <v>009935903628</v>
      </c>
      <c r="F15" s="3">
        <v>42857</v>
      </c>
      <c r="G15" s="2">
        <v>201711</v>
      </c>
      <c r="H15" s="2" t="s">
        <v>111</v>
      </c>
      <c r="I15" s="2" t="s">
        <v>112</v>
      </c>
      <c r="J15" s="2" t="s">
        <v>147</v>
      </c>
      <c r="K15" s="2" t="s">
        <v>77</v>
      </c>
      <c r="L15" s="2" t="s">
        <v>78</v>
      </c>
      <c r="M15" s="2" t="s">
        <v>79</v>
      </c>
      <c r="N15" s="2" t="s">
        <v>80</v>
      </c>
      <c r="O15" s="2" t="s">
        <v>95</v>
      </c>
      <c r="P15" s="2" t="str">
        <f t="shared" si="0"/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34.71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3</v>
      </c>
      <c r="BI15" s="2">
        <v>68</v>
      </c>
      <c r="BJ15" s="2">
        <v>134.4</v>
      </c>
      <c r="BK15" s="2">
        <v>135</v>
      </c>
      <c r="BL15" s="2">
        <v>342.86</v>
      </c>
      <c r="BM15" s="2">
        <v>48</v>
      </c>
      <c r="BN15" s="2">
        <v>390.86</v>
      </c>
      <c r="BO15" s="2">
        <v>390.86</v>
      </c>
      <c r="BQ15" s="2" t="s">
        <v>98</v>
      </c>
      <c r="BR15" s="2" t="s">
        <v>150</v>
      </c>
      <c r="BS15" s="3">
        <v>42858</v>
      </c>
      <c r="BT15" s="4">
        <v>0.60277777777777775</v>
      </c>
      <c r="BU15" s="2" t="s">
        <v>102</v>
      </c>
      <c r="BV15" s="2" t="s">
        <v>85</v>
      </c>
      <c r="BY15" s="2">
        <v>672000</v>
      </c>
      <c r="CC15" s="2" t="s">
        <v>79</v>
      </c>
      <c r="CD15" s="2">
        <v>2000</v>
      </c>
      <c r="CE15" s="2" t="s">
        <v>120</v>
      </c>
      <c r="CF15" s="3">
        <v>42860</v>
      </c>
      <c r="CI15" s="2">
        <v>1</v>
      </c>
      <c r="CJ15" s="2">
        <v>1</v>
      </c>
      <c r="CK15" s="2" t="s">
        <v>129</v>
      </c>
      <c r="CL15" s="2" t="s">
        <v>87</v>
      </c>
    </row>
    <row r="16" spans="1:91">
      <c r="A16" s="2" t="s">
        <v>88</v>
      </c>
      <c r="B16" s="2" t="s">
        <v>72</v>
      </c>
      <c r="C16" s="2" t="s">
        <v>73</v>
      </c>
      <c r="E16" s="2" t="str">
        <f>"009935473711"</f>
        <v>009935473711</v>
      </c>
      <c r="F16" s="3">
        <v>42857</v>
      </c>
      <c r="G16" s="2">
        <v>201711</v>
      </c>
      <c r="H16" s="2" t="s">
        <v>78</v>
      </c>
      <c r="I16" s="2" t="s">
        <v>79</v>
      </c>
      <c r="J16" s="2" t="s">
        <v>91</v>
      </c>
      <c r="K16" s="2" t="s">
        <v>77</v>
      </c>
      <c r="L16" s="2" t="s">
        <v>151</v>
      </c>
      <c r="M16" s="2" t="s">
        <v>152</v>
      </c>
      <c r="N16" s="2" t="s">
        <v>91</v>
      </c>
      <c r="O16" s="2" t="s">
        <v>95</v>
      </c>
      <c r="P16" s="2" t="str">
        <f t="shared" si="0"/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28.65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3</v>
      </c>
      <c r="BI16" s="2">
        <v>71</v>
      </c>
      <c r="BJ16" s="2">
        <v>103.5</v>
      </c>
      <c r="BK16" s="2">
        <v>104</v>
      </c>
      <c r="BL16" s="2">
        <v>283.88</v>
      </c>
      <c r="BM16" s="2">
        <v>39.74</v>
      </c>
      <c r="BN16" s="2">
        <v>323.62</v>
      </c>
      <c r="BO16" s="2">
        <v>323.62</v>
      </c>
      <c r="BQ16" s="2" t="s">
        <v>153</v>
      </c>
      <c r="BR16" s="2" t="s">
        <v>122</v>
      </c>
      <c r="BS16" s="3">
        <v>42858</v>
      </c>
      <c r="BT16" s="4">
        <v>0.33333333333333331</v>
      </c>
      <c r="BU16" s="2" t="s">
        <v>154</v>
      </c>
      <c r="BV16" s="2" t="s">
        <v>85</v>
      </c>
      <c r="BY16" s="2">
        <v>298278</v>
      </c>
      <c r="CA16" s="2" t="s">
        <v>155</v>
      </c>
      <c r="CC16" s="2" t="s">
        <v>152</v>
      </c>
      <c r="CD16" s="2">
        <v>700</v>
      </c>
      <c r="CE16" s="2" t="s">
        <v>103</v>
      </c>
      <c r="CF16" s="3">
        <v>42858</v>
      </c>
      <c r="CI16" s="2">
        <v>1</v>
      </c>
      <c r="CJ16" s="2">
        <v>1</v>
      </c>
      <c r="CK16" s="2" t="s">
        <v>142</v>
      </c>
      <c r="CL16" s="2" t="s">
        <v>87</v>
      </c>
    </row>
    <row r="17" spans="1:90">
      <c r="A17" s="2" t="s">
        <v>88</v>
      </c>
      <c r="B17" s="2" t="s">
        <v>72</v>
      </c>
      <c r="C17" s="2" t="s">
        <v>73</v>
      </c>
      <c r="E17" s="2" t="str">
        <f>"009935968674"</f>
        <v>009935968674</v>
      </c>
      <c r="F17" s="3">
        <v>42857</v>
      </c>
      <c r="G17" s="2">
        <v>201711</v>
      </c>
      <c r="H17" s="2" t="s">
        <v>156</v>
      </c>
      <c r="I17" s="2" t="s">
        <v>157</v>
      </c>
      <c r="J17" s="2" t="s">
        <v>107</v>
      </c>
      <c r="K17" s="2" t="s">
        <v>77</v>
      </c>
      <c r="L17" s="2" t="s">
        <v>158</v>
      </c>
      <c r="M17" s="2" t="s">
        <v>159</v>
      </c>
      <c r="N17" s="2" t="s">
        <v>107</v>
      </c>
      <c r="O17" s="2" t="s">
        <v>95</v>
      </c>
      <c r="P17" s="2" t="str">
        <f>"NO REF                        "</f>
        <v xml:space="preserve">NO REF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12.54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23</v>
      </c>
      <c r="BJ17" s="2">
        <v>25.2</v>
      </c>
      <c r="BK17" s="2">
        <v>26</v>
      </c>
      <c r="BL17" s="2">
        <v>127.03</v>
      </c>
      <c r="BM17" s="2">
        <v>17.78</v>
      </c>
      <c r="BN17" s="2">
        <v>144.81</v>
      </c>
      <c r="BO17" s="2">
        <v>144.81</v>
      </c>
      <c r="BQ17" s="2" t="s">
        <v>127</v>
      </c>
      <c r="BR17" s="2" t="s">
        <v>160</v>
      </c>
      <c r="BS17" s="3">
        <v>42858</v>
      </c>
      <c r="BT17" s="4">
        <v>0.6020833333333333</v>
      </c>
      <c r="BU17" s="2" t="s">
        <v>102</v>
      </c>
      <c r="BV17" s="2" t="s">
        <v>85</v>
      </c>
      <c r="BY17" s="2">
        <v>126000</v>
      </c>
      <c r="CC17" s="2" t="s">
        <v>159</v>
      </c>
      <c r="CD17" s="2">
        <v>2146</v>
      </c>
      <c r="CE17" s="2" t="s">
        <v>120</v>
      </c>
      <c r="CF17" s="3">
        <v>42860</v>
      </c>
      <c r="CI17" s="2">
        <v>1</v>
      </c>
      <c r="CJ17" s="2">
        <v>1</v>
      </c>
      <c r="CK17" s="2" t="s">
        <v>161</v>
      </c>
      <c r="CL17" s="2" t="s">
        <v>87</v>
      </c>
    </row>
    <row r="18" spans="1:90">
      <c r="A18" s="2" t="s">
        <v>88</v>
      </c>
      <c r="B18" s="2" t="s">
        <v>72</v>
      </c>
      <c r="C18" s="2" t="s">
        <v>73</v>
      </c>
      <c r="E18" s="2" t="str">
        <f>"019910366946"</f>
        <v>019910366946</v>
      </c>
      <c r="F18" s="3">
        <v>42858</v>
      </c>
      <c r="G18" s="2">
        <v>201711</v>
      </c>
      <c r="H18" s="2" t="s">
        <v>105</v>
      </c>
      <c r="I18" s="2" t="s">
        <v>106</v>
      </c>
      <c r="J18" s="2" t="s">
        <v>91</v>
      </c>
      <c r="K18" s="2" t="s">
        <v>77</v>
      </c>
      <c r="L18" s="2" t="s">
        <v>158</v>
      </c>
      <c r="M18" s="2" t="s">
        <v>159</v>
      </c>
      <c r="N18" s="2" t="s">
        <v>91</v>
      </c>
      <c r="O18" s="2" t="s">
        <v>95</v>
      </c>
      <c r="P18" s="2" t="str">
        <f>"1705200841                    "</f>
        <v xml:space="preserve">1705200841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167.03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11</v>
      </c>
      <c r="BI18" s="2">
        <v>301.5</v>
      </c>
      <c r="BJ18" s="2">
        <v>400.6</v>
      </c>
      <c r="BK18" s="2">
        <v>401</v>
      </c>
      <c r="BL18" s="2">
        <v>1514.75</v>
      </c>
      <c r="BM18" s="2">
        <v>212.07</v>
      </c>
      <c r="BN18" s="2">
        <v>1726.82</v>
      </c>
      <c r="BO18" s="2">
        <v>1726.82</v>
      </c>
      <c r="BQ18" s="2" t="s">
        <v>100</v>
      </c>
      <c r="BR18" s="2" t="s">
        <v>109</v>
      </c>
      <c r="BS18" s="3">
        <v>42863</v>
      </c>
      <c r="BT18" s="4">
        <v>0.70624999999999993</v>
      </c>
      <c r="BU18" s="2" t="s">
        <v>162</v>
      </c>
      <c r="BV18" s="2" t="s">
        <v>87</v>
      </c>
      <c r="BW18" s="2" t="s">
        <v>163</v>
      </c>
      <c r="BX18" s="2" t="s">
        <v>164</v>
      </c>
      <c r="BY18" s="2">
        <v>2003026.81</v>
      </c>
      <c r="CC18" s="2" t="s">
        <v>159</v>
      </c>
      <c r="CD18" s="2">
        <v>2146</v>
      </c>
      <c r="CE18" s="2" t="s">
        <v>165</v>
      </c>
      <c r="CF18" s="3">
        <v>42865</v>
      </c>
      <c r="CI18" s="2">
        <v>2</v>
      </c>
      <c r="CJ18" s="2">
        <v>3</v>
      </c>
      <c r="CK18" s="2" t="s">
        <v>104</v>
      </c>
      <c r="CL18" s="2" t="s">
        <v>87</v>
      </c>
    </row>
    <row r="19" spans="1:90">
      <c r="A19" s="2" t="s">
        <v>88</v>
      </c>
      <c r="B19" s="2" t="s">
        <v>72</v>
      </c>
      <c r="C19" s="2" t="s">
        <v>73</v>
      </c>
      <c r="E19" s="2" t="str">
        <f>"009934799032"</f>
        <v>009934799032</v>
      </c>
      <c r="F19" s="3">
        <v>42859</v>
      </c>
      <c r="G19" s="2">
        <v>201711</v>
      </c>
      <c r="H19" s="2" t="s">
        <v>166</v>
      </c>
      <c r="I19" s="2" t="s">
        <v>167</v>
      </c>
      <c r="J19" s="2" t="s">
        <v>76</v>
      </c>
      <c r="K19" s="2" t="s">
        <v>77</v>
      </c>
      <c r="L19" s="2" t="s">
        <v>158</v>
      </c>
      <c r="M19" s="2" t="s">
        <v>159</v>
      </c>
      <c r="N19" s="2" t="s">
        <v>76</v>
      </c>
      <c r="O19" s="2" t="s">
        <v>95</v>
      </c>
      <c r="P19" s="2" t="str">
        <f t="shared" ref="P19:P49" si="1"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20.05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36.5</v>
      </c>
      <c r="BJ19" s="2">
        <v>42.2</v>
      </c>
      <c r="BK19" s="2">
        <v>43</v>
      </c>
      <c r="BL19" s="2">
        <v>186.22</v>
      </c>
      <c r="BM19" s="2">
        <v>26.07</v>
      </c>
      <c r="BN19" s="2">
        <v>212.29</v>
      </c>
      <c r="BO19" s="2">
        <v>212.29</v>
      </c>
      <c r="BQ19" s="2" t="s">
        <v>100</v>
      </c>
      <c r="BR19" s="2" t="s">
        <v>168</v>
      </c>
      <c r="BS19" s="3">
        <v>42860</v>
      </c>
      <c r="BT19" s="4">
        <v>0.47083333333333338</v>
      </c>
      <c r="BU19" s="2" t="s">
        <v>98</v>
      </c>
      <c r="BV19" s="2" t="s">
        <v>85</v>
      </c>
      <c r="BY19" s="2">
        <v>211200</v>
      </c>
      <c r="CC19" s="2" t="s">
        <v>159</v>
      </c>
      <c r="CD19" s="2">
        <v>2146</v>
      </c>
      <c r="CE19" s="2" t="s">
        <v>120</v>
      </c>
      <c r="CF19" s="3">
        <v>42863</v>
      </c>
      <c r="CI19" s="2">
        <v>1</v>
      </c>
      <c r="CJ19" s="2">
        <v>1</v>
      </c>
      <c r="CK19" s="2" t="s">
        <v>161</v>
      </c>
      <c r="CL19" s="2" t="s">
        <v>87</v>
      </c>
    </row>
    <row r="20" spans="1:90">
      <c r="A20" s="2" t="s">
        <v>71</v>
      </c>
      <c r="B20" s="2" t="s">
        <v>72</v>
      </c>
      <c r="C20" s="2" t="s">
        <v>73</v>
      </c>
      <c r="E20" s="2" t="str">
        <f>"069908259544"</f>
        <v>069908259544</v>
      </c>
      <c r="F20" s="3">
        <v>42859</v>
      </c>
      <c r="G20" s="2">
        <v>201711</v>
      </c>
      <c r="H20" s="2" t="s">
        <v>169</v>
      </c>
      <c r="I20" s="2" t="s">
        <v>170</v>
      </c>
      <c r="J20" s="2" t="s">
        <v>76</v>
      </c>
      <c r="K20" s="2" t="s">
        <v>77</v>
      </c>
      <c r="L20" s="2" t="s">
        <v>158</v>
      </c>
      <c r="M20" s="2" t="s">
        <v>159</v>
      </c>
      <c r="N20" s="2" t="s">
        <v>171</v>
      </c>
      <c r="O20" s="2" t="s">
        <v>81</v>
      </c>
      <c r="P20" s="2" t="str">
        <f t="shared" si="1"/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4.66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42.1</v>
      </c>
      <c r="BM20" s="2">
        <v>5.89</v>
      </c>
      <c r="BN20" s="2">
        <v>47.99</v>
      </c>
      <c r="BO20" s="2">
        <v>47.99</v>
      </c>
      <c r="BQ20" s="2" t="s">
        <v>172</v>
      </c>
      <c r="BR20" s="2" t="s">
        <v>173</v>
      </c>
      <c r="BS20" s="3">
        <v>42860</v>
      </c>
      <c r="BT20" s="4">
        <v>0.40208333333333335</v>
      </c>
      <c r="BU20" s="2" t="s">
        <v>174</v>
      </c>
      <c r="BV20" s="2" t="s">
        <v>85</v>
      </c>
      <c r="BY20" s="2">
        <v>1200</v>
      </c>
      <c r="BZ20" s="2" t="s">
        <v>27</v>
      </c>
      <c r="CA20" s="2" t="s">
        <v>175</v>
      </c>
      <c r="CC20" s="2" t="s">
        <v>159</v>
      </c>
      <c r="CD20" s="2">
        <v>2146</v>
      </c>
      <c r="CE20" s="2" t="s">
        <v>120</v>
      </c>
      <c r="CF20" s="3">
        <v>42863</v>
      </c>
      <c r="CI20" s="2">
        <v>1</v>
      </c>
      <c r="CJ20" s="2">
        <v>1</v>
      </c>
      <c r="CK20" s="2">
        <v>21</v>
      </c>
      <c r="CL20" s="2" t="s">
        <v>87</v>
      </c>
    </row>
    <row r="21" spans="1:90">
      <c r="A21" s="2" t="s">
        <v>88</v>
      </c>
      <c r="B21" s="2" t="s">
        <v>72</v>
      </c>
      <c r="C21" s="2" t="s">
        <v>73</v>
      </c>
      <c r="E21" s="2" t="str">
        <f>"009935501481"</f>
        <v>009935501481</v>
      </c>
      <c r="F21" s="3">
        <v>42857</v>
      </c>
      <c r="G21" s="2">
        <v>201711</v>
      </c>
      <c r="H21" s="2" t="s">
        <v>78</v>
      </c>
      <c r="I21" s="2" t="s">
        <v>79</v>
      </c>
      <c r="J21" s="2" t="s">
        <v>91</v>
      </c>
      <c r="K21" s="2" t="s">
        <v>77</v>
      </c>
      <c r="L21" s="2" t="s">
        <v>176</v>
      </c>
      <c r="M21" s="2" t="s">
        <v>177</v>
      </c>
      <c r="N21" s="2" t="s">
        <v>91</v>
      </c>
      <c r="O21" s="2" t="s">
        <v>95</v>
      </c>
      <c r="P21" s="2" t="str">
        <f t="shared" si="1"/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10.86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3</v>
      </c>
      <c r="BI21" s="2">
        <v>29</v>
      </c>
      <c r="BJ21" s="2">
        <v>33.1</v>
      </c>
      <c r="BK21" s="2">
        <v>34</v>
      </c>
      <c r="BL21" s="2">
        <v>110.69</v>
      </c>
      <c r="BM21" s="2">
        <v>15.5</v>
      </c>
      <c r="BN21" s="2">
        <v>126.19</v>
      </c>
      <c r="BO21" s="2">
        <v>126.19</v>
      </c>
      <c r="BQ21" s="2" t="s">
        <v>178</v>
      </c>
      <c r="BR21" s="2" t="s">
        <v>122</v>
      </c>
      <c r="BS21" s="3">
        <v>42859</v>
      </c>
      <c r="BT21" s="4">
        <v>0.59027777777777779</v>
      </c>
      <c r="BU21" s="2" t="s">
        <v>179</v>
      </c>
      <c r="BV21" s="2" t="s">
        <v>85</v>
      </c>
      <c r="BY21" s="2">
        <v>165746</v>
      </c>
      <c r="CC21" s="2" t="s">
        <v>177</v>
      </c>
      <c r="CD21" s="2">
        <v>4091</v>
      </c>
      <c r="CE21" s="2" t="s">
        <v>86</v>
      </c>
      <c r="CF21" s="3">
        <v>42860</v>
      </c>
      <c r="CI21" s="2">
        <v>6</v>
      </c>
      <c r="CJ21" s="2">
        <v>2</v>
      </c>
      <c r="CK21" s="2" t="s">
        <v>146</v>
      </c>
      <c r="CL21" s="2" t="s">
        <v>87</v>
      </c>
    </row>
    <row r="22" spans="1:90">
      <c r="A22" s="2" t="s">
        <v>88</v>
      </c>
      <c r="B22" s="2" t="s">
        <v>72</v>
      </c>
      <c r="C22" s="2" t="s">
        <v>73</v>
      </c>
      <c r="E22" s="2" t="str">
        <f>"089901328000"</f>
        <v>089901328000</v>
      </c>
      <c r="F22" s="3">
        <v>42859</v>
      </c>
      <c r="G22" s="2">
        <v>201711</v>
      </c>
      <c r="H22" s="2" t="s">
        <v>180</v>
      </c>
      <c r="I22" s="2" t="s">
        <v>181</v>
      </c>
      <c r="J22" s="2" t="s">
        <v>76</v>
      </c>
      <c r="K22" s="2" t="s">
        <v>77</v>
      </c>
      <c r="L22" s="2" t="s">
        <v>78</v>
      </c>
      <c r="M22" s="2" t="s">
        <v>79</v>
      </c>
      <c r="N22" s="2" t="s">
        <v>182</v>
      </c>
      <c r="O22" s="2" t="s">
        <v>95</v>
      </c>
      <c r="P22" s="2" t="str">
        <f t="shared" si="1"/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8.73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83.93</v>
      </c>
      <c r="BM22" s="2">
        <v>11.75</v>
      </c>
      <c r="BN22" s="2">
        <v>95.68</v>
      </c>
      <c r="BO22" s="2">
        <v>95.68</v>
      </c>
      <c r="BQ22" s="2" t="s">
        <v>183</v>
      </c>
      <c r="BR22" s="2" t="s">
        <v>184</v>
      </c>
      <c r="BS22" s="3">
        <v>42860</v>
      </c>
      <c r="BT22" s="4">
        <v>0.47083333333333338</v>
      </c>
      <c r="BU22" s="2" t="s">
        <v>98</v>
      </c>
      <c r="BV22" s="2" t="s">
        <v>85</v>
      </c>
      <c r="BY22" s="2">
        <v>1200</v>
      </c>
      <c r="CC22" s="2" t="s">
        <v>79</v>
      </c>
      <c r="CD22" s="2">
        <v>2000</v>
      </c>
      <c r="CE22" s="2" t="s">
        <v>120</v>
      </c>
      <c r="CF22" s="3">
        <v>42863</v>
      </c>
      <c r="CI22" s="2">
        <v>1</v>
      </c>
      <c r="CJ22" s="2">
        <v>1</v>
      </c>
      <c r="CK22" s="2" t="s">
        <v>185</v>
      </c>
      <c r="CL22" s="2" t="s">
        <v>87</v>
      </c>
    </row>
    <row r="23" spans="1:90">
      <c r="A23" s="2" t="s">
        <v>88</v>
      </c>
      <c r="B23" s="2" t="s">
        <v>72</v>
      </c>
      <c r="C23" s="2" t="s">
        <v>73</v>
      </c>
      <c r="E23" s="2" t="str">
        <f>"009936078468"</f>
        <v>009936078468</v>
      </c>
      <c r="F23" s="3">
        <v>42857</v>
      </c>
      <c r="G23" s="2">
        <v>201711</v>
      </c>
      <c r="H23" s="2" t="s">
        <v>78</v>
      </c>
      <c r="I23" s="2" t="s">
        <v>79</v>
      </c>
      <c r="J23" s="2" t="s">
        <v>91</v>
      </c>
      <c r="K23" s="2" t="s">
        <v>77</v>
      </c>
      <c r="L23" s="2" t="s">
        <v>186</v>
      </c>
      <c r="M23" s="2" t="s">
        <v>106</v>
      </c>
      <c r="N23" s="2" t="s">
        <v>91</v>
      </c>
      <c r="O23" s="2" t="s">
        <v>95</v>
      </c>
      <c r="P23" s="2" t="str">
        <f t="shared" si="1"/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19.670000000000002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12</v>
      </c>
      <c r="BJ23" s="2">
        <v>43.8</v>
      </c>
      <c r="BK23" s="2">
        <v>44</v>
      </c>
      <c r="BL23" s="2">
        <v>196.43</v>
      </c>
      <c r="BM23" s="2">
        <v>27.5</v>
      </c>
      <c r="BN23" s="2">
        <v>223.93</v>
      </c>
      <c r="BO23" s="2">
        <v>223.93</v>
      </c>
      <c r="BQ23" s="2" t="s">
        <v>109</v>
      </c>
      <c r="BR23" s="2" t="s">
        <v>122</v>
      </c>
      <c r="BS23" s="3">
        <v>42859</v>
      </c>
      <c r="BT23" s="4">
        <v>0.46527777777777773</v>
      </c>
      <c r="BU23" s="2" t="s">
        <v>187</v>
      </c>
      <c r="BV23" s="2" t="s">
        <v>85</v>
      </c>
      <c r="BY23" s="2">
        <v>219186</v>
      </c>
      <c r="CC23" s="2" t="s">
        <v>106</v>
      </c>
      <c r="CD23" s="2">
        <v>7700</v>
      </c>
      <c r="CE23" s="2" t="s">
        <v>86</v>
      </c>
      <c r="CF23" s="3">
        <v>42859</v>
      </c>
      <c r="CI23" s="2">
        <v>2</v>
      </c>
      <c r="CJ23" s="2">
        <v>2</v>
      </c>
      <c r="CK23" s="2" t="s">
        <v>104</v>
      </c>
      <c r="CL23" s="2" t="s">
        <v>87</v>
      </c>
    </row>
    <row r="24" spans="1:90">
      <c r="A24" s="2" t="s">
        <v>88</v>
      </c>
      <c r="B24" s="2" t="s">
        <v>72</v>
      </c>
      <c r="C24" s="2" t="s">
        <v>73</v>
      </c>
      <c r="E24" s="2" t="str">
        <f>"089901327970"</f>
        <v>089901327970</v>
      </c>
      <c r="F24" s="3">
        <v>42859</v>
      </c>
      <c r="G24" s="2">
        <v>201711</v>
      </c>
      <c r="H24" s="2" t="s">
        <v>180</v>
      </c>
      <c r="I24" s="2" t="s">
        <v>181</v>
      </c>
      <c r="J24" s="2" t="s">
        <v>76</v>
      </c>
      <c r="K24" s="2" t="s">
        <v>77</v>
      </c>
      <c r="L24" s="2" t="s">
        <v>138</v>
      </c>
      <c r="M24" s="2" t="s">
        <v>139</v>
      </c>
      <c r="N24" s="2" t="s">
        <v>107</v>
      </c>
      <c r="O24" s="2" t="s">
        <v>95</v>
      </c>
      <c r="P24" s="2" t="str">
        <f t="shared" si="1"/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8.01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77.36</v>
      </c>
      <c r="BM24" s="2">
        <v>10.83</v>
      </c>
      <c r="BN24" s="2">
        <v>88.19</v>
      </c>
      <c r="BO24" s="2">
        <v>88.19</v>
      </c>
      <c r="BQ24" s="2" t="s">
        <v>140</v>
      </c>
      <c r="BR24" s="2" t="s">
        <v>184</v>
      </c>
      <c r="BS24" s="3">
        <v>42860</v>
      </c>
      <c r="BT24" s="4">
        <v>0.39583333333333331</v>
      </c>
      <c r="BU24" s="2" t="s">
        <v>188</v>
      </c>
      <c r="BV24" s="2" t="s">
        <v>85</v>
      </c>
      <c r="BY24" s="2">
        <v>1200</v>
      </c>
      <c r="CC24" s="2" t="s">
        <v>139</v>
      </c>
      <c r="CD24" s="2">
        <v>9300</v>
      </c>
      <c r="CE24" s="2" t="s">
        <v>120</v>
      </c>
      <c r="CF24" s="3">
        <v>42863</v>
      </c>
      <c r="CI24" s="2">
        <v>1</v>
      </c>
      <c r="CJ24" s="2">
        <v>1</v>
      </c>
      <c r="CK24" s="2" t="s">
        <v>129</v>
      </c>
      <c r="CL24" s="2" t="s">
        <v>87</v>
      </c>
    </row>
    <row r="25" spans="1:90">
      <c r="A25" s="2" t="s">
        <v>88</v>
      </c>
      <c r="B25" s="2" t="s">
        <v>72</v>
      </c>
      <c r="C25" s="2" t="s">
        <v>73</v>
      </c>
      <c r="E25" s="2" t="str">
        <f>"009935802842"</f>
        <v>009935802842</v>
      </c>
      <c r="F25" s="3">
        <v>42857</v>
      </c>
      <c r="G25" s="2">
        <v>201711</v>
      </c>
      <c r="H25" s="2" t="s">
        <v>78</v>
      </c>
      <c r="I25" s="2" t="s">
        <v>79</v>
      </c>
      <c r="J25" s="2" t="s">
        <v>91</v>
      </c>
      <c r="K25" s="2" t="s">
        <v>77</v>
      </c>
      <c r="L25" s="2" t="s">
        <v>189</v>
      </c>
      <c r="M25" s="2" t="s">
        <v>98</v>
      </c>
      <c r="N25" s="2" t="s">
        <v>107</v>
      </c>
      <c r="O25" s="2" t="s">
        <v>95</v>
      </c>
      <c r="P25" s="2" t="str">
        <f t="shared" si="1"/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28.31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25</v>
      </c>
      <c r="BJ25" s="2">
        <v>43.8</v>
      </c>
      <c r="BK25" s="2">
        <v>44</v>
      </c>
      <c r="BL25" s="2">
        <v>280.58999999999997</v>
      </c>
      <c r="BM25" s="2">
        <v>39.28</v>
      </c>
      <c r="BN25" s="2">
        <v>319.87</v>
      </c>
      <c r="BO25" s="2">
        <v>319.87</v>
      </c>
      <c r="BQ25" s="2" t="s">
        <v>190</v>
      </c>
      <c r="BR25" s="2" t="s">
        <v>122</v>
      </c>
      <c r="BS25" s="3">
        <v>42859</v>
      </c>
      <c r="BT25" s="4">
        <v>0.40972222222222227</v>
      </c>
      <c r="BU25" s="2" t="s">
        <v>191</v>
      </c>
      <c r="BY25" s="2">
        <v>219186</v>
      </c>
      <c r="CC25" s="2" t="s">
        <v>98</v>
      </c>
      <c r="CD25" s="2">
        <v>6530</v>
      </c>
      <c r="CE25" s="2" t="s">
        <v>86</v>
      </c>
      <c r="CF25" s="3">
        <v>42860</v>
      </c>
      <c r="CI25" s="2">
        <v>0</v>
      </c>
      <c r="CJ25" s="2">
        <v>0</v>
      </c>
      <c r="CK25" s="2" t="s">
        <v>99</v>
      </c>
      <c r="CL25" s="2" t="s">
        <v>87</v>
      </c>
    </row>
    <row r="26" spans="1:90">
      <c r="A26" s="2" t="s">
        <v>88</v>
      </c>
      <c r="B26" s="2" t="s">
        <v>72</v>
      </c>
      <c r="C26" s="2" t="s">
        <v>73</v>
      </c>
      <c r="E26" s="2" t="str">
        <f>"009935937189"</f>
        <v>009935937189</v>
      </c>
      <c r="F26" s="3">
        <v>42858</v>
      </c>
      <c r="G26" s="2">
        <v>201711</v>
      </c>
      <c r="H26" s="2" t="s">
        <v>192</v>
      </c>
      <c r="I26" s="2" t="s">
        <v>193</v>
      </c>
      <c r="J26" s="2" t="s">
        <v>91</v>
      </c>
      <c r="K26" s="2" t="s">
        <v>77</v>
      </c>
      <c r="L26" s="2" t="s">
        <v>78</v>
      </c>
      <c r="M26" s="2" t="s">
        <v>79</v>
      </c>
      <c r="N26" s="2" t="s">
        <v>91</v>
      </c>
      <c r="O26" s="2" t="s">
        <v>95</v>
      </c>
      <c r="P26" s="2" t="str">
        <f t="shared" si="1"/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9.5299999999999994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91.17</v>
      </c>
      <c r="BM26" s="2">
        <v>12.76</v>
      </c>
      <c r="BN26" s="2">
        <v>103.93</v>
      </c>
      <c r="BO26" s="2">
        <v>103.93</v>
      </c>
      <c r="BR26" s="2" t="s">
        <v>194</v>
      </c>
      <c r="BS26" s="3">
        <v>42859</v>
      </c>
      <c r="BT26" s="4">
        <v>0.51041666666666663</v>
      </c>
      <c r="BU26" s="2" t="s">
        <v>102</v>
      </c>
      <c r="BY26" s="2">
        <v>1200</v>
      </c>
      <c r="CC26" s="2" t="s">
        <v>79</v>
      </c>
      <c r="CD26" s="2">
        <v>2000</v>
      </c>
      <c r="CE26" s="2" t="s">
        <v>120</v>
      </c>
      <c r="CF26" s="3">
        <v>42860</v>
      </c>
      <c r="CI26" s="2">
        <v>0</v>
      </c>
      <c r="CJ26" s="2">
        <v>0</v>
      </c>
      <c r="CK26" s="2" t="s">
        <v>104</v>
      </c>
      <c r="CL26" s="2" t="s">
        <v>87</v>
      </c>
    </row>
    <row r="27" spans="1:90">
      <c r="A27" s="2" t="s">
        <v>88</v>
      </c>
      <c r="B27" s="2" t="s">
        <v>72</v>
      </c>
      <c r="C27" s="2" t="s">
        <v>73</v>
      </c>
      <c r="E27" s="2" t="str">
        <f>"039902464703"</f>
        <v>039902464703</v>
      </c>
      <c r="F27" s="3">
        <v>42859</v>
      </c>
      <c r="G27" s="2">
        <v>201711</v>
      </c>
      <c r="H27" s="2" t="s">
        <v>189</v>
      </c>
      <c r="I27" s="2" t="s">
        <v>98</v>
      </c>
      <c r="J27" s="2" t="s">
        <v>91</v>
      </c>
      <c r="K27" s="2" t="s">
        <v>77</v>
      </c>
      <c r="L27" s="2" t="s">
        <v>78</v>
      </c>
      <c r="M27" s="2" t="s">
        <v>79</v>
      </c>
      <c r="N27" s="2" t="s">
        <v>91</v>
      </c>
      <c r="O27" s="2" t="s">
        <v>95</v>
      </c>
      <c r="P27" s="2" t="str">
        <f t="shared" si="1"/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41.47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2</v>
      </c>
      <c r="BI27" s="2">
        <v>39</v>
      </c>
      <c r="BJ27" s="2">
        <v>59.5</v>
      </c>
      <c r="BK27" s="2">
        <v>60</v>
      </c>
      <c r="BL27" s="2">
        <v>379.83</v>
      </c>
      <c r="BM27" s="2">
        <v>53.18</v>
      </c>
      <c r="BN27" s="2">
        <v>433.01</v>
      </c>
      <c r="BO27" s="2">
        <v>433.01</v>
      </c>
      <c r="BQ27" s="2" t="s">
        <v>148</v>
      </c>
      <c r="BR27" s="2" t="s">
        <v>195</v>
      </c>
      <c r="BS27" s="3">
        <v>42863</v>
      </c>
      <c r="BT27" s="4">
        <v>0.70624999999999993</v>
      </c>
      <c r="BU27" s="2" t="s">
        <v>162</v>
      </c>
      <c r="BY27" s="2">
        <v>297440</v>
      </c>
      <c r="CC27" s="2" t="s">
        <v>79</v>
      </c>
      <c r="CD27" s="2">
        <v>2090</v>
      </c>
      <c r="CE27" s="2" t="s">
        <v>120</v>
      </c>
      <c r="CF27" s="3">
        <v>42865</v>
      </c>
      <c r="CI27" s="2">
        <v>0</v>
      </c>
      <c r="CJ27" s="2">
        <v>0</v>
      </c>
      <c r="CK27" s="2" t="s">
        <v>196</v>
      </c>
      <c r="CL27" s="2" t="s">
        <v>87</v>
      </c>
    </row>
    <row r="28" spans="1:90">
      <c r="A28" s="2" t="s">
        <v>88</v>
      </c>
      <c r="B28" s="2" t="s">
        <v>72</v>
      </c>
      <c r="C28" s="2" t="s">
        <v>73</v>
      </c>
      <c r="E28" s="2" t="str">
        <f>"009935835511"</f>
        <v>009935835511</v>
      </c>
      <c r="F28" s="3">
        <v>42858</v>
      </c>
      <c r="G28" s="2">
        <v>201711</v>
      </c>
      <c r="H28" s="2" t="s">
        <v>197</v>
      </c>
      <c r="I28" s="2" t="s">
        <v>198</v>
      </c>
      <c r="J28" s="2" t="s">
        <v>91</v>
      </c>
      <c r="K28" s="2" t="s">
        <v>77</v>
      </c>
      <c r="L28" s="2" t="s">
        <v>78</v>
      </c>
      <c r="M28" s="2" t="s">
        <v>79</v>
      </c>
      <c r="N28" s="2" t="s">
        <v>91</v>
      </c>
      <c r="O28" s="2" t="s">
        <v>95</v>
      </c>
      <c r="P28" s="2" t="str">
        <f t="shared" si="1"/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31.75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87</v>
      </c>
      <c r="BJ28" s="2">
        <v>43.5</v>
      </c>
      <c r="BK28" s="2">
        <v>87</v>
      </c>
      <c r="BL28" s="2">
        <v>291.99</v>
      </c>
      <c r="BM28" s="2">
        <v>40.880000000000003</v>
      </c>
      <c r="BN28" s="2">
        <v>332.87</v>
      </c>
      <c r="BO28" s="2">
        <v>332.87</v>
      </c>
      <c r="BQ28" s="2" t="s">
        <v>199</v>
      </c>
      <c r="BR28" s="2" t="s">
        <v>200</v>
      </c>
      <c r="BS28" s="3">
        <v>42859</v>
      </c>
      <c r="BT28" s="4">
        <v>0.51041666666666663</v>
      </c>
      <c r="BU28" s="2" t="s">
        <v>102</v>
      </c>
      <c r="BV28" s="2" t="s">
        <v>85</v>
      </c>
      <c r="BY28" s="2">
        <v>217600</v>
      </c>
      <c r="CC28" s="2" t="s">
        <v>79</v>
      </c>
      <c r="CD28" s="2">
        <v>2000</v>
      </c>
      <c r="CE28" s="2" t="s">
        <v>120</v>
      </c>
      <c r="CF28" s="3">
        <v>42860</v>
      </c>
      <c r="CI28" s="2">
        <v>1</v>
      </c>
      <c r="CJ28" s="2">
        <v>1</v>
      </c>
      <c r="CK28" s="2" t="s">
        <v>133</v>
      </c>
      <c r="CL28" s="2" t="s">
        <v>87</v>
      </c>
    </row>
    <row r="29" spans="1:90">
      <c r="A29" s="2" t="s">
        <v>88</v>
      </c>
      <c r="B29" s="2" t="s">
        <v>72</v>
      </c>
      <c r="C29" s="2" t="s">
        <v>73</v>
      </c>
      <c r="E29" s="2" t="str">
        <f>"009935937188"</f>
        <v>009935937188</v>
      </c>
      <c r="F29" s="3">
        <v>42858</v>
      </c>
      <c r="G29" s="2">
        <v>201711</v>
      </c>
      <c r="H29" s="2" t="s">
        <v>192</v>
      </c>
      <c r="I29" s="2" t="s">
        <v>193</v>
      </c>
      <c r="J29" s="2" t="s">
        <v>91</v>
      </c>
      <c r="K29" s="2" t="s">
        <v>77</v>
      </c>
      <c r="L29" s="2" t="s">
        <v>78</v>
      </c>
      <c r="M29" s="2" t="s">
        <v>79</v>
      </c>
      <c r="N29" s="2" t="s">
        <v>91</v>
      </c>
      <c r="O29" s="2" t="s">
        <v>95</v>
      </c>
      <c r="P29" s="2" t="str">
        <f t="shared" si="1"/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17.690000000000001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35</v>
      </c>
      <c r="BJ29" s="2">
        <v>23.7</v>
      </c>
      <c r="BK29" s="2">
        <v>35</v>
      </c>
      <c r="BL29" s="2">
        <v>164.93</v>
      </c>
      <c r="BM29" s="2">
        <v>23.09</v>
      </c>
      <c r="BN29" s="2">
        <v>188.02</v>
      </c>
      <c r="BO29" s="2">
        <v>188.02</v>
      </c>
      <c r="BR29" s="2" t="s">
        <v>194</v>
      </c>
      <c r="BS29" s="3">
        <v>42859</v>
      </c>
      <c r="BT29" s="4">
        <v>0.51041666666666663</v>
      </c>
      <c r="BU29" s="2" t="s">
        <v>102</v>
      </c>
      <c r="BY29" s="2">
        <v>118440</v>
      </c>
      <c r="CC29" s="2" t="s">
        <v>79</v>
      </c>
      <c r="CD29" s="2">
        <v>2000</v>
      </c>
      <c r="CE29" s="2" t="s">
        <v>120</v>
      </c>
      <c r="CF29" s="3">
        <v>42860</v>
      </c>
      <c r="CI29" s="2">
        <v>0</v>
      </c>
      <c r="CJ29" s="2">
        <v>0</v>
      </c>
      <c r="CK29" s="2" t="s">
        <v>104</v>
      </c>
      <c r="CL29" s="2" t="s">
        <v>87</v>
      </c>
    </row>
    <row r="30" spans="1:90">
      <c r="A30" s="2" t="s">
        <v>88</v>
      </c>
      <c r="B30" s="2" t="s">
        <v>72</v>
      </c>
      <c r="C30" s="2" t="s">
        <v>73</v>
      </c>
      <c r="E30" s="2" t="str">
        <f>"069907886420"</f>
        <v>069907886420</v>
      </c>
      <c r="F30" s="3">
        <v>42858</v>
      </c>
      <c r="G30" s="2">
        <v>201711</v>
      </c>
      <c r="H30" s="2" t="s">
        <v>151</v>
      </c>
      <c r="I30" s="2" t="s">
        <v>152</v>
      </c>
      <c r="J30" s="2" t="s">
        <v>91</v>
      </c>
      <c r="K30" s="2" t="s">
        <v>77</v>
      </c>
      <c r="L30" s="2" t="s">
        <v>78</v>
      </c>
      <c r="M30" s="2" t="s">
        <v>79</v>
      </c>
      <c r="N30" s="2" t="s">
        <v>91</v>
      </c>
      <c r="O30" s="2" t="s">
        <v>95</v>
      </c>
      <c r="P30" s="2" t="str">
        <f t="shared" si="1"/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8.73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83.93</v>
      </c>
      <c r="BM30" s="2">
        <v>11.75</v>
      </c>
      <c r="BN30" s="2">
        <v>95.68</v>
      </c>
      <c r="BO30" s="2">
        <v>95.68</v>
      </c>
      <c r="BQ30" s="2" t="s">
        <v>201</v>
      </c>
      <c r="BS30" s="3">
        <v>42859</v>
      </c>
      <c r="BT30" s="4">
        <v>0.51041666666666663</v>
      </c>
      <c r="BU30" s="2" t="s">
        <v>102</v>
      </c>
      <c r="BV30" s="2" t="s">
        <v>85</v>
      </c>
      <c r="BY30" s="2">
        <v>1200</v>
      </c>
      <c r="CC30" s="2" t="s">
        <v>79</v>
      </c>
      <c r="CD30" s="2">
        <v>2054</v>
      </c>
      <c r="CE30" s="2" t="s">
        <v>120</v>
      </c>
      <c r="CF30" s="3">
        <v>42860</v>
      </c>
      <c r="CI30" s="2">
        <v>1</v>
      </c>
      <c r="CJ30" s="2">
        <v>1</v>
      </c>
      <c r="CK30" s="2" t="s">
        <v>133</v>
      </c>
      <c r="CL30" s="2" t="s">
        <v>87</v>
      </c>
    </row>
    <row r="31" spans="1:90">
      <c r="A31" s="2" t="s">
        <v>88</v>
      </c>
      <c r="B31" s="2" t="s">
        <v>72</v>
      </c>
      <c r="C31" s="2" t="s">
        <v>73</v>
      </c>
      <c r="E31" s="2" t="str">
        <f>"009935627123"</f>
        <v>009935627123</v>
      </c>
      <c r="F31" s="3">
        <v>42858</v>
      </c>
      <c r="G31" s="2">
        <v>201711</v>
      </c>
      <c r="H31" s="2" t="s">
        <v>192</v>
      </c>
      <c r="I31" s="2" t="s">
        <v>193</v>
      </c>
      <c r="J31" s="2" t="s">
        <v>91</v>
      </c>
      <c r="K31" s="2" t="s">
        <v>77</v>
      </c>
      <c r="L31" s="2" t="s">
        <v>78</v>
      </c>
      <c r="M31" s="2" t="s">
        <v>79</v>
      </c>
      <c r="N31" s="2" t="s">
        <v>91</v>
      </c>
      <c r="O31" s="2" t="s">
        <v>95</v>
      </c>
      <c r="P31" s="2" t="str">
        <f t="shared" si="1"/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11.57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20</v>
      </c>
      <c r="BJ31" s="2">
        <v>11.2</v>
      </c>
      <c r="BK31" s="2">
        <v>20</v>
      </c>
      <c r="BL31" s="2">
        <v>109.61</v>
      </c>
      <c r="BM31" s="2">
        <v>15.35</v>
      </c>
      <c r="BN31" s="2">
        <v>124.96</v>
      </c>
      <c r="BO31" s="2">
        <v>124.96</v>
      </c>
      <c r="BQ31" s="2" t="s">
        <v>127</v>
      </c>
      <c r="BR31" s="2" t="s">
        <v>202</v>
      </c>
      <c r="BS31" s="3">
        <v>42859</v>
      </c>
      <c r="BT31" s="4">
        <v>0.51041666666666663</v>
      </c>
      <c r="BU31" s="2" t="s">
        <v>102</v>
      </c>
      <c r="BY31" s="2">
        <v>56000</v>
      </c>
      <c r="CC31" s="2" t="s">
        <v>79</v>
      </c>
      <c r="CD31" s="2">
        <v>2000</v>
      </c>
      <c r="CE31" s="2" t="s">
        <v>120</v>
      </c>
      <c r="CF31" s="3">
        <v>42860</v>
      </c>
      <c r="CI31" s="2">
        <v>0</v>
      </c>
      <c r="CJ31" s="2">
        <v>0</v>
      </c>
      <c r="CK31" s="2" t="s">
        <v>104</v>
      </c>
      <c r="CL31" s="2" t="s">
        <v>87</v>
      </c>
    </row>
    <row r="32" spans="1:90">
      <c r="A32" s="2" t="s">
        <v>88</v>
      </c>
      <c r="B32" s="2" t="s">
        <v>72</v>
      </c>
      <c r="C32" s="2" t="s">
        <v>73</v>
      </c>
      <c r="E32" s="2" t="str">
        <f>"069907886421"</f>
        <v>069907886421</v>
      </c>
      <c r="F32" s="3">
        <v>42858</v>
      </c>
      <c r="G32" s="2">
        <v>201711</v>
      </c>
      <c r="H32" s="2" t="s">
        <v>151</v>
      </c>
      <c r="I32" s="2" t="s">
        <v>152</v>
      </c>
      <c r="J32" s="2" t="s">
        <v>91</v>
      </c>
      <c r="K32" s="2" t="s">
        <v>77</v>
      </c>
      <c r="L32" s="2" t="s">
        <v>158</v>
      </c>
      <c r="M32" s="2" t="s">
        <v>159</v>
      </c>
      <c r="N32" s="2" t="s">
        <v>91</v>
      </c>
      <c r="O32" s="2" t="s">
        <v>95</v>
      </c>
      <c r="P32" s="2" t="str">
        <f t="shared" si="1"/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21.2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20</v>
      </c>
      <c r="BJ32" s="2">
        <v>53.4</v>
      </c>
      <c r="BK32" s="2">
        <v>54</v>
      </c>
      <c r="BL32" s="2">
        <v>196.63</v>
      </c>
      <c r="BM32" s="2">
        <v>27.53</v>
      </c>
      <c r="BN32" s="2">
        <v>224.16</v>
      </c>
      <c r="BO32" s="2">
        <v>224.16</v>
      </c>
      <c r="BQ32" s="2" t="s">
        <v>203</v>
      </c>
      <c r="BS32" s="3">
        <v>42859</v>
      </c>
      <c r="BT32" s="4">
        <v>0.51041666666666663</v>
      </c>
      <c r="BU32" s="2" t="s">
        <v>102</v>
      </c>
      <c r="BV32" s="2" t="s">
        <v>85</v>
      </c>
      <c r="BY32" s="2">
        <v>266760</v>
      </c>
      <c r="CC32" s="2" t="s">
        <v>159</v>
      </c>
      <c r="CD32" s="2">
        <v>2146</v>
      </c>
      <c r="CE32" s="2" t="s">
        <v>120</v>
      </c>
      <c r="CF32" s="3">
        <v>42860</v>
      </c>
      <c r="CI32" s="2">
        <v>1</v>
      </c>
      <c r="CJ32" s="2">
        <v>1</v>
      </c>
      <c r="CK32" s="2" t="s">
        <v>133</v>
      </c>
      <c r="CL32" s="2" t="s">
        <v>87</v>
      </c>
    </row>
    <row r="33" spans="1:90">
      <c r="A33" s="2" t="s">
        <v>88</v>
      </c>
      <c r="B33" s="2" t="s">
        <v>72</v>
      </c>
      <c r="C33" s="2" t="s">
        <v>73</v>
      </c>
      <c r="E33" s="2" t="str">
        <f>"009935636071"</f>
        <v>009935636071</v>
      </c>
      <c r="F33" s="3">
        <v>42859</v>
      </c>
      <c r="G33" s="2">
        <v>201711</v>
      </c>
      <c r="H33" s="2" t="s">
        <v>78</v>
      </c>
      <c r="I33" s="2" t="s">
        <v>79</v>
      </c>
      <c r="J33" s="2" t="s">
        <v>91</v>
      </c>
      <c r="K33" s="2" t="s">
        <v>77</v>
      </c>
      <c r="L33" s="2" t="s">
        <v>169</v>
      </c>
      <c r="M33" s="2" t="s">
        <v>170</v>
      </c>
      <c r="N33" s="2" t="s">
        <v>91</v>
      </c>
      <c r="O33" s="2" t="s">
        <v>81</v>
      </c>
      <c r="P33" s="2" t="str">
        <f t="shared" si="1"/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4.66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0.8</v>
      </c>
      <c r="BJ33" s="2">
        <v>1.7</v>
      </c>
      <c r="BK33" s="2">
        <v>2</v>
      </c>
      <c r="BL33" s="2">
        <v>42.1</v>
      </c>
      <c r="BM33" s="2">
        <v>5.89</v>
      </c>
      <c r="BN33" s="2">
        <v>47.99</v>
      </c>
      <c r="BO33" s="2">
        <v>47.99</v>
      </c>
      <c r="BQ33" s="2" t="s">
        <v>204</v>
      </c>
      <c r="BS33" s="3">
        <v>42860</v>
      </c>
      <c r="BT33" s="4">
        <v>0.4375</v>
      </c>
      <c r="BU33" s="2" t="s">
        <v>204</v>
      </c>
      <c r="BV33" s="2" t="s">
        <v>85</v>
      </c>
      <c r="BY33" s="2">
        <v>8443.0499999999993</v>
      </c>
      <c r="BZ33" s="2" t="s">
        <v>27</v>
      </c>
      <c r="CC33" s="2" t="s">
        <v>170</v>
      </c>
      <c r="CD33" s="2">
        <v>1200</v>
      </c>
      <c r="CE33" s="2" t="s">
        <v>120</v>
      </c>
      <c r="CF33" s="3">
        <v>42863</v>
      </c>
      <c r="CI33" s="2">
        <v>1</v>
      </c>
      <c r="CJ33" s="2">
        <v>1</v>
      </c>
      <c r="CK33" s="2">
        <v>21</v>
      </c>
      <c r="CL33" s="2" t="s">
        <v>87</v>
      </c>
    </row>
    <row r="34" spans="1:90">
      <c r="A34" s="2" t="s">
        <v>88</v>
      </c>
      <c r="B34" s="2" t="s">
        <v>72</v>
      </c>
      <c r="C34" s="2" t="s">
        <v>73</v>
      </c>
      <c r="E34" s="2" t="str">
        <f>"009935474168"</f>
        <v>009935474168</v>
      </c>
      <c r="F34" s="3">
        <v>42859</v>
      </c>
      <c r="G34" s="2">
        <v>201711</v>
      </c>
      <c r="H34" s="2" t="s">
        <v>78</v>
      </c>
      <c r="I34" s="2" t="s">
        <v>79</v>
      </c>
      <c r="J34" s="2" t="s">
        <v>91</v>
      </c>
      <c r="K34" s="2" t="s">
        <v>77</v>
      </c>
      <c r="L34" s="2" t="s">
        <v>192</v>
      </c>
      <c r="M34" s="2" t="s">
        <v>193</v>
      </c>
      <c r="N34" s="2" t="s">
        <v>91</v>
      </c>
      <c r="O34" s="2" t="s">
        <v>81</v>
      </c>
      <c r="P34" s="2" t="str">
        <f t="shared" si="1"/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6.54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0.2</v>
      </c>
      <c r="BJ34" s="2">
        <v>1.3</v>
      </c>
      <c r="BK34" s="2">
        <v>1.5</v>
      </c>
      <c r="BL34" s="2">
        <v>59.1</v>
      </c>
      <c r="BM34" s="2">
        <v>8.27</v>
      </c>
      <c r="BN34" s="2">
        <v>67.37</v>
      </c>
      <c r="BO34" s="2">
        <v>67.37</v>
      </c>
      <c r="BQ34" s="2" t="s">
        <v>194</v>
      </c>
      <c r="BR34" s="2" t="s">
        <v>122</v>
      </c>
      <c r="BS34" s="3">
        <v>42860</v>
      </c>
      <c r="BT34" s="4">
        <v>0.41666666666666669</v>
      </c>
      <c r="BU34" s="2" t="s">
        <v>194</v>
      </c>
      <c r="BV34" s="2" t="s">
        <v>85</v>
      </c>
      <c r="BY34" s="2">
        <v>6660.89</v>
      </c>
      <c r="BZ34" s="2" t="s">
        <v>27</v>
      </c>
      <c r="CC34" s="2" t="s">
        <v>193</v>
      </c>
      <c r="CD34" s="2">
        <v>450</v>
      </c>
      <c r="CE34" s="2" t="s">
        <v>120</v>
      </c>
      <c r="CF34" s="3">
        <v>42863</v>
      </c>
      <c r="CI34" s="2">
        <v>1</v>
      </c>
      <c r="CJ34" s="2">
        <v>1</v>
      </c>
      <c r="CK34" s="2">
        <v>24</v>
      </c>
      <c r="CL34" s="2" t="s">
        <v>87</v>
      </c>
    </row>
    <row r="35" spans="1:90">
      <c r="A35" s="2" t="s">
        <v>88</v>
      </c>
      <c r="B35" s="2" t="s">
        <v>72</v>
      </c>
      <c r="C35" s="2" t="s">
        <v>73</v>
      </c>
      <c r="E35" s="2" t="str">
        <f>"009935999000"</f>
        <v>009935999000</v>
      </c>
      <c r="F35" s="3">
        <v>42859</v>
      </c>
      <c r="G35" s="2">
        <v>201711</v>
      </c>
      <c r="H35" s="2" t="s">
        <v>78</v>
      </c>
      <c r="I35" s="2" t="s">
        <v>79</v>
      </c>
      <c r="J35" s="2" t="s">
        <v>91</v>
      </c>
      <c r="K35" s="2" t="s">
        <v>77</v>
      </c>
      <c r="L35" s="2" t="s">
        <v>176</v>
      </c>
      <c r="M35" s="2" t="s">
        <v>177</v>
      </c>
      <c r="N35" s="2" t="s">
        <v>91</v>
      </c>
      <c r="O35" s="2" t="s">
        <v>95</v>
      </c>
      <c r="P35" s="2" t="str">
        <f t="shared" si="1"/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6.55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0.2</v>
      </c>
      <c r="BJ35" s="2">
        <v>0.5</v>
      </c>
      <c r="BK35" s="2">
        <v>1</v>
      </c>
      <c r="BL35" s="2">
        <v>64.2</v>
      </c>
      <c r="BM35" s="2">
        <v>8.99</v>
      </c>
      <c r="BN35" s="2">
        <v>73.19</v>
      </c>
      <c r="BO35" s="2">
        <v>73.19</v>
      </c>
      <c r="BQ35" s="2" t="s">
        <v>178</v>
      </c>
      <c r="BR35" s="2" t="s">
        <v>122</v>
      </c>
      <c r="BS35" s="3">
        <v>42860</v>
      </c>
      <c r="BT35" s="4">
        <v>0.5625</v>
      </c>
      <c r="BU35" s="2" t="s">
        <v>205</v>
      </c>
      <c r="BV35" s="2" t="s">
        <v>85</v>
      </c>
      <c r="BY35" s="2">
        <v>2361.09</v>
      </c>
      <c r="CC35" s="2" t="s">
        <v>177</v>
      </c>
      <c r="CD35" s="2">
        <v>4091</v>
      </c>
      <c r="CE35" s="2" t="s">
        <v>120</v>
      </c>
      <c r="CF35" s="3">
        <v>42864</v>
      </c>
      <c r="CI35" s="2">
        <v>1</v>
      </c>
      <c r="CJ35" s="2">
        <v>1</v>
      </c>
      <c r="CK35" s="2" t="s">
        <v>146</v>
      </c>
      <c r="CL35" s="2" t="s">
        <v>87</v>
      </c>
    </row>
    <row r="36" spans="1:90">
      <c r="A36" s="2" t="s">
        <v>88</v>
      </c>
      <c r="B36" s="2" t="s">
        <v>72</v>
      </c>
      <c r="C36" s="2" t="s">
        <v>73</v>
      </c>
      <c r="E36" s="2" t="str">
        <f>"009935473709"</f>
        <v>009935473709</v>
      </c>
      <c r="F36" s="3">
        <v>42859</v>
      </c>
      <c r="G36" s="2">
        <v>201711</v>
      </c>
      <c r="H36" s="2" t="s">
        <v>78</v>
      </c>
      <c r="I36" s="2" t="s">
        <v>79</v>
      </c>
      <c r="J36" s="2" t="s">
        <v>91</v>
      </c>
      <c r="K36" s="2" t="s">
        <v>77</v>
      </c>
      <c r="L36" s="2" t="s">
        <v>151</v>
      </c>
      <c r="M36" s="2" t="s">
        <v>152</v>
      </c>
      <c r="N36" s="2" t="s">
        <v>91</v>
      </c>
      <c r="O36" s="2" t="s">
        <v>95</v>
      </c>
      <c r="P36" s="2" t="str">
        <f t="shared" si="1"/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6.55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0.2</v>
      </c>
      <c r="BJ36" s="2">
        <v>0.5</v>
      </c>
      <c r="BK36" s="2">
        <v>1</v>
      </c>
      <c r="BL36" s="2">
        <v>64.2</v>
      </c>
      <c r="BM36" s="2">
        <v>8.99</v>
      </c>
      <c r="BN36" s="2">
        <v>73.19</v>
      </c>
      <c r="BO36" s="2">
        <v>73.19</v>
      </c>
      <c r="BQ36" s="2" t="s">
        <v>153</v>
      </c>
      <c r="BR36" s="2" t="s">
        <v>122</v>
      </c>
      <c r="BS36" s="3">
        <v>42860</v>
      </c>
      <c r="BT36" s="4">
        <v>0.3833333333333333</v>
      </c>
      <c r="BU36" s="2" t="s">
        <v>206</v>
      </c>
      <c r="BV36" s="2" t="s">
        <v>85</v>
      </c>
      <c r="BY36" s="2">
        <v>2413.13</v>
      </c>
      <c r="CC36" s="2" t="s">
        <v>152</v>
      </c>
      <c r="CD36" s="2">
        <v>700</v>
      </c>
      <c r="CE36" s="2" t="s">
        <v>120</v>
      </c>
      <c r="CF36" s="3">
        <v>42863</v>
      </c>
      <c r="CI36" s="2">
        <v>1</v>
      </c>
      <c r="CJ36" s="2">
        <v>1</v>
      </c>
      <c r="CK36" s="2" t="s">
        <v>142</v>
      </c>
      <c r="CL36" s="2" t="s">
        <v>87</v>
      </c>
    </row>
    <row r="37" spans="1:90">
      <c r="A37" s="2" t="s">
        <v>88</v>
      </c>
      <c r="B37" s="2" t="s">
        <v>72</v>
      </c>
      <c r="C37" s="2" t="s">
        <v>73</v>
      </c>
      <c r="E37" s="2" t="str">
        <f>"009936078467"</f>
        <v>009936078467</v>
      </c>
      <c r="F37" s="3">
        <v>42859</v>
      </c>
      <c r="G37" s="2">
        <v>201711</v>
      </c>
      <c r="H37" s="2" t="s">
        <v>78</v>
      </c>
      <c r="I37" s="2" t="s">
        <v>79</v>
      </c>
      <c r="J37" s="2" t="s">
        <v>91</v>
      </c>
      <c r="K37" s="2" t="s">
        <v>77</v>
      </c>
      <c r="L37" s="2" t="s">
        <v>186</v>
      </c>
      <c r="M37" s="2" t="s">
        <v>106</v>
      </c>
      <c r="N37" s="2" t="s">
        <v>91</v>
      </c>
      <c r="O37" s="2" t="s">
        <v>95</v>
      </c>
      <c r="P37" s="2" t="str">
        <f t="shared" si="1"/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9.5299999999999994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0.1</v>
      </c>
      <c r="BJ37" s="2">
        <v>0.4</v>
      </c>
      <c r="BK37" s="2">
        <v>1</v>
      </c>
      <c r="BL37" s="2">
        <v>91.17</v>
      </c>
      <c r="BM37" s="2">
        <v>12.76</v>
      </c>
      <c r="BN37" s="2">
        <v>103.93</v>
      </c>
      <c r="BO37" s="2">
        <v>103.93</v>
      </c>
      <c r="BQ37" s="2" t="s">
        <v>109</v>
      </c>
      <c r="BR37" s="2" t="s">
        <v>122</v>
      </c>
      <c r="BS37" s="3">
        <v>42863</v>
      </c>
      <c r="BT37" s="4">
        <v>0.41041666666666665</v>
      </c>
      <c r="BU37" s="2" t="s">
        <v>207</v>
      </c>
      <c r="BV37" s="2" t="s">
        <v>85</v>
      </c>
      <c r="BY37" s="2">
        <v>1753.8</v>
      </c>
      <c r="CA37" s="2" t="s">
        <v>208</v>
      </c>
      <c r="CC37" s="2" t="s">
        <v>106</v>
      </c>
      <c r="CD37" s="2">
        <v>7700</v>
      </c>
      <c r="CE37" s="2" t="s">
        <v>120</v>
      </c>
      <c r="CF37" s="3">
        <v>42863</v>
      </c>
      <c r="CI37" s="2">
        <v>2</v>
      </c>
      <c r="CJ37" s="2">
        <v>2</v>
      </c>
      <c r="CK37" s="2" t="s">
        <v>104</v>
      </c>
      <c r="CL37" s="2" t="s">
        <v>87</v>
      </c>
    </row>
    <row r="38" spans="1:90">
      <c r="A38" s="2" t="s">
        <v>88</v>
      </c>
      <c r="B38" s="2" t="s">
        <v>72</v>
      </c>
      <c r="C38" s="2" t="s">
        <v>73</v>
      </c>
      <c r="E38" s="2" t="str">
        <f>"029907512157"</f>
        <v>029907512157</v>
      </c>
      <c r="F38" s="3">
        <v>42867</v>
      </c>
      <c r="G38" s="2">
        <v>201711</v>
      </c>
      <c r="H38" s="2" t="s">
        <v>176</v>
      </c>
      <c r="I38" s="2" t="s">
        <v>177</v>
      </c>
      <c r="J38" s="2" t="s">
        <v>209</v>
      </c>
      <c r="K38" s="2" t="s">
        <v>77</v>
      </c>
      <c r="L38" s="2" t="s">
        <v>78</v>
      </c>
      <c r="M38" s="2" t="s">
        <v>79</v>
      </c>
      <c r="N38" s="2" t="s">
        <v>91</v>
      </c>
      <c r="O38" s="2" t="s">
        <v>95</v>
      </c>
      <c r="P38" s="2" t="str">
        <f t="shared" si="1"/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34.950000000000003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4</v>
      </c>
      <c r="BI38" s="2">
        <v>22</v>
      </c>
      <c r="BJ38" s="2">
        <v>96.9</v>
      </c>
      <c r="BK38" s="2">
        <v>97</v>
      </c>
      <c r="BL38" s="2">
        <v>320.89</v>
      </c>
      <c r="BM38" s="2">
        <v>44.92</v>
      </c>
      <c r="BN38" s="2">
        <v>365.81</v>
      </c>
      <c r="BO38" s="2">
        <v>365.81</v>
      </c>
      <c r="BR38" s="2" t="s">
        <v>210</v>
      </c>
      <c r="BS38" s="3">
        <v>42870</v>
      </c>
      <c r="BT38" s="4">
        <v>0.55277777777777781</v>
      </c>
      <c r="BU38" s="2" t="s">
        <v>148</v>
      </c>
      <c r="BV38" s="2" t="s">
        <v>85</v>
      </c>
      <c r="BY38" s="2">
        <v>484700</v>
      </c>
      <c r="CC38" s="2" t="s">
        <v>79</v>
      </c>
      <c r="CD38" s="2">
        <v>2000</v>
      </c>
      <c r="CE38" s="2" t="s">
        <v>120</v>
      </c>
      <c r="CF38" s="3">
        <v>42871</v>
      </c>
      <c r="CI38" s="2">
        <v>1</v>
      </c>
      <c r="CJ38" s="2">
        <v>1</v>
      </c>
      <c r="CK38" s="2" t="s">
        <v>211</v>
      </c>
      <c r="CL38" s="2" t="s">
        <v>87</v>
      </c>
    </row>
    <row r="39" spans="1:90">
      <c r="A39" s="2" t="s">
        <v>88</v>
      </c>
      <c r="B39" s="2" t="s">
        <v>72</v>
      </c>
      <c r="C39" s="2" t="s">
        <v>73</v>
      </c>
      <c r="E39" s="2" t="str">
        <f>"009936366792"</f>
        <v>009936366792</v>
      </c>
      <c r="F39" s="3">
        <v>42859</v>
      </c>
      <c r="G39" s="2">
        <v>201711</v>
      </c>
      <c r="H39" s="2" t="s">
        <v>92</v>
      </c>
      <c r="I39" s="2" t="s">
        <v>93</v>
      </c>
      <c r="J39" s="2" t="s">
        <v>212</v>
      </c>
      <c r="K39" s="2" t="s">
        <v>77</v>
      </c>
      <c r="L39" s="2" t="s">
        <v>89</v>
      </c>
      <c r="M39" s="2" t="s">
        <v>90</v>
      </c>
      <c r="N39" s="2" t="s">
        <v>212</v>
      </c>
      <c r="O39" s="2" t="s">
        <v>81</v>
      </c>
      <c r="P39" s="2" t="str">
        <f t="shared" si="1"/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9.02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81.56</v>
      </c>
      <c r="BM39" s="2">
        <v>11.42</v>
      </c>
      <c r="BN39" s="2">
        <v>92.98</v>
      </c>
      <c r="BO39" s="2">
        <v>92.98</v>
      </c>
      <c r="BQ39" s="2" t="s">
        <v>213</v>
      </c>
      <c r="BR39" s="2" t="s">
        <v>98</v>
      </c>
      <c r="BS39" s="3">
        <v>42863</v>
      </c>
      <c r="BT39" s="4">
        <v>0.41319444444444442</v>
      </c>
      <c r="BU39" s="2" t="s">
        <v>214</v>
      </c>
      <c r="BV39" s="2" t="s">
        <v>87</v>
      </c>
      <c r="BY39" s="2">
        <v>1200</v>
      </c>
      <c r="BZ39" s="2" t="s">
        <v>27</v>
      </c>
      <c r="CA39" s="2" t="s">
        <v>215</v>
      </c>
      <c r="CC39" s="2" t="s">
        <v>90</v>
      </c>
      <c r="CD39" s="2">
        <v>6000</v>
      </c>
      <c r="CE39" s="2" t="s">
        <v>120</v>
      </c>
      <c r="CF39" s="3">
        <v>42863</v>
      </c>
      <c r="CI39" s="2">
        <v>1</v>
      </c>
      <c r="CJ39" s="2">
        <v>2</v>
      </c>
      <c r="CK39" s="2">
        <v>23</v>
      </c>
      <c r="CL39" s="2" t="s">
        <v>87</v>
      </c>
    </row>
    <row r="40" spans="1:90">
      <c r="A40" s="2" t="s">
        <v>71</v>
      </c>
      <c r="B40" s="2" t="s">
        <v>72</v>
      </c>
      <c r="C40" s="2" t="s">
        <v>73</v>
      </c>
      <c r="E40" s="2" t="str">
        <f>"029907821565"</f>
        <v>029907821565</v>
      </c>
      <c r="F40" s="3">
        <v>42860</v>
      </c>
      <c r="G40" s="2">
        <v>201711</v>
      </c>
      <c r="H40" s="2" t="s">
        <v>216</v>
      </c>
      <c r="I40" s="2" t="s">
        <v>217</v>
      </c>
      <c r="J40" s="2" t="s">
        <v>218</v>
      </c>
      <c r="K40" s="2" t="s">
        <v>77</v>
      </c>
      <c r="L40" s="2" t="s">
        <v>158</v>
      </c>
      <c r="M40" s="2" t="s">
        <v>159</v>
      </c>
      <c r="N40" s="2" t="s">
        <v>218</v>
      </c>
      <c r="O40" s="2" t="s">
        <v>95</v>
      </c>
      <c r="P40" s="2" t="str">
        <f t="shared" si="1"/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9.5299999999999994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10</v>
      </c>
      <c r="BJ40" s="2">
        <v>14.4</v>
      </c>
      <c r="BK40" s="2">
        <v>15</v>
      </c>
      <c r="BL40" s="2">
        <v>91.17</v>
      </c>
      <c r="BM40" s="2">
        <v>12.76</v>
      </c>
      <c r="BN40" s="2">
        <v>103.93</v>
      </c>
      <c r="BO40" s="2">
        <v>103.93</v>
      </c>
      <c r="BR40" s="2" t="s">
        <v>219</v>
      </c>
      <c r="BS40" s="3">
        <v>42863</v>
      </c>
      <c r="BT40" s="4">
        <v>0.70624999999999993</v>
      </c>
      <c r="BU40" s="2" t="s">
        <v>162</v>
      </c>
      <c r="BV40" s="2" t="s">
        <v>85</v>
      </c>
      <c r="BY40" s="2">
        <v>72000</v>
      </c>
      <c r="CC40" s="2" t="s">
        <v>159</v>
      </c>
      <c r="CD40" s="2">
        <v>2146</v>
      </c>
      <c r="CE40" s="2" t="s">
        <v>220</v>
      </c>
      <c r="CF40" s="3">
        <v>42865</v>
      </c>
      <c r="CI40" s="2">
        <v>2</v>
      </c>
      <c r="CJ40" s="2">
        <v>1</v>
      </c>
      <c r="CK40" s="2" t="s">
        <v>221</v>
      </c>
      <c r="CL40" s="2" t="s">
        <v>87</v>
      </c>
    </row>
    <row r="41" spans="1:90">
      <c r="A41" s="2" t="s">
        <v>71</v>
      </c>
      <c r="B41" s="2" t="s">
        <v>72</v>
      </c>
      <c r="C41" s="2" t="s">
        <v>73</v>
      </c>
      <c r="E41" s="2" t="str">
        <f>"029907477408"</f>
        <v>029907477408</v>
      </c>
      <c r="F41" s="3">
        <v>42858</v>
      </c>
      <c r="G41" s="2">
        <v>201711</v>
      </c>
      <c r="H41" s="2" t="s">
        <v>176</v>
      </c>
      <c r="I41" s="2" t="s">
        <v>177</v>
      </c>
      <c r="J41" s="2" t="s">
        <v>209</v>
      </c>
      <c r="K41" s="2" t="s">
        <v>77</v>
      </c>
      <c r="L41" s="2" t="s">
        <v>158</v>
      </c>
      <c r="M41" s="2" t="s">
        <v>159</v>
      </c>
      <c r="N41" s="2" t="s">
        <v>91</v>
      </c>
      <c r="O41" s="2" t="s">
        <v>95</v>
      </c>
      <c r="P41" s="2" t="str">
        <f t="shared" si="1"/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8.73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2</v>
      </c>
      <c r="BI41" s="2">
        <v>3.4</v>
      </c>
      <c r="BJ41" s="2">
        <v>2.6</v>
      </c>
      <c r="BK41" s="2">
        <v>4</v>
      </c>
      <c r="BL41" s="2">
        <v>83.93</v>
      </c>
      <c r="BM41" s="2">
        <v>11.75</v>
      </c>
      <c r="BN41" s="2">
        <v>95.68</v>
      </c>
      <c r="BO41" s="2">
        <v>95.68</v>
      </c>
      <c r="BQ41" s="2" t="s">
        <v>222</v>
      </c>
      <c r="BR41" s="2" t="s">
        <v>210</v>
      </c>
      <c r="BS41" s="3">
        <v>42865</v>
      </c>
      <c r="BT41" s="4">
        <v>0.3923611111111111</v>
      </c>
      <c r="BU41" s="2" t="s">
        <v>223</v>
      </c>
      <c r="BV41" s="2" t="s">
        <v>87</v>
      </c>
      <c r="BW41" s="2" t="s">
        <v>163</v>
      </c>
      <c r="BX41" s="2" t="s">
        <v>224</v>
      </c>
      <c r="BY41" s="2">
        <v>13200</v>
      </c>
      <c r="CC41" s="2" t="s">
        <v>159</v>
      </c>
      <c r="CD41" s="2">
        <v>2146</v>
      </c>
      <c r="CE41" s="2" t="s">
        <v>120</v>
      </c>
      <c r="CF41" s="3">
        <v>42860</v>
      </c>
      <c r="CI41" s="2">
        <v>1</v>
      </c>
      <c r="CJ41" s="2">
        <v>5</v>
      </c>
      <c r="CK41" s="2" t="s">
        <v>211</v>
      </c>
      <c r="CL41" s="2" t="s">
        <v>87</v>
      </c>
    </row>
    <row r="42" spans="1:90">
      <c r="A42" s="2" t="s">
        <v>88</v>
      </c>
      <c r="B42" s="2" t="s">
        <v>72</v>
      </c>
      <c r="C42" s="2" t="s">
        <v>73</v>
      </c>
      <c r="E42" s="2" t="str">
        <f>"009936115715"</f>
        <v>009936115715</v>
      </c>
      <c r="F42" s="3">
        <v>42860</v>
      </c>
      <c r="G42" s="2">
        <v>201711</v>
      </c>
      <c r="H42" s="2" t="s">
        <v>78</v>
      </c>
      <c r="I42" s="2" t="s">
        <v>79</v>
      </c>
      <c r="J42" s="2" t="s">
        <v>91</v>
      </c>
      <c r="K42" s="2" t="s">
        <v>77</v>
      </c>
      <c r="L42" s="2" t="s">
        <v>89</v>
      </c>
      <c r="M42" s="2" t="s">
        <v>90</v>
      </c>
      <c r="N42" s="2" t="s">
        <v>91</v>
      </c>
      <c r="O42" s="2" t="s">
        <v>81</v>
      </c>
      <c r="P42" s="2" t="str">
        <f t="shared" si="1"/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4.66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0.3</v>
      </c>
      <c r="BK42" s="2">
        <v>1</v>
      </c>
      <c r="BL42" s="2">
        <v>42.1</v>
      </c>
      <c r="BM42" s="2">
        <v>5.89</v>
      </c>
      <c r="BN42" s="2">
        <v>47.99</v>
      </c>
      <c r="BO42" s="2">
        <v>47.99</v>
      </c>
      <c r="BQ42" s="2" t="s">
        <v>97</v>
      </c>
      <c r="BR42" s="2" t="s">
        <v>122</v>
      </c>
      <c r="BS42" s="3">
        <v>42863</v>
      </c>
      <c r="BT42" s="4">
        <v>0.41319444444444442</v>
      </c>
      <c r="BU42" s="2" t="s">
        <v>214</v>
      </c>
      <c r="BV42" s="2" t="s">
        <v>85</v>
      </c>
      <c r="BY42" s="2">
        <v>1292</v>
      </c>
      <c r="BZ42" s="2" t="s">
        <v>27</v>
      </c>
      <c r="CA42" s="2" t="s">
        <v>215</v>
      </c>
      <c r="CC42" s="2" t="s">
        <v>90</v>
      </c>
      <c r="CD42" s="2">
        <v>6045</v>
      </c>
      <c r="CE42" s="2" t="s">
        <v>110</v>
      </c>
      <c r="CF42" s="3">
        <v>42863</v>
      </c>
      <c r="CI42" s="2">
        <v>1</v>
      </c>
      <c r="CJ42" s="2">
        <v>1</v>
      </c>
      <c r="CK42" s="2">
        <v>21</v>
      </c>
      <c r="CL42" s="2" t="s">
        <v>87</v>
      </c>
    </row>
    <row r="43" spans="1:90">
      <c r="A43" s="2" t="s">
        <v>88</v>
      </c>
      <c r="B43" s="2" t="s">
        <v>72</v>
      </c>
      <c r="C43" s="2" t="s">
        <v>73</v>
      </c>
      <c r="E43" s="2" t="str">
        <f>"009935957132"</f>
        <v>009935957132</v>
      </c>
      <c r="F43" s="3">
        <v>42860</v>
      </c>
      <c r="G43" s="2">
        <v>201711</v>
      </c>
      <c r="H43" s="2" t="s">
        <v>78</v>
      </c>
      <c r="I43" s="2" t="s">
        <v>79</v>
      </c>
      <c r="J43" s="2" t="s">
        <v>91</v>
      </c>
      <c r="K43" s="2" t="s">
        <v>77</v>
      </c>
      <c r="L43" s="2" t="s">
        <v>111</v>
      </c>
      <c r="M43" s="2" t="s">
        <v>112</v>
      </c>
      <c r="N43" s="2" t="s">
        <v>91</v>
      </c>
      <c r="O43" s="2" t="s">
        <v>81</v>
      </c>
      <c r="P43" s="2" t="str">
        <f t="shared" si="1"/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6.54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0.3</v>
      </c>
      <c r="BK43" s="2">
        <v>1</v>
      </c>
      <c r="BL43" s="2">
        <v>59.1</v>
      </c>
      <c r="BM43" s="2">
        <v>8.27</v>
      </c>
      <c r="BN43" s="2">
        <v>67.37</v>
      </c>
      <c r="BO43" s="2">
        <v>67.37</v>
      </c>
      <c r="BQ43" s="2" t="s">
        <v>121</v>
      </c>
      <c r="BR43" s="2" t="s">
        <v>122</v>
      </c>
      <c r="BS43" s="3">
        <v>42863</v>
      </c>
      <c r="BT43" s="4">
        <v>0.42569444444444443</v>
      </c>
      <c r="BU43" s="2" t="s">
        <v>225</v>
      </c>
      <c r="BV43" s="2" t="s">
        <v>85</v>
      </c>
      <c r="BY43" s="2">
        <v>1292</v>
      </c>
      <c r="BZ43" s="2" t="s">
        <v>27</v>
      </c>
      <c r="CC43" s="2" t="s">
        <v>112</v>
      </c>
      <c r="CD43" s="2">
        <v>1034</v>
      </c>
      <c r="CE43" s="2" t="s">
        <v>110</v>
      </c>
      <c r="CF43" s="3">
        <v>42865</v>
      </c>
      <c r="CI43" s="2">
        <v>1</v>
      </c>
      <c r="CJ43" s="2">
        <v>1</v>
      </c>
      <c r="CK43" s="2">
        <v>24</v>
      </c>
      <c r="CL43" s="2" t="s">
        <v>87</v>
      </c>
    </row>
    <row r="44" spans="1:90">
      <c r="A44" s="2" t="s">
        <v>88</v>
      </c>
      <c r="B44" s="2" t="s">
        <v>72</v>
      </c>
      <c r="C44" s="2" t="s">
        <v>73</v>
      </c>
      <c r="E44" s="2" t="str">
        <f>"009934949883"</f>
        <v>009934949883</v>
      </c>
      <c r="F44" s="3">
        <v>42860</v>
      </c>
      <c r="G44" s="2">
        <v>201711</v>
      </c>
      <c r="H44" s="2" t="s">
        <v>78</v>
      </c>
      <c r="I44" s="2" t="s">
        <v>79</v>
      </c>
      <c r="J44" s="2" t="s">
        <v>91</v>
      </c>
      <c r="K44" s="2" t="s">
        <v>77</v>
      </c>
      <c r="L44" s="2" t="s">
        <v>151</v>
      </c>
      <c r="M44" s="2" t="s">
        <v>152</v>
      </c>
      <c r="N44" s="2" t="s">
        <v>91</v>
      </c>
      <c r="O44" s="2" t="s">
        <v>81</v>
      </c>
      <c r="P44" s="2" t="str">
        <f t="shared" si="1"/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4.66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0.3</v>
      </c>
      <c r="BK44" s="2">
        <v>1</v>
      </c>
      <c r="BL44" s="2">
        <v>42.1</v>
      </c>
      <c r="BM44" s="2">
        <v>5.89</v>
      </c>
      <c r="BN44" s="2">
        <v>47.99</v>
      </c>
      <c r="BO44" s="2">
        <v>47.99</v>
      </c>
      <c r="BQ44" s="2" t="s">
        <v>153</v>
      </c>
      <c r="BR44" s="2" t="s">
        <v>226</v>
      </c>
      <c r="BS44" s="3">
        <v>42865</v>
      </c>
      <c r="BT44" s="4">
        <v>0.45833333333333331</v>
      </c>
      <c r="BU44" s="2" t="s">
        <v>206</v>
      </c>
      <c r="BV44" s="2" t="s">
        <v>87</v>
      </c>
      <c r="BW44" s="2" t="s">
        <v>227</v>
      </c>
      <c r="BX44" s="2" t="s">
        <v>228</v>
      </c>
      <c r="BY44" s="2">
        <v>1292</v>
      </c>
      <c r="BZ44" s="2" t="s">
        <v>27</v>
      </c>
      <c r="CC44" s="2" t="s">
        <v>152</v>
      </c>
      <c r="CD44" s="2">
        <v>700</v>
      </c>
      <c r="CE44" s="2" t="s">
        <v>110</v>
      </c>
      <c r="CF44" s="3">
        <v>42866</v>
      </c>
      <c r="CI44" s="2">
        <v>1</v>
      </c>
      <c r="CJ44" s="2">
        <v>3</v>
      </c>
      <c r="CK44" s="2">
        <v>21</v>
      </c>
      <c r="CL44" s="2" t="s">
        <v>87</v>
      </c>
    </row>
    <row r="45" spans="1:90">
      <c r="A45" s="2" t="s">
        <v>88</v>
      </c>
      <c r="B45" s="2" t="s">
        <v>72</v>
      </c>
      <c r="C45" s="2" t="s">
        <v>73</v>
      </c>
      <c r="E45" s="2" t="str">
        <f>"009935802802"</f>
        <v>009935802802</v>
      </c>
      <c r="F45" s="3">
        <v>42860</v>
      </c>
      <c r="G45" s="2">
        <v>201711</v>
      </c>
      <c r="H45" s="2" t="s">
        <v>78</v>
      </c>
      <c r="I45" s="2" t="s">
        <v>79</v>
      </c>
      <c r="J45" s="2" t="s">
        <v>91</v>
      </c>
      <c r="K45" s="2" t="s">
        <v>77</v>
      </c>
      <c r="L45" s="2" t="s">
        <v>189</v>
      </c>
      <c r="M45" s="2" t="s">
        <v>98</v>
      </c>
      <c r="N45" s="2" t="s">
        <v>91</v>
      </c>
      <c r="O45" s="2" t="s">
        <v>81</v>
      </c>
      <c r="P45" s="2" t="str">
        <f t="shared" si="1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0.3</v>
      </c>
      <c r="BK45" s="2">
        <v>1</v>
      </c>
      <c r="BL45" s="2">
        <v>42.1</v>
      </c>
      <c r="BM45" s="2">
        <v>5.89</v>
      </c>
      <c r="BN45" s="2">
        <v>47.99</v>
      </c>
      <c r="BO45" s="2">
        <v>47.99</v>
      </c>
      <c r="BQ45" s="2" t="s">
        <v>191</v>
      </c>
      <c r="BS45" s="3">
        <v>42865</v>
      </c>
      <c r="BT45" s="4">
        <v>0.41666666666666669</v>
      </c>
      <c r="BU45" s="2" t="s">
        <v>191</v>
      </c>
      <c r="BV45" s="2" t="s">
        <v>87</v>
      </c>
      <c r="BW45" s="2" t="s">
        <v>229</v>
      </c>
      <c r="BX45" s="2" t="s">
        <v>230</v>
      </c>
      <c r="BY45" s="2">
        <v>1292</v>
      </c>
      <c r="BZ45" s="2" t="s">
        <v>27</v>
      </c>
      <c r="CC45" s="2" t="s">
        <v>98</v>
      </c>
      <c r="CD45" s="2">
        <v>6530</v>
      </c>
      <c r="CE45" s="2" t="s">
        <v>110</v>
      </c>
      <c r="CF45" s="3">
        <v>42867</v>
      </c>
      <c r="CI45" s="2">
        <v>1</v>
      </c>
      <c r="CJ45" s="2">
        <v>3</v>
      </c>
      <c r="CK45" s="2">
        <v>21</v>
      </c>
      <c r="CL45" s="2" t="s">
        <v>87</v>
      </c>
    </row>
    <row r="46" spans="1:90">
      <c r="A46" s="2" t="s">
        <v>88</v>
      </c>
      <c r="B46" s="2" t="s">
        <v>72</v>
      </c>
      <c r="C46" s="2" t="s">
        <v>73</v>
      </c>
      <c r="E46" s="2" t="str">
        <f>"009936359856"</f>
        <v>009936359856</v>
      </c>
      <c r="F46" s="3">
        <v>42859</v>
      </c>
      <c r="G46" s="2">
        <v>201711</v>
      </c>
      <c r="H46" s="2" t="s">
        <v>231</v>
      </c>
      <c r="I46" s="2" t="s">
        <v>232</v>
      </c>
      <c r="J46" s="2" t="s">
        <v>91</v>
      </c>
      <c r="K46" s="2" t="s">
        <v>77</v>
      </c>
      <c r="L46" s="2" t="s">
        <v>78</v>
      </c>
      <c r="M46" s="2" t="s">
        <v>79</v>
      </c>
      <c r="N46" s="2" t="s">
        <v>91</v>
      </c>
      <c r="O46" s="2" t="s">
        <v>95</v>
      </c>
      <c r="P46" s="2" t="str">
        <f t="shared" si="1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30.76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29.2</v>
      </c>
      <c r="BJ46" s="2">
        <v>43.9</v>
      </c>
      <c r="BK46" s="2">
        <v>44</v>
      </c>
      <c r="BL46" s="2">
        <v>283.04000000000002</v>
      </c>
      <c r="BM46" s="2">
        <v>39.630000000000003</v>
      </c>
      <c r="BN46" s="2">
        <v>322.67</v>
      </c>
      <c r="BO46" s="2">
        <v>322.67</v>
      </c>
      <c r="BQ46" s="2" t="s">
        <v>122</v>
      </c>
      <c r="BR46" s="2" t="s">
        <v>233</v>
      </c>
      <c r="BS46" s="3">
        <v>42863</v>
      </c>
      <c r="BT46" s="4">
        <v>0.70624999999999993</v>
      </c>
      <c r="BU46" s="2" t="s">
        <v>162</v>
      </c>
      <c r="BV46" s="2" t="s">
        <v>87</v>
      </c>
      <c r="BW46" s="2" t="s">
        <v>163</v>
      </c>
      <c r="BX46" s="2" t="s">
        <v>164</v>
      </c>
      <c r="BY46" s="2">
        <v>219662.65</v>
      </c>
      <c r="CC46" s="2" t="s">
        <v>79</v>
      </c>
      <c r="CD46" s="2">
        <v>2054</v>
      </c>
      <c r="CE46" s="2" t="s">
        <v>120</v>
      </c>
      <c r="CF46" s="3">
        <v>42865</v>
      </c>
      <c r="CI46" s="2">
        <v>1</v>
      </c>
      <c r="CJ46" s="2">
        <v>2</v>
      </c>
      <c r="CK46" s="2" t="s">
        <v>99</v>
      </c>
      <c r="CL46" s="2" t="s">
        <v>87</v>
      </c>
    </row>
    <row r="47" spans="1:90">
      <c r="A47" s="2" t="s">
        <v>88</v>
      </c>
      <c r="B47" s="2" t="s">
        <v>72</v>
      </c>
      <c r="C47" s="2" t="s">
        <v>73</v>
      </c>
      <c r="E47" s="2" t="str">
        <f>"009936078466"</f>
        <v>009936078466</v>
      </c>
      <c r="F47" s="3">
        <v>42860</v>
      </c>
      <c r="G47" s="2">
        <v>201711</v>
      </c>
      <c r="H47" s="2" t="s">
        <v>78</v>
      </c>
      <c r="I47" s="2" t="s">
        <v>79</v>
      </c>
      <c r="J47" s="2" t="s">
        <v>91</v>
      </c>
      <c r="K47" s="2" t="s">
        <v>77</v>
      </c>
      <c r="L47" s="2" t="s">
        <v>186</v>
      </c>
      <c r="M47" s="2" t="s">
        <v>106</v>
      </c>
      <c r="N47" s="2" t="s">
        <v>91</v>
      </c>
      <c r="O47" s="2" t="s">
        <v>95</v>
      </c>
      <c r="P47" s="2" t="str">
        <f t="shared" si="1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120.11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6</v>
      </c>
      <c r="BI47" s="2">
        <v>248</v>
      </c>
      <c r="BJ47" s="2">
        <v>285.39999999999998</v>
      </c>
      <c r="BK47" s="2">
        <v>286</v>
      </c>
      <c r="BL47" s="2">
        <v>1090.6300000000001</v>
      </c>
      <c r="BM47" s="2">
        <v>152.69</v>
      </c>
      <c r="BN47" s="2">
        <v>1243.32</v>
      </c>
      <c r="BO47" s="2">
        <v>1243.32</v>
      </c>
      <c r="BQ47" s="2" t="s">
        <v>109</v>
      </c>
      <c r="BR47" s="2" t="s">
        <v>122</v>
      </c>
      <c r="BS47" s="3">
        <v>42863</v>
      </c>
      <c r="BT47" s="4">
        <v>0.41111111111111115</v>
      </c>
      <c r="BU47" s="2" t="s">
        <v>234</v>
      </c>
      <c r="BV47" s="2" t="s">
        <v>85</v>
      </c>
      <c r="BY47" s="2">
        <v>949382</v>
      </c>
      <c r="CA47" s="2" t="s">
        <v>208</v>
      </c>
      <c r="CC47" s="2" t="s">
        <v>106</v>
      </c>
      <c r="CD47" s="2">
        <v>7700</v>
      </c>
      <c r="CE47" s="2" t="s">
        <v>103</v>
      </c>
      <c r="CF47" s="3">
        <v>42863</v>
      </c>
      <c r="CI47" s="2">
        <v>2</v>
      </c>
      <c r="CJ47" s="2">
        <v>1</v>
      </c>
      <c r="CK47" s="2" t="s">
        <v>104</v>
      </c>
      <c r="CL47" s="2" t="s">
        <v>87</v>
      </c>
    </row>
    <row r="48" spans="1:90">
      <c r="A48" s="2" t="s">
        <v>88</v>
      </c>
      <c r="B48" s="2" t="s">
        <v>72</v>
      </c>
      <c r="C48" s="2" t="s">
        <v>73</v>
      </c>
      <c r="E48" s="2" t="str">
        <f>"009936115716"</f>
        <v>009936115716</v>
      </c>
      <c r="F48" s="3">
        <v>42860</v>
      </c>
      <c r="G48" s="2">
        <v>201711</v>
      </c>
      <c r="H48" s="2" t="s">
        <v>78</v>
      </c>
      <c r="I48" s="2" t="s">
        <v>79</v>
      </c>
      <c r="J48" s="2" t="s">
        <v>91</v>
      </c>
      <c r="K48" s="2" t="s">
        <v>77</v>
      </c>
      <c r="L48" s="2" t="s">
        <v>89</v>
      </c>
      <c r="M48" s="2" t="s">
        <v>90</v>
      </c>
      <c r="N48" s="2" t="s">
        <v>91</v>
      </c>
      <c r="O48" s="2" t="s">
        <v>95</v>
      </c>
      <c r="P48" s="2" t="str">
        <f t="shared" si="1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37.28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56</v>
      </c>
      <c r="BJ48" s="2">
        <v>82.4</v>
      </c>
      <c r="BK48" s="2">
        <v>83</v>
      </c>
      <c r="BL48" s="2">
        <v>341.96</v>
      </c>
      <c r="BM48" s="2">
        <v>47.87</v>
      </c>
      <c r="BN48" s="2">
        <v>389.83</v>
      </c>
      <c r="BO48" s="2">
        <v>389.83</v>
      </c>
      <c r="BQ48" s="2" t="s">
        <v>235</v>
      </c>
      <c r="BR48" s="2" t="s">
        <v>122</v>
      </c>
      <c r="BS48" s="3">
        <v>42863</v>
      </c>
      <c r="BT48" s="4">
        <v>0.55208333333333337</v>
      </c>
      <c r="BU48" s="2" t="s">
        <v>236</v>
      </c>
      <c r="BV48" s="2" t="s">
        <v>85</v>
      </c>
      <c r="BY48" s="2">
        <v>205920</v>
      </c>
      <c r="CC48" s="2" t="s">
        <v>90</v>
      </c>
      <c r="CD48" s="2">
        <v>6045</v>
      </c>
      <c r="CE48" s="2" t="s">
        <v>103</v>
      </c>
      <c r="CF48" s="3">
        <v>42864</v>
      </c>
      <c r="CI48" s="2">
        <v>2</v>
      </c>
      <c r="CJ48" s="2">
        <v>1</v>
      </c>
      <c r="CK48" s="2" t="s">
        <v>104</v>
      </c>
      <c r="CL48" s="2" t="s">
        <v>87</v>
      </c>
    </row>
    <row r="49" spans="1:90">
      <c r="A49" s="2" t="s">
        <v>88</v>
      </c>
      <c r="B49" s="2" t="s">
        <v>72</v>
      </c>
      <c r="C49" s="2" t="s">
        <v>73</v>
      </c>
      <c r="E49" s="2" t="str">
        <f>"009935802834"</f>
        <v>009935802834</v>
      </c>
      <c r="F49" s="3">
        <v>42860</v>
      </c>
      <c r="G49" s="2">
        <v>201711</v>
      </c>
      <c r="H49" s="2" t="s">
        <v>78</v>
      </c>
      <c r="I49" s="2" t="s">
        <v>79</v>
      </c>
      <c r="J49" s="2" t="s">
        <v>91</v>
      </c>
      <c r="K49" s="2" t="s">
        <v>77</v>
      </c>
      <c r="L49" s="2" t="s">
        <v>124</v>
      </c>
      <c r="M49" s="2" t="s">
        <v>125</v>
      </c>
      <c r="N49" s="2" t="s">
        <v>107</v>
      </c>
      <c r="O49" s="2" t="s">
        <v>95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8.73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0.9</v>
      </c>
      <c r="BK49" s="2">
        <v>1</v>
      </c>
      <c r="BL49" s="2">
        <v>83.93</v>
      </c>
      <c r="BM49" s="2">
        <v>11.75</v>
      </c>
      <c r="BN49" s="2">
        <v>95.68</v>
      </c>
      <c r="BO49" s="2">
        <v>95.68</v>
      </c>
      <c r="BQ49" s="2" t="s">
        <v>237</v>
      </c>
      <c r="BR49" s="2" t="s">
        <v>122</v>
      </c>
      <c r="BS49" s="3">
        <v>42870</v>
      </c>
      <c r="BT49" s="4">
        <v>0.40625</v>
      </c>
      <c r="BU49" s="2" t="s">
        <v>237</v>
      </c>
      <c r="BV49" s="2" t="s">
        <v>87</v>
      </c>
      <c r="BW49" s="2" t="s">
        <v>163</v>
      </c>
      <c r="BX49" s="2" t="s">
        <v>238</v>
      </c>
      <c r="BY49" s="2">
        <v>4653</v>
      </c>
      <c r="CC49" s="2" t="s">
        <v>125</v>
      </c>
      <c r="CD49" s="2">
        <v>300</v>
      </c>
      <c r="CE49" s="2" t="s">
        <v>86</v>
      </c>
      <c r="CF49" s="3">
        <v>42872</v>
      </c>
      <c r="CI49" s="2">
        <v>1</v>
      </c>
      <c r="CJ49" s="2">
        <v>6</v>
      </c>
      <c r="CK49" s="2" t="s">
        <v>133</v>
      </c>
      <c r="CL49" s="2" t="s">
        <v>87</v>
      </c>
    </row>
    <row r="50" spans="1:90">
      <c r="A50" s="2" t="s">
        <v>88</v>
      </c>
      <c r="B50" s="2" t="s">
        <v>72</v>
      </c>
      <c r="C50" s="2" t="s">
        <v>73</v>
      </c>
      <c r="E50" s="2" t="str">
        <f>"009935957098"</f>
        <v>009935957098</v>
      </c>
      <c r="F50" s="3">
        <v>42858</v>
      </c>
      <c r="G50" s="2">
        <v>201711</v>
      </c>
      <c r="H50" s="2" t="s">
        <v>158</v>
      </c>
      <c r="I50" s="2" t="s">
        <v>159</v>
      </c>
      <c r="J50" s="2" t="s">
        <v>76</v>
      </c>
      <c r="K50" s="2" t="s">
        <v>77</v>
      </c>
      <c r="L50" s="2" t="s">
        <v>111</v>
      </c>
      <c r="M50" s="2" t="s">
        <v>112</v>
      </c>
      <c r="N50" s="2" t="s">
        <v>91</v>
      </c>
      <c r="O50" s="2" t="s">
        <v>95</v>
      </c>
      <c r="P50" s="2" t="str">
        <f t="shared" ref="P50:P56" si="2">"STORES                        "</f>
        <v xml:space="preserve">STORES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32.07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2</v>
      </c>
      <c r="BI50" s="2">
        <v>82</v>
      </c>
      <c r="BJ50" s="2">
        <v>87.7</v>
      </c>
      <c r="BK50" s="2">
        <v>88</v>
      </c>
      <c r="BL50" s="2">
        <v>294.88</v>
      </c>
      <c r="BM50" s="2">
        <v>41.28</v>
      </c>
      <c r="BN50" s="2">
        <v>336.16</v>
      </c>
      <c r="BO50" s="2">
        <v>336.16</v>
      </c>
      <c r="BQ50" s="2" t="s">
        <v>121</v>
      </c>
      <c r="BR50" s="2" t="s">
        <v>239</v>
      </c>
      <c r="BS50" s="3">
        <v>42859</v>
      </c>
      <c r="BT50" s="4">
        <v>0.4375</v>
      </c>
      <c r="BU50" s="2" t="s">
        <v>240</v>
      </c>
      <c r="BV50" s="2" t="s">
        <v>85</v>
      </c>
      <c r="BY50" s="2">
        <v>438372</v>
      </c>
      <c r="CC50" s="2" t="s">
        <v>112</v>
      </c>
      <c r="CD50" s="2">
        <v>1034</v>
      </c>
      <c r="CE50" s="2" t="s">
        <v>120</v>
      </c>
      <c r="CF50" s="3">
        <v>42860</v>
      </c>
      <c r="CI50" s="2">
        <v>1</v>
      </c>
      <c r="CJ50" s="2">
        <v>1</v>
      </c>
      <c r="CK50" s="2" t="s">
        <v>133</v>
      </c>
      <c r="CL50" s="2" t="s">
        <v>87</v>
      </c>
    </row>
    <row r="51" spans="1:90">
      <c r="A51" s="2" t="s">
        <v>88</v>
      </c>
      <c r="B51" s="2" t="s">
        <v>72</v>
      </c>
      <c r="C51" s="2" t="s">
        <v>73</v>
      </c>
      <c r="E51" s="2" t="str">
        <f>"009936115938"</f>
        <v>009936115938</v>
      </c>
      <c r="F51" s="3">
        <v>42858</v>
      </c>
      <c r="G51" s="2">
        <v>201711</v>
      </c>
      <c r="H51" s="2" t="s">
        <v>158</v>
      </c>
      <c r="I51" s="2" t="s">
        <v>159</v>
      </c>
      <c r="J51" s="2" t="s">
        <v>91</v>
      </c>
      <c r="K51" s="2" t="s">
        <v>77</v>
      </c>
      <c r="L51" s="2" t="s">
        <v>138</v>
      </c>
      <c r="M51" s="2" t="s">
        <v>139</v>
      </c>
      <c r="N51" s="2" t="s">
        <v>91</v>
      </c>
      <c r="O51" s="2" t="s">
        <v>95</v>
      </c>
      <c r="P51" s="2" t="str">
        <f t="shared" si="2"/>
        <v xml:space="preserve">STORES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30.3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3</v>
      </c>
      <c r="BI51" s="2">
        <v>76</v>
      </c>
      <c r="BJ51" s="2">
        <v>100.3</v>
      </c>
      <c r="BK51" s="2">
        <v>101</v>
      </c>
      <c r="BL51" s="2">
        <v>278.87</v>
      </c>
      <c r="BM51" s="2">
        <v>39.04</v>
      </c>
      <c r="BN51" s="2">
        <v>317.91000000000003</v>
      </c>
      <c r="BO51" s="2">
        <v>317.91000000000003</v>
      </c>
      <c r="BQ51" s="2" t="s">
        <v>140</v>
      </c>
      <c r="BR51" s="2" t="s">
        <v>239</v>
      </c>
      <c r="BS51" s="3">
        <v>42859</v>
      </c>
      <c r="BT51" s="4">
        <v>0.44791666666666669</v>
      </c>
      <c r="BU51" s="2" t="s">
        <v>241</v>
      </c>
      <c r="BV51" s="2" t="s">
        <v>85</v>
      </c>
      <c r="BY51" s="2">
        <v>501471</v>
      </c>
      <c r="CC51" s="2" t="s">
        <v>139</v>
      </c>
      <c r="CD51" s="2">
        <v>9301</v>
      </c>
      <c r="CE51" s="2" t="s">
        <v>120</v>
      </c>
      <c r="CF51" s="3">
        <v>42860</v>
      </c>
      <c r="CI51" s="2">
        <v>1</v>
      </c>
      <c r="CJ51" s="2">
        <v>1</v>
      </c>
      <c r="CK51" s="2" t="s">
        <v>142</v>
      </c>
      <c r="CL51" s="2" t="s">
        <v>87</v>
      </c>
    </row>
    <row r="52" spans="1:90">
      <c r="A52" s="2" t="s">
        <v>88</v>
      </c>
      <c r="B52" s="2" t="s">
        <v>72</v>
      </c>
      <c r="C52" s="2" t="s">
        <v>73</v>
      </c>
      <c r="E52" s="2" t="str">
        <f>"009935802843"</f>
        <v>009935802843</v>
      </c>
      <c r="F52" s="3">
        <v>42858</v>
      </c>
      <c r="G52" s="2">
        <v>201711</v>
      </c>
      <c r="H52" s="2" t="s">
        <v>158</v>
      </c>
      <c r="I52" s="2" t="s">
        <v>159</v>
      </c>
      <c r="J52" s="2" t="s">
        <v>91</v>
      </c>
      <c r="K52" s="2" t="s">
        <v>77</v>
      </c>
      <c r="L52" s="2" t="s">
        <v>242</v>
      </c>
      <c r="M52" s="2" t="s">
        <v>170</v>
      </c>
      <c r="N52" s="2" t="s">
        <v>107</v>
      </c>
      <c r="O52" s="2" t="s">
        <v>95</v>
      </c>
      <c r="P52" s="2" t="str">
        <f t="shared" si="2"/>
        <v xml:space="preserve">STORES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6.55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</v>
      </c>
      <c r="BJ52" s="2">
        <v>4.2</v>
      </c>
      <c r="BK52" s="2">
        <v>5</v>
      </c>
      <c r="BL52" s="2">
        <v>64.2</v>
      </c>
      <c r="BM52" s="2">
        <v>8.99</v>
      </c>
      <c r="BN52" s="2">
        <v>73.19</v>
      </c>
      <c r="BO52" s="2">
        <v>73.19</v>
      </c>
      <c r="BQ52" s="2" t="s">
        <v>83</v>
      </c>
      <c r="BR52" s="2" t="s">
        <v>122</v>
      </c>
      <c r="BS52" s="3">
        <v>42860</v>
      </c>
      <c r="BT52" s="4">
        <v>0.29236111111111113</v>
      </c>
      <c r="BU52" s="2" t="s">
        <v>83</v>
      </c>
      <c r="BV52" s="2" t="s">
        <v>87</v>
      </c>
      <c r="BY52" s="2">
        <v>20800</v>
      </c>
      <c r="CC52" s="2" t="s">
        <v>170</v>
      </c>
      <c r="CD52" s="2">
        <v>1201</v>
      </c>
      <c r="CE52" s="2" t="s">
        <v>120</v>
      </c>
      <c r="CF52" s="3">
        <v>42863</v>
      </c>
      <c r="CI52" s="2">
        <v>1</v>
      </c>
      <c r="CJ52" s="2">
        <v>2</v>
      </c>
      <c r="CK52" s="2" t="s">
        <v>142</v>
      </c>
      <c r="CL52" s="2" t="s">
        <v>87</v>
      </c>
    </row>
    <row r="53" spans="1:90">
      <c r="A53" s="2" t="s">
        <v>88</v>
      </c>
      <c r="B53" s="2" t="s">
        <v>72</v>
      </c>
      <c r="C53" s="2" t="s">
        <v>73</v>
      </c>
      <c r="E53" s="2" t="str">
        <f>"009935802837"</f>
        <v>009935802837</v>
      </c>
      <c r="F53" s="3">
        <v>42858</v>
      </c>
      <c r="G53" s="2">
        <v>201711</v>
      </c>
      <c r="H53" s="2" t="s">
        <v>158</v>
      </c>
      <c r="I53" s="2" t="s">
        <v>159</v>
      </c>
      <c r="J53" s="2" t="s">
        <v>91</v>
      </c>
      <c r="K53" s="2" t="s">
        <v>77</v>
      </c>
      <c r="L53" s="2" t="s">
        <v>243</v>
      </c>
      <c r="M53" s="2" t="s">
        <v>244</v>
      </c>
      <c r="N53" s="2" t="s">
        <v>91</v>
      </c>
      <c r="O53" s="2" t="s">
        <v>95</v>
      </c>
      <c r="P53" s="2" t="str">
        <f t="shared" si="2"/>
        <v xml:space="preserve">STORES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60.21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53</v>
      </c>
      <c r="BJ53" s="2">
        <v>87.7</v>
      </c>
      <c r="BK53" s="2">
        <v>88</v>
      </c>
      <c r="BL53" s="2">
        <v>549.21</v>
      </c>
      <c r="BM53" s="2">
        <v>76.89</v>
      </c>
      <c r="BN53" s="2">
        <v>626.1</v>
      </c>
      <c r="BO53" s="2">
        <v>626.1</v>
      </c>
      <c r="BQ53" s="2" t="s">
        <v>245</v>
      </c>
      <c r="BR53" s="2" t="s">
        <v>122</v>
      </c>
      <c r="BS53" s="3">
        <v>42859</v>
      </c>
      <c r="BT53" s="4">
        <v>0.49652777777777773</v>
      </c>
      <c r="BU53" s="2" t="s">
        <v>245</v>
      </c>
      <c r="BV53" s="2" t="s">
        <v>85</v>
      </c>
      <c r="BY53" s="2">
        <v>438372</v>
      </c>
      <c r="CC53" s="2" t="s">
        <v>244</v>
      </c>
      <c r="CD53" s="2">
        <v>8600</v>
      </c>
      <c r="CE53" s="2" t="s">
        <v>120</v>
      </c>
      <c r="CF53" s="3">
        <v>42863</v>
      </c>
      <c r="CI53" s="2">
        <v>2</v>
      </c>
      <c r="CJ53" s="2">
        <v>1</v>
      </c>
      <c r="CK53" s="2" t="s">
        <v>196</v>
      </c>
      <c r="CL53" s="2" t="s">
        <v>87</v>
      </c>
    </row>
    <row r="54" spans="1:90">
      <c r="A54" s="2" t="s">
        <v>88</v>
      </c>
      <c r="B54" s="2" t="s">
        <v>72</v>
      </c>
      <c r="C54" s="2" t="s">
        <v>73</v>
      </c>
      <c r="E54" s="2" t="str">
        <f>"009935501480"</f>
        <v>009935501480</v>
      </c>
      <c r="F54" s="3">
        <v>42858</v>
      </c>
      <c r="G54" s="2">
        <v>201711</v>
      </c>
      <c r="H54" s="2" t="s">
        <v>158</v>
      </c>
      <c r="I54" s="2" t="s">
        <v>159</v>
      </c>
      <c r="J54" s="2" t="s">
        <v>91</v>
      </c>
      <c r="K54" s="2" t="s">
        <v>77</v>
      </c>
      <c r="L54" s="2" t="s">
        <v>176</v>
      </c>
      <c r="M54" s="2" t="s">
        <v>177</v>
      </c>
      <c r="N54" s="2" t="s">
        <v>91</v>
      </c>
      <c r="O54" s="2" t="s">
        <v>95</v>
      </c>
      <c r="P54" s="2" t="str">
        <f t="shared" si="2"/>
        <v xml:space="preserve">STORES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38.86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3</v>
      </c>
      <c r="BI54" s="2">
        <v>99</v>
      </c>
      <c r="BJ54" s="2">
        <v>131.5</v>
      </c>
      <c r="BK54" s="2">
        <v>132</v>
      </c>
      <c r="BL54" s="2">
        <v>356.25</v>
      </c>
      <c r="BM54" s="2">
        <v>49.88</v>
      </c>
      <c r="BN54" s="2">
        <v>406.13</v>
      </c>
      <c r="BO54" s="2">
        <v>406.13</v>
      </c>
      <c r="BQ54" s="2" t="s">
        <v>178</v>
      </c>
      <c r="BR54" s="2" t="s">
        <v>122</v>
      </c>
      <c r="BS54" s="3">
        <v>42859</v>
      </c>
      <c r="BT54" s="4">
        <v>0.59027777777777779</v>
      </c>
      <c r="BU54" s="2" t="s">
        <v>179</v>
      </c>
      <c r="BV54" s="2" t="s">
        <v>85</v>
      </c>
      <c r="BY54" s="2">
        <v>657558</v>
      </c>
      <c r="CC54" s="2" t="s">
        <v>177</v>
      </c>
      <c r="CD54" s="2">
        <v>4091</v>
      </c>
      <c r="CE54" s="2" t="s">
        <v>120</v>
      </c>
      <c r="CF54" s="3">
        <v>42860</v>
      </c>
      <c r="CI54" s="2">
        <v>1</v>
      </c>
      <c r="CJ54" s="2">
        <v>1</v>
      </c>
      <c r="CK54" s="2" t="s">
        <v>146</v>
      </c>
      <c r="CL54" s="2" t="s">
        <v>87</v>
      </c>
    </row>
    <row r="55" spans="1:90">
      <c r="A55" s="2" t="s">
        <v>88</v>
      </c>
      <c r="B55" s="2" t="s">
        <v>72</v>
      </c>
      <c r="C55" s="2" t="s">
        <v>73</v>
      </c>
      <c r="E55" s="2" t="str">
        <f>"009935802839"</f>
        <v>009935802839</v>
      </c>
      <c r="F55" s="3">
        <v>42858</v>
      </c>
      <c r="G55" s="2">
        <v>201711</v>
      </c>
      <c r="H55" s="2" t="s">
        <v>158</v>
      </c>
      <c r="I55" s="2" t="s">
        <v>159</v>
      </c>
      <c r="J55" s="2" t="s">
        <v>76</v>
      </c>
      <c r="K55" s="2" t="s">
        <v>77</v>
      </c>
      <c r="L55" s="2" t="s">
        <v>124</v>
      </c>
      <c r="M55" s="2" t="s">
        <v>125</v>
      </c>
      <c r="N55" s="2" t="s">
        <v>107</v>
      </c>
      <c r="O55" s="2" t="s">
        <v>95</v>
      </c>
      <c r="P55" s="2" t="str">
        <f t="shared" si="2"/>
        <v xml:space="preserve">STORES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46.14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3</v>
      </c>
      <c r="BI55" s="2">
        <v>85</v>
      </c>
      <c r="BJ55" s="2">
        <v>131.5</v>
      </c>
      <c r="BK55" s="2">
        <v>132</v>
      </c>
      <c r="BL55" s="2">
        <v>422.03</v>
      </c>
      <c r="BM55" s="2">
        <v>59.08</v>
      </c>
      <c r="BN55" s="2">
        <v>481.11</v>
      </c>
      <c r="BO55" s="2">
        <v>481.11</v>
      </c>
      <c r="BQ55" s="2" t="s">
        <v>246</v>
      </c>
      <c r="BR55" s="2" t="s">
        <v>122</v>
      </c>
      <c r="BS55" s="3">
        <v>42859</v>
      </c>
      <c r="BT55" s="4">
        <v>0.33333333333333331</v>
      </c>
      <c r="BU55" s="2" t="s">
        <v>246</v>
      </c>
      <c r="BV55" s="2" t="s">
        <v>85</v>
      </c>
      <c r="BY55" s="2">
        <v>657558</v>
      </c>
      <c r="CC55" s="2" t="s">
        <v>125</v>
      </c>
      <c r="CD55" s="2">
        <v>299</v>
      </c>
      <c r="CE55" s="2" t="s">
        <v>120</v>
      </c>
      <c r="CF55" s="3">
        <v>42863</v>
      </c>
      <c r="CI55" s="2">
        <v>1</v>
      </c>
      <c r="CJ55" s="2">
        <v>1</v>
      </c>
      <c r="CK55" s="2" t="s">
        <v>133</v>
      </c>
      <c r="CL55" s="2" t="s">
        <v>87</v>
      </c>
    </row>
    <row r="56" spans="1:90">
      <c r="A56" s="2" t="s">
        <v>88</v>
      </c>
      <c r="B56" s="2" t="s">
        <v>72</v>
      </c>
      <c r="C56" s="2" t="s">
        <v>73</v>
      </c>
      <c r="E56" s="2" t="str">
        <f>"009935473710"</f>
        <v>009935473710</v>
      </c>
      <c r="F56" s="3">
        <v>42858</v>
      </c>
      <c r="G56" s="2">
        <v>201711</v>
      </c>
      <c r="H56" s="2" t="s">
        <v>158</v>
      </c>
      <c r="I56" s="2" t="s">
        <v>159</v>
      </c>
      <c r="J56" s="2" t="s">
        <v>91</v>
      </c>
      <c r="K56" s="2" t="s">
        <v>77</v>
      </c>
      <c r="L56" s="2" t="s">
        <v>151</v>
      </c>
      <c r="M56" s="2" t="s">
        <v>152</v>
      </c>
      <c r="N56" s="2" t="s">
        <v>91</v>
      </c>
      <c r="O56" s="2" t="s">
        <v>95</v>
      </c>
      <c r="P56" s="2" t="str">
        <f t="shared" si="2"/>
        <v xml:space="preserve">STORES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78.91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2</v>
      </c>
      <c r="BI56" s="2">
        <v>277</v>
      </c>
      <c r="BJ56" s="2">
        <v>194.9</v>
      </c>
      <c r="BK56" s="2">
        <v>277</v>
      </c>
      <c r="BL56" s="2">
        <v>718.2</v>
      </c>
      <c r="BM56" s="2">
        <v>100.55</v>
      </c>
      <c r="BN56" s="2">
        <v>818.75</v>
      </c>
      <c r="BO56" s="2">
        <v>818.75</v>
      </c>
      <c r="BQ56" s="2" t="s">
        <v>153</v>
      </c>
      <c r="BR56" s="2" t="s">
        <v>122</v>
      </c>
      <c r="BS56" s="3">
        <v>42858</v>
      </c>
      <c r="BT56" s="4">
        <v>0.34375</v>
      </c>
      <c r="BU56" s="2" t="s">
        <v>247</v>
      </c>
      <c r="BV56" s="2" t="s">
        <v>85</v>
      </c>
      <c r="BY56" s="2">
        <v>974376</v>
      </c>
      <c r="CC56" s="2" t="s">
        <v>152</v>
      </c>
      <c r="CD56" s="2">
        <v>699</v>
      </c>
      <c r="CE56" s="2" t="s">
        <v>120</v>
      </c>
      <c r="CF56" s="3">
        <v>42860</v>
      </c>
      <c r="CI56" s="2">
        <v>1</v>
      </c>
      <c r="CJ56" s="2">
        <v>0</v>
      </c>
      <c r="CK56" s="2" t="s">
        <v>142</v>
      </c>
      <c r="CL56" s="2" t="s">
        <v>87</v>
      </c>
    </row>
    <row r="57" spans="1:90">
      <c r="A57" s="2" t="s">
        <v>71</v>
      </c>
      <c r="B57" s="2" t="s">
        <v>72</v>
      </c>
      <c r="C57" s="2" t="s">
        <v>73</v>
      </c>
      <c r="E57" s="2" t="str">
        <f>"029907613750"</f>
        <v>029907613750</v>
      </c>
      <c r="F57" s="3">
        <v>42859</v>
      </c>
      <c r="G57" s="2">
        <v>201711</v>
      </c>
      <c r="H57" s="2" t="s">
        <v>176</v>
      </c>
      <c r="I57" s="2" t="s">
        <v>177</v>
      </c>
      <c r="J57" s="2" t="s">
        <v>209</v>
      </c>
      <c r="K57" s="2" t="s">
        <v>77</v>
      </c>
      <c r="L57" s="2" t="s">
        <v>78</v>
      </c>
      <c r="M57" s="2" t="s">
        <v>79</v>
      </c>
      <c r="N57" s="2" t="s">
        <v>91</v>
      </c>
      <c r="O57" s="2" t="s">
        <v>81</v>
      </c>
      <c r="P57" s="2" t="str">
        <f>"170 52 0603                   "</f>
        <v xml:space="preserve">170 52 0603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4.66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2</v>
      </c>
      <c r="BJ57" s="2">
        <v>1.2</v>
      </c>
      <c r="BK57" s="2">
        <v>2</v>
      </c>
      <c r="BL57" s="2">
        <v>42.1</v>
      </c>
      <c r="BM57" s="2">
        <v>5.89</v>
      </c>
      <c r="BN57" s="2">
        <v>47.99</v>
      </c>
      <c r="BO57" s="2">
        <v>47.99</v>
      </c>
      <c r="BQ57" s="2" t="s">
        <v>248</v>
      </c>
      <c r="BR57" s="2" t="s">
        <v>210</v>
      </c>
      <c r="BS57" s="3">
        <v>42860</v>
      </c>
      <c r="BT57" s="4">
        <v>0.40138888888888885</v>
      </c>
      <c r="BU57" s="2" t="s">
        <v>174</v>
      </c>
      <c r="BV57" s="2" t="s">
        <v>85</v>
      </c>
      <c r="BY57" s="2">
        <v>6000</v>
      </c>
      <c r="BZ57" s="2" t="s">
        <v>27</v>
      </c>
      <c r="CA57" s="2" t="s">
        <v>175</v>
      </c>
      <c r="CC57" s="2" t="s">
        <v>79</v>
      </c>
      <c r="CD57" s="2">
        <v>2102</v>
      </c>
      <c r="CF57" s="3">
        <v>42863</v>
      </c>
      <c r="CI57" s="2">
        <v>1</v>
      </c>
      <c r="CJ57" s="2">
        <v>1</v>
      </c>
      <c r="CK57" s="2">
        <v>21</v>
      </c>
      <c r="CL57" s="2" t="s">
        <v>87</v>
      </c>
    </row>
    <row r="58" spans="1:90">
      <c r="A58" s="2" t="s">
        <v>88</v>
      </c>
      <c r="B58" s="2" t="s">
        <v>72</v>
      </c>
      <c r="C58" s="2" t="s">
        <v>73</v>
      </c>
      <c r="E58" s="2" t="str">
        <f>"009935613995"</f>
        <v>009935613995</v>
      </c>
      <c r="F58" s="3">
        <v>42858</v>
      </c>
      <c r="G58" s="2">
        <v>201711</v>
      </c>
      <c r="H58" s="2" t="s">
        <v>158</v>
      </c>
      <c r="I58" s="2" t="s">
        <v>159</v>
      </c>
      <c r="J58" s="2" t="s">
        <v>91</v>
      </c>
      <c r="K58" s="2" t="s">
        <v>77</v>
      </c>
      <c r="L58" s="2" t="s">
        <v>249</v>
      </c>
      <c r="M58" s="2" t="s">
        <v>250</v>
      </c>
      <c r="N58" s="2" t="s">
        <v>251</v>
      </c>
      <c r="O58" s="2" t="s">
        <v>81</v>
      </c>
      <c r="P58" s="2" t="str">
        <f>"LCK                           "</f>
        <v xml:space="preserve">LCK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9.02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81.56</v>
      </c>
      <c r="BM58" s="2">
        <v>11.42</v>
      </c>
      <c r="BN58" s="2">
        <v>92.98</v>
      </c>
      <c r="BO58" s="2">
        <v>92.98</v>
      </c>
      <c r="BQ58" s="2" t="s">
        <v>252</v>
      </c>
      <c r="BR58" s="2" t="s">
        <v>253</v>
      </c>
      <c r="BS58" s="3">
        <v>42860</v>
      </c>
      <c r="BT58" s="4">
        <v>0.5</v>
      </c>
      <c r="BU58" s="2" t="s">
        <v>252</v>
      </c>
      <c r="BV58" s="2" t="s">
        <v>87</v>
      </c>
      <c r="BW58" s="2" t="s">
        <v>254</v>
      </c>
      <c r="BX58" s="2" t="s">
        <v>255</v>
      </c>
      <c r="BY58" s="2">
        <v>1200</v>
      </c>
      <c r="BZ58" s="2" t="s">
        <v>27</v>
      </c>
      <c r="CC58" s="2" t="s">
        <v>250</v>
      </c>
      <c r="CD58" s="2">
        <v>4240</v>
      </c>
      <c r="CE58" s="2" t="s">
        <v>120</v>
      </c>
      <c r="CF58" s="3">
        <v>42864</v>
      </c>
      <c r="CI58" s="2">
        <v>1</v>
      </c>
      <c r="CJ58" s="2">
        <v>2</v>
      </c>
      <c r="CK58" s="2">
        <v>23</v>
      </c>
      <c r="CL58" s="2" t="s">
        <v>87</v>
      </c>
    </row>
    <row r="59" spans="1:90">
      <c r="A59" s="2" t="s">
        <v>88</v>
      </c>
      <c r="B59" s="2" t="s">
        <v>72</v>
      </c>
      <c r="C59" s="2" t="s">
        <v>73</v>
      </c>
      <c r="E59" s="2" t="str">
        <f>"009935613994"</f>
        <v>009935613994</v>
      </c>
      <c r="F59" s="3">
        <v>42858</v>
      </c>
      <c r="G59" s="2">
        <v>201711</v>
      </c>
      <c r="H59" s="2" t="s">
        <v>158</v>
      </c>
      <c r="I59" s="2" t="s">
        <v>159</v>
      </c>
      <c r="J59" s="2" t="s">
        <v>91</v>
      </c>
      <c r="K59" s="2" t="s">
        <v>77</v>
      </c>
      <c r="L59" s="2" t="s">
        <v>197</v>
      </c>
      <c r="M59" s="2" t="s">
        <v>198</v>
      </c>
      <c r="N59" s="2" t="s">
        <v>107</v>
      </c>
      <c r="O59" s="2" t="s">
        <v>81</v>
      </c>
      <c r="P59" s="2" t="str">
        <f>"LCK                           "</f>
        <v xml:space="preserve">LCK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9.02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0.3</v>
      </c>
      <c r="BK59" s="2">
        <v>1</v>
      </c>
      <c r="BL59" s="2">
        <v>81.56</v>
      </c>
      <c r="BM59" s="2">
        <v>11.42</v>
      </c>
      <c r="BN59" s="2">
        <v>92.98</v>
      </c>
      <c r="BO59" s="2">
        <v>92.98</v>
      </c>
      <c r="BQ59" s="2" t="s">
        <v>256</v>
      </c>
      <c r="BR59" s="2" t="s">
        <v>253</v>
      </c>
      <c r="BS59" s="3">
        <v>42859</v>
      </c>
      <c r="BT59" s="4">
        <v>0.46875</v>
      </c>
      <c r="BU59" s="2" t="s">
        <v>200</v>
      </c>
      <c r="BV59" s="2" t="s">
        <v>87</v>
      </c>
      <c r="BY59" s="2">
        <v>1292</v>
      </c>
      <c r="BZ59" s="2" t="s">
        <v>27</v>
      </c>
      <c r="CC59" s="2" t="s">
        <v>198</v>
      </c>
      <c r="CD59" s="2">
        <v>2570</v>
      </c>
      <c r="CE59" s="2" t="s">
        <v>120</v>
      </c>
      <c r="CF59" s="3">
        <v>42863</v>
      </c>
      <c r="CI59" s="2">
        <v>1</v>
      </c>
      <c r="CJ59" s="2">
        <v>1</v>
      </c>
      <c r="CK59" s="2">
        <v>23</v>
      </c>
      <c r="CL59" s="2" t="s">
        <v>87</v>
      </c>
    </row>
    <row r="60" spans="1:90">
      <c r="A60" s="2" t="s">
        <v>88</v>
      </c>
      <c r="B60" s="2" t="s">
        <v>72</v>
      </c>
      <c r="C60" s="2" t="s">
        <v>73</v>
      </c>
      <c r="E60" s="2" t="str">
        <f>"009935613996"</f>
        <v>009935613996</v>
      </c>
      <c r="F60" s="3">
        <v>42858</v>
      </c>
      <c r="G60" s="2">
        <v>201711</v>
      </c>
      <c r="H60" s="2" t="s">
        <v>158</v>
      </c>
      <c r="I60" s="2" t="s">
        <v>159</v>
      </c>
      <c r="J60" s="2" t="s">
        <v>91</v>
      </c>
      <c r="K60" s="2" t="s">
        <v>77</v>
      </c>
      <c r="L60" s="2" t="s">
        <v>180</v>
      </c>
      <c r="M60" s="2" t="s">
        <v>181</v>
      </c>
      <c r="N60" s="2" t="s">
        <v>257</v>
      </c>
      <c r="O60" s="2" t="s">
        <v>81</v>
      </c>
      <c r="P60" s="2" t="str">
        <f>"LCK                           "</f>
        <v xml:space="preserve">LCK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4.66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42.1</v>
      </c>
      <c r="BM60" s="2">
        <v>5.89</v>
      </c>
      <c r="BN60" s="2">
        <v>47.99</v>
      </c>
      <c r="BO60" s="2">
        <v>47.99</v>
      </c>
      <c r="BQ60" s="2" t="s">
        <v>184</v>
      </c>
      <c r="BR60" s="2" t="s">
        <v>253</v>
      </c>
      <c r="BS60" s="3">
        <v>42859</v>
      </c>
      <c r="BT60" s="4">
        <v>0.41666666666666669</v>
      </c>
      <c r="BU60" s="2" t="s">
        <v>184</v>
      </c>
      <c r="BV60" s="2" t="s">
        <v>85</v>
      </c>
      <c r="BY60" s="2">
        <v>1200</v>
      </c>
      <c r="BZ60" s="2" t="s">
        <v>27</v>
      </c>
      <c r="CC60" s="2" t="s">
        <v>181</v>
      </c>
      <c r="CD60" s="2">
        <v>9459</v>
      </c>
      <c r="CE60" s="2" t="s">
        <v>120</v>
      </c>
      <c r="CF60" s="3">
        <v>42863</v>
      </c>
      <c r="CI60" s="2">
        <v>1</v>
      </c>
      <c r="CJ60" s="2">
        <v>1</v>
      </c>
      <c r="CK60" s="2">
        <v>21</v>
      </c>
      <c r="CL60" s="2" t="s">
        <v>87</v>
      </c>
    </row>
    <row r="61" spans="1:90">
      <c r="A61" s="2" t="s">
        <v>71</v>
      </c>
      <c r="B61" s="2" t="s">
        <v>72</v>
      </c>
      <c r="C61" s="2" t="s">
        <v>73</v>
      </c>
      <c r="E61" s="2" t="str">
        <f>"049901278926"</f>
        <v>049901278926</v>
      </c>
      <c r="F61" s="3">
        <v>42863</v>
      </c>
      <c r="G61" s="2">
        <v>201711</v>
      </c>
      <c r="H61" s="2" t="s">
        <v>258</v>
      </c>
      <c r="I61" s="2" t="s">
        <v>259</v>
      </c>
      <c r="J61" s="2" t="s">
        <v>91</v>
      </c>
      <c r="K61" s="2" t="s">
        <v>77</v>
      </c>
      <c r="L61" s="2" t="s">
        <v>89</v>
      </c>
      <c r="M61" s="2" t="s">
        <v>90</v>
      </c>
      <c r="N61" s="2" t="s">
        <v>91</v>
      </c>
      <c r="O61" s="2" t="s">
        <v>81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4.66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42.1</v>
      </c>
      <c r="BM61" s="2">
        <v>5.89</v>
      </c>
      <c r="BN61" s="2">
        <v>47.99</v>
      </c>
      <c r="BO61" s="2">
        <v>47.99</v>
      </c>
      <c r="BQ61" s="2" t="s">
        <v>260</v>
      </c>
      <c r="BR61" s="2" t="s">
        <v>261</v>
      </c>
      <c r="BS61" s="3">
        <v>42864</v>
      </c>
      <c r="BT61" s="4">
        <v>0.42569444444444443</v>
      </c>
      <c r="BU61" s="2" t="s">
        <v>214</v>
      </c>
      <c r="BV61" s="2" t="s">
        <v>85</v>
      </c>
      <c r="BY61" s="2">
        <v>1200</v>
      </c>
      <c r="BZ61" s="2" t="s">
        <v>27</v>
      </c>
      <c r="CA61" s="2" t="s">
        <v>215</v>
      </c>
      <c r="CC61" s="2" t="s">
        <v>90</v>
      </c>
      <c r="CD61" s="2">
        <v>6045</v>
      </c>
      <c r="CE61" s="2" t="s">
        <v>120</v>
      </c>
      <c r="CF61" s="3">
        <v>42864</v>
      </c>
      <c r="CI61" s="2">
        <v>1</v>
      </c>
      <c r="CJ61" s="2">
        <v>1</v>
      </c>
      <c r="CK61" s="2">
        <v>21</v>
      </c>
      <c r="CL61" s="2" t="s">
        <v>87</v>
      </c>
    </row>
    <row r="62" spans="1:90">
      <c r="A62" s="2" t="s">
        <v>71</v>
      </c>
      <c r="B62" s="2" t="s">
        <v>72</v>
      </c>
      <c r="C62" s="2" t="s">
        <v>73</v>
      </c>
      <c r="E62" s="2" t="str">
        <f>"029907613749"</f>
        <v>029907613749</v>
      </c>
      <c r="F62" s="3">
        <v>42863</v>
      </c>
      <c r="G62" s="2">
        <v>201711</v>
      </c>
      <c r="H62" s="2" t="s">
        <v>176</v>
      </c>
      <c r="I62" s="2" t="s">
        <v>177</v>
      </c>
      <c r="J62" s="2" t="s">
        <v>209</v>
      </c>
      <c r="K62" s="2" t="s">
        <v>77</v>
      </c>
      <c r="L62" s="2" t="s">
        <v>158</v>
      </c>
      <c r="M62" s="2" t="s">
        <v>159</v>
      </c>
      <c r="N62" s="2" t="s">
        <v>262</v>
      </c>
      <c r="O62" s="2" t="s">
        <v>81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5.82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2.5</v>
      </c>
      <c r="BJ62" s="2">
        <v>1.2</v>
      </c>
      <c r="BK62" s="2">
        <v>2.5</v>
      </c>
      <c r="BL62" s="2">
        <v>52.62</v>
      </c>
      <c r="BM62" s="2">
        <v>7.37</v>
      </c>
      <c r="BN62" s="2">
        <v>59.99</v>
      </c>
      <c r="BO62" s="2">
        <v>59.99</v>
      </c>
      <c r="BR62" s="2" t="s">
        <v>263</v>
      </c>
      <c r="BS62" s="3">
        <v>42864</v>
      </c>
      <c r="BT62" s="4">
        <v>0.41041666666666665</v>
      </c>
      <c r="BU62" s="2" t="s">
        <v>223</v>
      </c>
      <c r="BV62" s="2" t="s">
        <v>85</v>
      </c>
      <c r="BY62" s="2">
        <v>6000</v>
      </c>
      <c r="BZ62" s="2" t="s">
        <v>27</v>
      </c>
      <c r="CC62" s="2" t="s">
        <v>159</v>
      </c>
      <c r="CD62" s="2">
        <v>2146</v>
      </c>
      <c r="CE62" s="2" t="s">
        <v>120</v>
      </c>
      <c r="CF62" s="3">
        <v>42865</v>
      </c>
      <c r="CI62" s="2">
        <v>1</v>
      </c>
      <c r="CJ62" s="2">
        <v>1</v>
      </c>
      <c r="CK62" s="2">
        <v>21</v>
      </c>
      <c r="CL62" s="2" t="s">
        <v>87</v>
      </c>
    </row>
    <row r="63" spans="1:90">
      <c r="A63" s="2" t="s">
        <v>88</v>
      </c>
      <c r="B63" s="2" t="s">
        <v>72</v>
      </c>
      <c r="C63" s="2" t="s">
        <v>73</v>
      </c>
      <c r="E63" s="2" t="str">
        <f>"009936282114"</f>
        <v>009936282114</v>
      </c>
      <c r="F63" s="3">
        <v>42863</v>
      </c>
      <c r="G63" s="2">
        <v>201711</v>
      </c>
      <c r="H63" s="2" t="s">
        <v>124</v>
      </c>
      <c r="I63" s="2" t="s">
        <v>125</v>
      </c>
      <c r="J63" s="2" t="s">
        <v>126</v>
      </c>
      <c r="K63" s="2" t="s">
        <v>77</v>
      </c>
      <c r="L63" s="2" t="s">
        <v>78</v>
      </c>
      <c r="M63" s="2" t="s">
        <v>79</v>
      </c>
      <c r="N63" s="2" t="s">
        <v>76</v>
      </c>
      <c r="O63" s="2" t="s">
        <v>95</v>
      </c>
      <c r="P63" s="2" t="str">
        <f>"PARTS                         "</f>
        <v xml:space="preserve">PARTS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8.01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0.2</v>
      </c>
      <c r="BK63" s="2">
        <v>1</v>
      </c>
      <c r="BL63" s="2">
        <v>77.36</v>
      </c>
      <c r="BM63" s="2">
        <v>10.83</v>
      </c>
      <c r="BN63" s="2">
        <v>88.19</v>
      </c>
      <c r="BO63" s="2">
        <v>88.19</v>
      </c>
      <c r="BQ63" s="2" t="s">
        <v>127</v>
      </c>
      <c r="BR63" s="2" t="s">
        <v>128</v>
      </c>
      <c r="BS63" s="3">
        <v>42864</v>
      </c>
      <c r="BT63" s="4">
        <v>0.4826388888888889</v>
      </c>
      <c r="BU63" s="2" t="s">
        <v>148</v>
      </c>
      <c r="BV63" s="2" t="s">
        <v>85</v>
      </c>
      <c r="BY63" s="2">
        <v>1200</v>
      </c>
      <c r="CC63" s="2" t="s">
        <v>79</v>
      </c>
      <c r="CD63" s="2">
        <v>2000</v>
      </c>
      <c r="CE63" s="2" t="s">
        <v>120</v>
      </c>
      <c r="CF63" s="3">
        <v>42866</v>
      </c>
      <c r="CI63" s="2">
        <v>1</v>
      </c>
      <c r="CJ63" s="2">
        <v>1</v>
      </c>
      <c r="CK63" s="2" t="s">
        <v>129</v>
      </c>
      <c r="CL63" s="2" t="s">
        <v>87</v>
      </c>
    </row>
    <row r="64" spans="1:90">
      <c r="A64" s="2" t="s">
        <v>88</v>
      </c>
      <c r="B64" s="2" t="s">
        <v>72</v>
      </c>
      <c r="C64" s="2" t="s">
        <v>73</v>
      </c>
      <c r="E64" s="2" t="str">
        <f>"029907512104"</f>
        <v>029907512104</v>
      </c>
      <c r="F64" s="3">
        <v>42863</v>
      </c>
      <c r="G64" s="2">
        <v>201711</v>
      </c>
      <c r="H64" s="2" t="s">
        <v>176</v>
      </c>
      <c r="I64" s="2" t="s">
        <v>177</v>
      </c>
      <c r="J64" s="2" t="s">
        <v>209</v>
      </c>
      <c r="K64" s="2" t="s">
        <v>77</v>
      </c>
      <c r="L64" s="2" t="s">
        <v>78</v>
      </c>
      <c r="M64" s="2" t="s">
        <v>79</v>
      </c>
      <c r="N64" s="2" t="s">
        <v>91</v>
      </c>
      <c r="O64" s="2" t="s">
        <v>95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53.81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4</v>
      </c>
      <c r="BI64" s="2">
        <v>156</v>
      </c>
      <c r="BJ64" s="2">
        <v>102.5</v>
      </c>
      <c r="BK64" s="2">
        <v>156</v>
      </c>
      <c r="BL64" s="2">
        <v>491.38</v>
      </c>
      <c r="BM64" s="2">
        <v>68.790000000000006</v>
      </c>
      <c r="BN64" s="2">
        <v>560.16999999999996</v>
      </c>
      <c r="BO64" s="2">
        <v>560.16999999999996</v>
      </c>
      <c r="BQ64" s="2" t="s">
        <v>122</v>
      </c>
      <c r="BR64" s="2" t="s">
        <v>210</v>
      </c>
      <c r="BS64" s="3">
        <v>42864</v>
      </c>
      <c r="BT64" s="4">
        <v>0.4826388888888889</v>
      </c>
      <c r="BU64" s="2" t="s">
        <v>148</v>
      </c>
      <c r="BV64" s="2" t="s">
        <v>85</v>
      </c>
      <c r="BY64" s="2">
        <v>512298.32</v>
      </c>
      <c r="CC64" s="2" t="s">
        <v>79</v>
      </c>
      <c r="CD64" s="2">
        <v>2001</v>
      </c>
      <c r="CE64" s="2" t="s">
        <v>120</v>
      </c>
      <c r="CF64" s="3">
        <v>42866</v>
      </c>
      <c r="CI64" s="2">
        <v>1</v>
      </c>
      <c r="CJ64" s="2">
        <v>1</v>
      </c>
      <c r="CK64" s="2" t="s">
        <v>211</v>
      </c>
      <c r="CL64" s="2" t="s">
        <v>87</v>
      </c>
    </row>
    <row r="65" spans="1:90">
      <c r="A65" s="2" t="s">
        <v>88</v>
      </c>
      <c r="B65" s="2" t="s">
        <v>72</v>
      </c>
      <c r="C65" s="2" t="s">
        <v>73</v>
      </c>
      <c r="E65" s="2" t="str">
        <f>"009935903629"</f>
        <v>009935903629</v>
      </c>
      <c r="F65" s="3">
        <v>42863</v>
      </c>
      <c r="G65" s="2">
        <v>201711</v>
      </c>
      <c r="H65" s="2" t="s">
        <v>111</v>
      </c>
      <c r="I65" s="2" t="s">
        <v>112</v>
      </c>
      <c r="J65" s="2" t="s">
        <v>147</v>
      </c>
      <c r="K65" s="2" t="s">
        <v>77</v>
      </c>
      <c r="L65" s="2" t="s">
        <v>78</v>
      </c>
      <c r="M65" s="2" t="s">
        <v>79</v>
      </c>
      <c r="N65" s="2" t="s">
        <v>91</v>
      </c>
      <c r="O65" s="2" t="s">
        <v>95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26.08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2</v>
      </c>
      <c r="BI65" s="2">
        <v>39</v>
      </c>
      <c r="BJ65" s="2">
        <v>88</v>
      </c>
      <c r="BK65" s="2">
        <v>88</v>
      </c>
      <c r="BL65" s="2">
        <v>240.7</v>
      </c>
      <c r="BM65" s="2">
        <v>33.700000000000003</v>
      </c>
      <c r="BN65" s="2">
        <v>274.39999999999998</v>
      </c>
      <c r="BO65" s="2">
        <v>274.39999999999998</v>
      </c>
      <c r="BQ65" s="2" t="s">
        <v>98</v>
      </c>
      <c r="BR65" s="2" t="s">
        <v>149</v>
      </c>
      <c r="BS65" s="3">
        <v>42864</v>
      </c>
      <c r="BT65" s="4">
        <v>0.4826388888888889</v>
      </c>
      <c r="BU65" s="2" t="s">
        <v>148</v>
      </c>
      <c r="BV65" s="2" t="s">
        <v>85</v>
      </c>
      <c r="BY65" s="2">
        <v>440000</v>
      </c>
      <c r="CC65" s="2" t="s">
        <v>79</v>
      </c>
      <c r="CD65" s="2">
        <v>2000</v>
      </c>
      <c r="CE65" s="2" t="s">
        <v>120</v>
      </c>
      <c r="CF65" s="3">
        <v>42866</v>
      </c>
      <c r="CI65" s="2">
        <v>1</v>
      </c>
      <c r="CJ65" s="2">
        <v>1</v>
      </c>
      <c r="CK65" s="2" t="s">
        <v>129</v>
      </c>
      <c r="CL65" s="2" t="s">
        <v>87</v>
      </c>
    </row>
    <row r="66" spans="1:90">
      <c r="A66" s="2" t="s">
        <v>88</v>
      </c>
      <c r="B66" s="2" t="s">
        <v>72</v>
      </c>
      <c r="C66" s="2" t="s">
        <v>73</v>
      </c>
      <c r="E66" s="2" t="str">
        <f>"019910366947"</f>
        <v>019910366947</v>
      </c>
      <c r="F66" s="3">
        <v>42863</v>
      </c>
      <c r="G66" s="2">
        <v>201711</v>
      </c>
      <c r="H66" s="2" t="s">
        <v>105</v>
      </c>
      <c r="I66" s="2" t="s">
        <v>106</v>
      </c>
      <c r="J66" s="2" t="s">
        <v>91</v>
      </c>
      <c r="K66" s="2" t="s">
        <v>77</v>
      </c>
      <c r="L66" s="2" t="s">
        <v>158</v>
      </c>
      <c r="M66" s="2" t="s">
        <v>159</v>
      </c>
      <c r="N66" s="2" t="s">
        <v>91</v>
      </c>
      <c r="O66" s="2" t="s">
        <v>95</v>
      </c>
      <c r="P66" s="2" t="str">
        <f>"1705080172                    "</f>
        <v xml:space="preserve">1705080172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88.69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5</v>
      </c>
      <c r="BI66" s="2">
        <v>150.30000000000001</v>
      </c>
      <c r="BJ66" s="2">
        <v>208.7</v>
      </c>
      <c r="BK66" s="2">
        <v>209</v>
      </c>
      <c r="BL66" s="2">
        <v>806.65</v>
      </c>
      <c r="BM66" s="2">
        <v>112.93</v>
      </c>
      <c r="BN66" s="2">
        <v>919.58</v>
      </c>
      <c r="BO66" s="2">
        <v>919.58</v>
      </c>
      <c r="BQ66" s="2" t="s">
        <v>100</v>
      </c>
      <c r="BR66" s="2" t="s">
        <v>109</v>
      </c>
      <c r="BS66" s="3">
        <v>42866</v>
      </c>
      <c r="BT66" s="4">
        <v>0.53472222222222221</v>
      </c>
      <c r="BU66" s="2" t="s">
        <v>102</v>
      </c>
      <c r="BV66" s="2" t="s">
        <v>87</v>
      </c>
      <c r="BW66" s="2" t="s">
        <v>163</v>
      </c>
      <c r="BX66" s="2" t="s">
        <v>264</v>
      </c>
      <c r="BY66" s="2">
        <v>1043501.95</v>
      </c>
      <c r="CC66" s="2" t="s">
        <v>159</v>
      </c>
      <c r="CD66" s="2">
        <v>2146</v>
      </c>
      <c r="CE66" s="2" t="s">
        <v>165</v>
      </c>
      <c r="CF66" s="3">
        <v>42867</v>
      </c>
      <c r="CI66" s="2">
        <v>2</v>
      </c>
      <c r="CJ66" s="2">
        <v>3</v>
      </c>
      <c r="CK66" s="2" t="s">
        <v>104</v>
      </c>
      <c r="CL66" s="2" t="s">
        <v>87</v>
      </c>
    </row>
    <row r="67" spans="1:90">
      <c r="A67" s="2" t="s">
        <v>71</v>
      </c>
      <c r="B67" s="2" t="s">
        <v>72</v>
      </c>
      <c r="C67" s="2" t="s">
        <v>73</v>
      </c>
      <c r="E67" s="2" t="str">
        <f>"069908328051"</f>
        <v>069908328051</v>
      </c>
      <c r="F67" s="3">
        <v>42863</v>
      </c>
      <c r="G67" s="2">
        <v>201711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158</v>
      </c>
      <c r="M67" s="2" t="s">
        <v>159</v>
      </c>
      <c r="N67" s="2" t="s">
        <v>265</v>
      </c>
      <c r="O67" s="2" t="s">
        <v>81</v>
      </c>
      <c r="P67" s="2" t="str">
        <f>"SN01                          "</f>
        <v xml:space="preserve">SN01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23.29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6.6</v>
      </c>
      <c r="BJ67" s="2">
        <v>9.6999999999999993</v>
      </c>
      <c r="BK67" s="2">
        <v>10</v>
      </c>
      <c r="BL67" s="2">
        <v>210.49</v>
      </c>
      <c r="BM67" s="2">
        <v>29.47</v>
      </c>
      <c r="BN67" s="2">
        <v>239.96</v>
      </c>
      <c r="BO67" s="2">
        <v>239.96</v>
      </c>
      <c r="BQ67" s="2" t="s">
        <v>127</v>
      </c>
      <c r="BR67" s="2" t="s">
        <v>83</v>
      </c>
      <c r="BS67" s="3">
        <v>42864</v>
      </c>
      <c r="BT67" s="4">
        <v>0.35902777777777778</v>
      </c>
      <c r="BU67" s="2" t="s">
        <v>98</v>
      </c>
      <c r="BV67" s="2" t="s">
        <v>85</v>
      </c>
      <c r="BY67" s="2">
        <v>48312</v>
      </c>
      <c r="CC67" s="2" t="s">
        <v>159</v>
      </c>
      <c r="CD67" s="2">
        <v>2146</v>
      </c>
      <c r="CE67" s="2" t="s">
        <v>120</v>
      </c>
      <c r="CF67" s="3">
        <v>42865</v>
      </c>
      <c r="CI67" s="2">
        <v>1</v>
      </c>
      <c r="CJ67" s="2">
        <v>1</v>
      </c>
      <c r="CK67" s="2">
        <v>21</v>
      </c>
      <c r="CL67" s="2" t="s">
        <v>87</v>
      </c>
    </row>
    <row r="68" spans="1:90">
      <c r="A68" s="2" t="s">
        <v>71</v>
      </c>
      <c r="B68" s="2" t="s">
        <v>72</v>
      </c>
      <c r="C68" s="2" t="s">
        <v>73</v>
      </c>
      <c r="E68" s="2" t="str">
        <f>"039902658204"</f>
        <v>039902658204</v>
      </c>
      <c r="F68" s="3">
        <v>42864</v>
      </c>
      <c r="G68" s="2">
        <v>201711</v>
      </c>
      <c r="H68" s="2" t="s">
        <v>138</v>
      </c>
      <c r="I68" s="2" t="s">
        <v>139</v>
      </c>
      <c r="J68" s="2" t="s">
        <v>91</v>
      </c>
      <c r="K68" s="2" t="s">
        <v>77</v>
      </c>
      <c r="L68" s="2" t="s">
        <v>180</v>
      </c>
      <c r="M68" s="2" t="s">
        <v>181</v>
      </c>
      <c r="N68" s="2" t="s">
        <v>266</v>
      </c>
      <c r="O68" s="2" t="s">
        <v>95</v>
      </c>
      <c r="P68" s="2" t="str">
        <f t="shared" ref="P68:P85" si="3">"                              "</f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8.01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2</v>
      </c>
      <c r="BI68" s="2">
        <v>4.7</v>
      </c>
      <c r="BJ68" s="2">
        <v>4.0999999999999996</v>
      </c>
      <c r="BK68" s="2">
        <v>5</v>
      </c>
      <c r="BL68" s="2">
        <v>77.36</v>
      </c>
      <c r="BM68" s="2">
        <v>10.83</v>
      </c>
      <c r="BN68" s="2">
        <v>88.19</v>
      </c>
      <c r="BO68" s="2">
        <v>88.19</v>
      </c>
      <c r="BQ68" s="2" t="s">
        <v>267</v>
      </c>
      <c r="BR68" s="2" t="s">
        <v>268</v>
      </c>
      <c r="BS68" s="3">
        <v>42865</v>
      </c>
      <c r="BT68" s="4">
        <v>0.4375</v>
      </c>
      <c r="BU68" s="2" t="s">
        <v>184</v>
      </c>
      <c r="BV68" s="2" t="s">
        <v>85</v>
      </c>
      <c r="BY68" s="2">
        <v>20376.47</v>
      </c>
      <c r="CC68" s="2" t="s">
        <v>181</v>
      </c>
      <c r="CD68" s="2">
        <v>9460</v>
      </c>
      <c r="CE68" s="2" t="s">
        <v>120</v>
      </c>
      <c r="CF68" s="3">
        <v>42867</v>
      </c>
      <c r="CI68" s="2">
        <v>1</v>
      </c>
      <c r="CJ68" s="2">
        <v>1</v>
      </c>
      <c r="CK68" s="2" t="s">
        <v>129</v>
      </c>
      <c r="CL68" s="2" t="s">
        <v>87</v>
      </c>
    </row>
    <row r="69" spans="1:90">
      <c r="A69" s="2" t="s">
        <v>88</v>
      </c>
      <c r="B69" s="2" t="s">
        <v>72</v>
      </c>
      <c r="C69" s="2" t="s">
        <v>73</v>
      </c>
      <c r="E69" s="2" t="str">
        <f>"009935613991"</f>
        <v>009935613991</v>
      </c>
      <c r="F69" s="3">
        <v>42864</v>
      </c>
      <c r="G69" s="2">
        <v>201711</v>
      </c>
      <c r="H69" s="2" t="s">
        <v>158</v>
      </c>
      <c r="I69" s="2" t="s">
        <v>159</v>
      </c>
      <c r="J69" s="2" t="s">
        <v>76</v>
      </c>
      <c r="K69" s="2" t="s">
        <v>77</v>
      </c>
      <c r="L69" s="2" t="s">
        <v>180</v>
      </c>
      <c r="M69" s="2" t="s">
        <v>181</v>
      </c>
      <c r="N69" s="2" t="s">
        <v>269</v>
      </c>
      <c r="O69" s="2" t="s">
        <v>81</v>
      </c>
      <c r="P69" s="2" t="str">
        <f t="shared" si="3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4.66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0.3</v>
      </c>
      <c r="BK69" s="2">
        <v>1</v>
      </c>
      <c r="BL69" s="2">
        <v>42.1</v>
      </c>
      <c r="BM69" s="2">
        <v>5.89</v>
      </c>
      <c r="BN69" s="2">
        <v>47.99</v>
      </c>
      <c r="BO69" s="2">
        <v>47.99</v>
      </c>
      <c r="BQ69" s="2" t="s">
        <v>270</v>
      </c>
      <c r="BS69" s="3">
        <v>42865</v>
      </c>
      <c r="BT69" s="4">
        <v>0.4375</v>
      </c>
      <c r="BU69" s="2" t="s">
        <v>184</v>
      </c>
      <c r="BV69" s="2" t="s">
        <v>85</v>
      </c>
      <c r="BY69" s="2">
        <v>1292</v>
      </c>
      <c r="BZ69" s="2" t="s">
        <v>27</v>
      </c>
      <c r="CC69" s="2" t="s">
        <v>181</v>
      </c>
      <c r="CD69" s="2">
        <v>9459</v>
      </c>
      <c r="CE69" s="2" t="s">
        <v>271</v>
      </c>
      <c r="CF69" s="3">
        <v>42867</v>
      </c>
      <c r="CI69" s="2">
        <v>1</v>
      </c>
      <c r="CJ69" s="2">
        <v>1</v>
      </c>
      <c r="CK69" s="2">
        <v>21</v>
      </c>
      <c r="CL69" s="2" t="s">
        <v>87</v>
      </c>
    </row>
    <row r="70" spans="1:90">
      <c r="A70" s="2" t="s">
        <v>88</v>
      </c>
      <c r="B70" s="2" t="s">
        <v>72</v>
      </c>
      <c r="C70" s="2" t="s">
        <v>73</v>
      </c>
      <c r="E70" s="2" t="str">
        <f>"009935613993"</f>
        <v>009935613993</v>
      </c>
      <c r="F70" s="3">
        <v>42864</v>
      </c>
      <c r="G70" s="2">
        <v>201711</v>
      </c>
      <c r="H70" s="2" t="s">
        <v>158</v>
      </c>
      <c r="I70" s="2" t="s">
        <v>159</v>
      </c>
      <c r="J70" s="2" t="s">
        <v>76</v>
      </c>
      <c r="K70" s="2" t="s">
        <v>77</v>
      </c>
      <c r="L70" s="2" t="s">
        <v>197</v>
      </c>
      <c r="M70" s="2" t="s">
        <v>198</v>
      </c>
      <c r="N70" s="2" t="s">
        <v>272</v>
      </c>
      <c r="O70" s="2" t="s">
        <v>81</v>
      </c>
      <c r="P70" s="2" t="str">
        <f t="shared" si="3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9.02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0.3</v>
      </c>
      <c r="BK70" s="2">
        <v>1</v>
      </c>
      <c r="BL70" s="2">
        <v>81.56</v>
      </c>
      <c r="BM70" s="2">
        <v>11.42</v>
      </c>
      <c r="BN70" s="2">
        <v>92.98</v>
      </c>
      <c r="BO70" s="2">
        <v>92.98</v>
      </c>
      <c r="BQ70" s="2" t="s">
        <v>256</v>
      </c>
      <c r="BS70" s="3">
        <v>42865</v>
      </c>
      <c r="BT70" s="4">
        <v>0.3611111111111111</v>
      </c>
      <c r="BU70" s="2" t="s">
        <v>200</v>
      </c>
      <c r="BV70" s="2" t="s">
        <v>85</v>
      </c>
      <c r="BY70" s="2">
        <v>1292</v>
      </c>
      <c r="BZ70" s="2" t="s">
        <v>27</v>
      </c>
      <c r="CC70" s="2" t="s">
        <v>198</v>
      </c>
      <c r="CD70" s="2">
        <v>2570</v>
      </c>
      <c r="CE70" s="2" t="s">
        <v>271</v>
      </c>
      <c r="CF70" s="3">
        <v>42867</v>
      </c>
      <c r="CI70" s="2">
        <v>1</v>
      </c>
      <c r="CJ70" s="2">
        <v>1</v>
      </c>
      <c r="CK70" s="2">
        <v>23</v>
      </c>
      <c r="CL70" s="2" t="s">
        <v>87</v>
      </c>
    </row>
    <row r="71" spans="1:90">
      <c r="A71" s="2" t="s">
        <v>88</v>
      </c>
      <c r="B71" s="2" t="s">
        <v>72</v>
      </c>
      <c r="C71" s="2" t="s">
        <v>73</v>
      </c>
      <c r="E71" s="2" t="str">
        <f>"009935613992"</f>
        <v>009935613992</v>
      </c>
      <c r="F71" s="3">
        <v>42864</v>
      </c>
      <c r="G71" s="2">
        <v>201711</v>
      </c>
      <c r="H71" s="2" t="s">
        <v>158</v>
      </c>
      <c r="I71" s="2" t="s">
        <v>159</v>
      </c>
      <c r="J71" s="2" t="s">
        <v>91</v>
      </c>
      <c r="K71" s="2" t="s">
        <v>77</v>
      </c>
      <c r="L71" s="2" t="s">
        <v>273</v>
      </c>
      <c r="M71" s="2" t="s">
        <v>274</v>
      </c>
      <c r="N71" s="2" t="s">
        <v>275</v>
      </c>
      <c r="O71" s="2" t="s">
        <v>81</v>
      </c>
      <c r="P71" s="2" t="str">
        <f t="shared" si="3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9.02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0.3</v>
      </c>
      <c r="BK71" s="2">
        <v>1</v>
      </c>
      <c r="BL71" s="2">
        <v>81.56</v>
      </c>
      <c r="BM71" s="2">
        <v>11.42</v>
      </c>
      <c r="BN71" s="2">
        <v>92.98</v>
      </c>
      <c r="BO71" s="2">
        <v>92.98</v>
      </c>
      <c r="BQ71" s="2" t="s">
        <v>145</v>
      </c>
      <c r="BR71" s="2" t="s">
        <v>276</v>
      </c>
      <c r="BS71" s="3">
        <v>42866</v>
      </c>
      <c r="BT71" s="4">
        <v>0.69444444444444453</v>
      </c>
      <c r="BU71" s="2" t="s">
        <v>145</v>
      </c>
      <c r="BV71" s="2" t="s">
        <v>85</v>
      </c>
      <c r="BY71" s="2">
        <v>1292</v>
      </c>
      <c r="BZ71" s="2" t="s">
        <v>27</v>
      </c>
      <c r="CC71" s="2" t="s">
        <v>274</v>
      </c>
      <c r="CD71" s="2">
        <v>3370</v>
      </c>
      <c r="CE71" s="2" t="s">
        <v>271</v>
      </c>
      <c r="CF71" s="3">
        <v>42872</v>
      </c>
      <c r="CI71" s="2">
        <v>3</v>
      </c>
      <c r="CJ71" s="2">
        <v>2</v>
      </c>
      <c r="CK71" s="2">
        <v>23</v>
      </c>
      <c r="CL71" s="2" t="s">
        <v>87</v>
      </c>
    </row>
    <row r="72" spans="1:90">
      <c r="A72" s="2" t="s">
        <v>88</v>
      </c>
      <c r="B72" s="2" t="s">
        <v>72</v>
      </c>
      <c r="C72" s="2" t="s">
        <v>73</v>
      </c>
      <c r="E72" s="2" t="str">
        <f>"009935096073"</f>
        <v>009935096073</v>
      </c>
      <c r="F72" s="3">
        <v>42864</v>
      </c>
      <c r="G72" s="2">
        <v>201711</v>
      </c>
      <c r="H72" s="2" t="s">
        <v>158</v>
      </c>
      <c r="I72" s="2" t="s">
        <v>159</v>
      </c>
      <c r="J72" s="2" t="s">
        <v>91</v>
      </c>
      <c r="K72" s="2" t="s">
        <v>77</v>
      </c>
      <c r="L72" s="2" t="s">
        <v>89</v>
      </c>
      <c r="M72" s="2" t="s">
        <v>90</v>
      </c>
      <c r="N72" s="2" t="s">
        <v>277</v>
      </c>
      <c r="O72" s="2" t="s">
        <v>81</v>
      </c>
      <c r="P72" s="2" t="str">
        <f t="shared" si="3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4.66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0.3</v>
      </c>
      <c r="BK72" s="2">
        <v>1</v>
      </c>
      <c r="BL72" s="2">
        <v>42.1</v>
      </c>
      <c r="BM72" s="2">
        <v>5.89</v>
      </c>
      <c r="BN72" s="2">
        <v>47.99</v>
      </c>
      <c r="BO72" s="2">
        <v>47.99</v>
      </c>
      <c r="BQ72" s="2" t="s">
        <v>278</v>
      </c>
      <c r="BS72" s="3">
        <v>42865</v>
      </c>
      <c r="BT72" s="4">
        <v>0.625</v>
      </c>
      <c r="BU72" s="2" t="s">
        <v>279</v>
      </c>
      <c r="BV72" s="2" t="s">
        <v>87</v>
      </c>
      <c r="BW72" s="2" t="s">
        <v>280</v>
      </c>
      <c r="BX72" s="2" t="s">
        <v>281</v>
      </c>
      <c r="BY72" s="2">
        <v>1292</v>
      </c>
      <c r="BZ72" s="2" t="s">
        <v>27</v>
      </c>
      <c r="CC72" s="2" t="s">
        <v>90</v>
      </c>
      <c r="CD72" s="2">
        <v>6055</v>
      </c>
      <c r="CE72" s="2" t="s">
        <v>271</v>
      </c>
      <c r="CF72" s="3">
        <v>42865</v>
      </c>
      <c r="CI72" s="2">
        <v>1</v>
      </c>
      <c r="CJ72" s="2">
        <v>1</v>
      </c>
      <c r="CK72" s="2">
        <v>21</v>
      </c>
      <c r="CL72" s="2" t="s">
        <v>87</v>
      </c>
    </row>
    <row r="73" spans="1:90">
      <c r="A73" s="2" t="s">
        <v>88</v>
      </c>
      <c r="B73" s="2" t="s">
        <v>72</v>
      </c>
      <c r="C73" s="2" t="s">
        <v>73</v>
      </c>
      <c r="E73" s="2" t="str">
        <f>"009936002713"</f>
        <v>009936002713</v>
      </c>
      <c r="F73" s="3">
        <v>42864</v>
      </c>
      <c r="G73" s="2">
        <v>201711</v>
      </c>
      <c r="H73" s="2" t="s">
        <v>158</v>
      </c>
      <c r="I73" s="2" t="s">
        <v>159</v>
      </c>
      <c r="J73" s="2" t="s">
        <v>91</v>
      </c>
      <c r="K73" s="2" t="s">
        <v>77</v>
      </c>
      <c r="L73" s="2" t="s">
        <v>176</v>
      </c>
      <c r="M73" s="2" t="s">
        <v>177</v>
      </c>
      <c r="N73" s="2" t="s">
        <v>282</v>
      </c>
      <c r="O73" s="2" t="s">
        <v>81</v>
      </c>
      <c r="P73" s="2" t="str">
        <f t="shared" si="3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4.66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0.3</v>
      </c>
      <c r="BK73" s="2">
        <v>1</v>
      </c>
      <c r="BL73" s="2">
        <v>42.1</v>
      </c>
      <c r="BM73" s="2">
        <v>5.89</v>
      </c>
      <c r="BN73" s="2">
        <v>47.99</v>
      </c>
      <c r="BO73" s="2">
        <v>47.99</v>
      </c>
      <c r="BQ73" s="2" t="s">
        <v>178</v>
      </c>
      <c r="BR73" s="2" t="s">
        <v>122</v>
      </c>
      <c r="BS73" s="3">
        <v>42865</v>
      </c>
      <c r="BT73" s="4">
        <v>0.54166666666666663</v>
      </c>
      <c r="BU73" s="2" t="s">
        <v>283</v>
      </c>
      <c r="BV73" s="2" t="s">
        <v>87</v>
      </c>
      <c r="BW73" s="2" t="s">
        <v>163</v>
      </c>
      <c r="BX73" s="2" t="s">
        <v>284</v>
      </c>
      <c r="BY73" s="2">
        <v>1292</v>
      </c>
      <c r="BZ73" s="2" t="s">
        <v>27</v>
      </c>
      <c r="CC73" s="2" t="s">
        <v>177</v>
      </c>
      <c r="CD73" s="2">
        <v>4091</v>
      </c>
      <c r="CE73" s="2" t="s">
        <v>271</v>
      </c>
      <c r="CF73" s="3">
        <v>42866</v>
      </c>
      <c r="CI73" s="2">
        <v>1</v>
      </c>
      <c r="CJ73" s="2">
        <v>1</v>
      </c>
      <c r="CK73" s="2">
        <v>21</v>
      </c>
      <c r="CL73" s="2" t="s">
        <v>87</v>
      </c>
    </row>
    <row r="74" spans="1:90">
      <c r="A74" s="2" t="s">
        <v>88</v>
      </c>
      <c r="B74" s="2" t="s">
        <v>72</v>
      </c>
      <c r="C74" s="2" t="s">
        <v>73</v>
      </c>
      <c r="E74" s="2" t="str">
        <f>"009935989490"</f>
        <v>009935989490</v>
      </c>
      <c r="F74" s="3">
        <v>42864</v>
      </c>
      <c r="G74" s="2">
        <v>201711</v>
      </c>
      <c r="H74" s="2" t="s">
        <v>285</v>
      </c>
      <c r="I74" s="2" t="s">
        <v>286</v>
      </c>
      <c r="J74" s="2" t="s">
        <v>91</v>
      </c>
      <c r="K74" s="2" t="s">
        <v>77</v>
      </c>
      <c r="L74" s="2" t="s">
        <v>249</v>
      </c>
      <c r="M74" s="2" t="s">
        <v>250</v>
      </c>
      <c r="N74" s="2" t="s">
        <v>91</v>
      </c>
      <c r="O74" s="2" t="s">
        <v>95</v>
      </c>
      <c r="P74" s="2" t="str">
        <f t="shared" si="3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14.44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25.6</v>
      </c>
      <c r="BJ74" s="2">
        <v>41</v>
      </c>
      <c r="BK74" s="2">
        <v>41</v>
      </c>
      <c r="BL74" s="2">
        <v>135.53</v>
      </c>
      <c r="BM74" s="2">
        <v>18.97</v>
      </c>
      <c r="BN74" s="2">
        <v>154.5</v>
      </c>
      <c r="BO74" s="2">
        <v>154.5</v>
      </c>
      <c r="BR74" s="2" t="s">
        <v>122</v>
      </c>
      <c r="BS74" s="3">
        <v>42866</v>
      </c>
      <c r="BT74" s="4">
        <v>0.625</v>
      </c>
      <c r="BU74" s="2" t="s">
        <v>287</v>
      </c>
      <c r="BV74" s="2" t="s">
        <v>87</v>
      </c>
      <c r="BW74" s="2" t="s">
        <v>254</v>
      </c>
      <c r="BX74" s="2" t="s">
        <v>255</v>
      </c>
      <c r="BY74" s="2">
        <v>204906.23999999999</v>
      </c>
      <c r="CC74" s="2" t="s">
        <v>250</v>
      </c>
      <c r="CD74" s="2">
        <v>4252</v>
      </c>
      <c r="CE74" s="2" t="s">
        <v>120</v>
      </c>
      <c r="CF74" s="3">
        <v>42870</v>
      </c>
      <c r="CI74" s="2">
        <v>1</v>
      </c>
      <c r="CJ74" s="2">
        <v>2</v>
      </c>
      <c r="CK74" s="2" t="s">
        <v>129</v>
      </c>
      <c r="CL74" s="2" t="s">
        <v>87</v>
      </c>
    </row>
    <row r="75" spans="1:90">
      <c r="A75" s="2" t="s">
        <v>88</v>
      </c>
      <c r="B75" s="2" t="s">
        <v>72</v>
      </c>
      <c r="C75" s="2" t="s">
        <v>73</v>
      </c>
      <c r="E75" s="2" t="str">
        <f>"009932965598"</f>
        <v>009932965598</v>
      </c>
      <c r="F75" s="3">
        <v>42864</v>
      </c>
      <c r="G75" s="2">
        <v>201711</v>
      </c>
      <c r="H75" s="2" t="s">
        <v>180</v>
      </c>
      <c r="I75" s="2" t="s">
        <v>181</v>
      </c>
      <c r="J75" s="2" t="s">
        <v>76</v>
      </c>
      <c r="K75" s="2" t="s">
        <v>77</v>
      </c>
      <c r="L75" s="2" t="s">
        <v>78</v>
      </c>
      <c r="M75" s="2" t="s">
        <v>79</v>
      </c>
      <c r="N75" s="2" t="s">
        <v>288</v>
      </c>
      <c r="O75" s="2" t="s">
        <v>95</v>
      </c>
      <c r="P75" s="2" t="str">
        <f t="shared" si="3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75.87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3</v>
      </c>
      <c r="BI75" s="2">
        <v>225</v>
      </c>
      <c r="BJ75" s="2">
        <v>126.6</v>
      </c>
      <c r="BK75" s="2">
        <v>225</v>
      </c>
      <c r="BL75" s="2">
        <v>690.77</v>
      </c>
      <c r="BM75" s="2">
        <v>96.71</v>
      </c>
      <c r="BN75" s="2">
        <v>787.48</v>
      </c>
      <c r="BO75" s="2">
        <v>787.48</v>
      </c>
      <c r="BR75" s="2" t="s">
        <v>184</v>
      </c>
      <c r="BS75" s="3">
        <v>42865</v>
      </c>
      <c r="BT75" s="4">
        <v>0.56597222222222221</v>
      </c>
      <c r="BU75" s="2" t="s">
        <v>98</v>
      </c>
      <c r="BV75" s="2" t="s">
        <v>85</v>
      </c>
      <c r="BY75" s="2">
        <v>633204</v>
      </c>
      <c r="CC75" s="2" t="s">
        <v>79</v>
      </c>
      <c r="CD75" s="2">
        <v>2000</v>
      </c>
      <c r="CE75" s="2" t="s">
        <v>120</v>
      </c>
      <c r="CF75" s="3">
        <v>42867</v>
      </c>
      <c r="CI75" s="2">
        <v>1</v>
      </c>
      <c r="CJ75" s="2">
        <v>1</v>
      </c>
      <c r="CK75" s="2" t="s">
        <v>185</v>
      </c>
      <c r="CL75" s="2" t="s">
        <v>87</v>
      </c>
    </row>
    <row r="76" spans="1:90">
      <c r="A76" s="2" t="s">
        <v>88</v>
      </c>
      <c r="B76" s="2" t="s">
        <v>72</v>
      </c>
      <c r="C76" s="2" t="s">
        <v>73</v>
      </c>
      <c r="E76" s="2" t="str">
        <f>"009935957312"</f>
        <v>009935957312</v>
      </c>
      <c r="F76" s="3">
        <v>42864</v>
      </c>
      <c r="G76" s="2">
        <v>201711</v>
      </c>
      <c r="H76" s="2" t="s">
        <v>158</v>
      </c>
      <c r="I76" s="2" t="s">
        <v>159</v>
      </c>
      <c r="J76" s="2" t="s">
        <v>91</v>
      </c>
      <c r="K76" s="2" t="s">
        <v>77</v>
      </c>
      <c r="L76" s="2" t="s">
        <v>289</v>
      </c>
      <c r="M76" s="2" t="s">
        <v>290</v>
      </c>
      <c r="N76" s="2" t="s">
        <v>291</v>
      </c>
      <c r="O76" s="2" t="s">
        <v>95</v>
      </c>
      <c r="P76" s="2" t="str">
        <f t="shared" si="3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30.76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16.5</v>
      </c>
      <c r="BJ76" s="2">
        <v>43.5</v>
      </c>
      <c r="BK76" s="2">
        <v>44</v>
      </c>
      <c r="BL76" s="2">
        <v>283.04000000000002</v>
      </c>
      <c r="BM76" s="2">
        <v>39.630000000000003</v>
      </c>
      <c r="BN76" s="2">
        <v>322.67</v>
      </c>
      <c r="BO76" s="2">
        <v>322.67</v>
      </c>
      <c r="BP76" s="2">
        <v>9935802792</v>
      </c>
      <c r="BQ76" s="2" t="s">
        <v>292</v>
      </c>
      <c r="BS76" s="3">
        <v>42870</v>
      </c>
      <c r="BT76" s="4">
        <v>0.64583333333333337</v>
      </c>
      <c r="BU76" s="2" t="s">
        <v>293</v>
      </c>
      <c r="BV76" s="2" t="s">
        <v>87</v>
      </c>
      <c r="BW76" s="2" t="s">
        <v>229</v>
      </c>
      <c r="BX76" s="2" t="s">
        <v>294</v>
      </c>
      <c r="BY76" s="2">
        <v>217327.9</v>
      </c>
      <c r="CA76" s="2" t="s">
        <v>175</v>
      </c>
      <c r="CC76" s="2" t="s">
        <v>290</v>
      </c>
      <c r="CD76" s="2">
        <v>8530</v>
      </c>
      <c r="CE76" s="2" t="s">
        <v>120</v>
      </c>
      <c r="CF76" s="3">
        <v>42873</v>
      </c>
      <c r="CI76" s="2">
        <v>2</v>
      </c>
      <c r="CJ76" s="2">
        <v>4</v>
      </c>
      <c r="CK76" s="2" t="s">
        <v>196</v>
      </c>
      <c r="CL76" s="2" t="s">
        <v>87</v>
      </c>
    </row>
    <row r="77" spans="1:90">
      <c r="A77" s="2" t="s">
        <v>88</v>
      </c>
      <c r="B77" s="2" t="s">
        <v>72</v>
      </c>
      <c r="C77" s="2" t="s">
        <v>73</v>
      </c>
      <c r="E77" s="2" t="str">
        <f>"069908332789"</f>
        <v>069908332789</v>
      </c>
      <c r="F77" s="3">
        <v>42864</v>
      </c>
      <c r="G77" s="2">
        <v>201711</v>
      </c>
      <c r="H77" s="2" t="s">
        <v>169</v>
      </c>
      <c r="I77" s="2" t="s">
        <v>170</v>
      </c>
      <c r="J77" s="2" t="s">
        <v>76</v>
      </c>
      <c r="K77" s="2" t="s">
        <v>77</v>
      </c>
      <c r="L77" s="2" t="s">
        <v>158</v>
      </c>
      <c r="M77" s="2" t="s">
        <v>159</v>
      </c>
      <c r="N77" s="2" t="s">
        <v>107</v>
      </c>
      <c r="O77" s="2" t="s">
        <v>95</v>
      </c>
      <c r="P77" s="2" t="str">
        <f t="shared" si="3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20.239999999999998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3</v>
      </c>
      <c r="BI77" s="2">
        <v>36</v>
      </c>
      <c r="BJ77" s="2">
        <v>50.5</v>
      </c>
      <c r="BK77" s="2">
        <v>51</v>
      </c>
      <c r="BL77" s="2">
        <v>187.96</v>
      </c>
      <c r="BM77" s="2">
        <v>26.31</v>
      </c>
      <c r="BN77" s="2">
        <v>214.27</v>
      </c>
      <c r="BO77" s="2">
        <v>214.27</v>
      </c>
      <c r="BQ77" s="2" t="s">
        <v>148</v>
      </c>
      <c r="BR77" s="2" t="s">
        <v>204</v>
      </c>
      <c r="BS77" s="3">
        <v>42865</v>
      </c>
      <c r="BT77" s="4">
        <v>0.56597222222222221</v>
      </c>
      <c r="BU77" s="2" t="s">
        <v>98</v>
      </c>
      <c r="BV77" s="2" t="s">
        <v>85</v>
      </c>
      <c r="BY77" s="2">
        <v>252738</v>
      </c>
      <c r="CC77" s="2" t="s">
        <v>159</v>
      </c>
      <c r="CD77" s="2">
        <v>2146</v>
      </c>
      <c r="CE77" s="2" t="s">
        <v>120</v>
      </c>
      <c r="CF77" s="3">
        <v>42867</v>
      </c>
      <c r="CI77" s="2">
        <v>1</v>
      </c>
      <c r="CJ77" s="2">
        <v>1</v>
      </c>
      <c r="CK77" s="2" t="s">
        <v>133</v>
      </c>
      <c r="CL77" s="2" t="s">
        <v>87</v>
      </c>
    </row>
    <row r="78" spans="1:90">
      <c r="A78" s="2" t="s">
        <v>88</v>
      </c>
      <c r="B78" s="2" t="s">
        <v>72</v>
      </c>
      <c r="C78" s="2" t="s">
        <v>73</v>
      </c>
      <c r="E78" s="2" t="str">
        <f>"009935802794"</f>
        <v>009935802794</v>
      </c>
      <c r="F78" s="3">
        <v>42864</v>
      </c>
      <c r="G78" s="2">
        <v>201711</v>
      </c>
      <c r="H78" s="2" t="s">
        <v>158</v>
      </c>
      <c r="I78" s="2" t="s">
        <v>159</v>
      </c>
      <c r="J78" s="2" t="s">
        <v>91</v>
      </c>
      <c r="K78" s="2" t="s">
        <v>77</v>
      </c>
      <c r="L78" s="2" t="s">
        <v>216</v>
      </c>
      <c r="M78" s="2" t="s">
        <v>217</v>
      </c>
      <c r="N78" s="2" t="s">
        <v>295</v>
      </c>
      <c r="O78" s="2" t="s">
        <v>95</v>
      </c>
      <c r="P78" s="2" t="str">
        <f t="shared" si="3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25.45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2</v>
      </c>
      <c r="BI78" s="2">
        <v>24.9</v>
      </c>
      <c r="BJ78" s="2">
        <v>53.3</v>
      </c>
      <c r="BK78" s="2">
        <v>54</v>
      </c>
      <c r="BL78" s="2">
        <v>235.01</v>
      </c>
      <c r="BM78" s="2">
        <v>32.9</v>
      </c>
      <c r="BN78" s="2">
        <v>267.91000000000003</v>
      </c>
      <c r="BO78" s="2">
        <v>267.91000000000003</v>
      </c>
      <c r="BR78" s="2" t="s">
        <v>296</v>
      </c>
      <c r="BS78" s="3">
        <v>42871</v>
      </c>
      <c r="BT78" s="4">
        <v>0.35416666666666669</v>
      </c>
      <c r="BU78" s="2" t="s">
        <v>219</v>
      </c>
      <c r="BV78" s="2" t="s">
        <v>87</v>
      </c>
      <c r="BW78" s="2" t="s">
        <v>163</v>
      </c>
      <c r="BX78" s="2" t="s">
        <v>297</v>
      </c>
      <c r="BY78" s="2">
        <v>266519.40000000002</v>
      </c>
      <c r="CC78" s="2" t="s">
        <v>217</v>
      </c>
      <c r="CD78" s="2">
        <v>3900</v>
      </c>
      <c r="CE78" s="2" t="s">
        <v>120</v>
      </c>
      <c r="CF78" s="3">
        <v>42873</v>
      </c>
      <c r="CI78" s="2">
        <v>2</v>
      </c>
      <c r="CJ78" s="2">
        <v>5</v>
      </c>
      <c r="CK78" s="2" t="s">
        <v>221</v>
      </c>
      <c r="CL78" s="2" t="s">
        <v>87</v>
      </c>
    </row>
    <row r="79" spans="1:90">
      <c r="A79" s="2" t="s">
        <v>88</v>
      </c>
      <c r="B79" s="2" t="s">
        <v>72</v>
      </c>
      <c r="C79" s="2" t="s">
        <v>73</v>
      </c>
      <c r="E79" s="2" t="str">
        <f>"009935802791"</f>
        <v>009935802791</v>
      </c>
      <c r="F79" s="3">
        <v>42864</v>
      </c>
      <c r="G79" s="2">
        <v>201711</v>
      </c>
      <c r="H79" s="2" t="s">
        <v>158</v>
      </c>
      <c r="I79" s="2" t="s">
        <v>159</v>
      </c>
      <c r="J79" s="2" t="s">
        <v>91</v>
      </c>
      <c r="K79" s="2" t="s">
        <v>77</v>
      </c>
      <c r="L79" s="2" t="s">
        <v>92</v>
      </c>
      <c r="M79" s="2" t="s">
        <v>93</v>
      </c>
      <c r="N79" s="2" t="s">
        <v>298</v>
      </c>
      <c r="O79" s="2" t="s">
        <v>95</v>
      </c>
      <c r="P79" s="2" t="str">
        <f t="shared" si="3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30.09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19.7</v>
      </c>
      <c r="BJ79" s="2">
        <v>42.7</v>
      </c>
      <c r="BK79" s="2">
        <v>43</v>
      </c>
      <c r="BL79" s="2">
        <v>276.99</v>
      </c>
      <c r="BM79" s="2">
        <v>38.78</v>
      </c>
      <c r="BN79" s="2">
        <v>315.77</v>
      </c>
      <c r="BO79" s="2">
        <v>315.77</v>
      </c>
      <c r="BQ79" s="2" t="s">
        <v>98</v>
      </c>
      <c r="BS79" s="3">
        <v>42865</v>
      </c>
      <c r="BT79" s="4">
        <v>0.33333333333333331</v>
      </c>
      <c r="BU79" s="2" t="s">
        <v>98</v>
      </c>
      <c r="BV79" s="2" t="s">
        <v>85</v>
      </c>
      <c r="BY79" s="2">
        <v>213594.66</v>
      </c>
      <c r="CC79" s="2" t="s">
        <v>93</v>
      </c>
      <c r="CD79" s="2">
        <v>8800</v>
      </c>
      <c r="CE79" s="2" t="s">
        <v>120</v>
      </c>
      <c r="CF79" s="3">
        <v>42867</v>
      </c>
      <c r="CI79" s="2">
        <v>2</v>
      </c>
      <c r="CJ79" s="2">
        <v>1</v>
      </c>
      <c r="CK79" s="2" t="s">
        <v>196</v>
      </c>
      <c r="CL79" s="2" t="s">
        <v>87</v>
      </c>
    </row>
    <row r="80" spans="1:90">
      <c r="A80" s="2" t="s">
        <v>88</v>
      </c>
      <c r="B80" s="2" t="s">
        <v>72</v>
      </c>
      <c r="C80" s="2" t="s">
        <v>73</v>
      </c>
      <c r="E80" s="2" t="str">
        <f>"009935998998"</f>
        <v>009935998998</v>
      </c>
      <c r="F80" s="3">
        <v>42864</v>
      </c>
      <c r="G80" s="2">
        <v>201711</v>
      </c>
      <c r="H80" s="2" t="s">
        <v>158</v>
      </c>
      <c r="I80" s="2" t="s">
        <v>159</v>
      </c>
      <c r="J80" s="2" t="s">
        <v>76</v>
      </c>
      <c r="K80" s="2" t="s">
        <v>77</v>
      </c>
      <c r="L80" s="2" t="s">
        <v>176</v>
      </c>
      <c r="M80" s="2" t="s">
        <v>177</v>
      </c>
      <c r="N80" s="2" t="s">
        <v>299</v>
      </c>
      <c r="O80" s="2" t="s">
        <v>95</v>
      </c>
      <c r="P80" s="2" t="str">
        <f t="shared" si="3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19.25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2</v>
      </c>
      <c r="BI80" s="2">
        <v>48.5</v>
      </c>
      <c r="BJ80" s="2">
        <v>61.1</v>
      </c>
      <c r="BK80" s="2">
        <v>61</v>
      </c>
      <c r="BL80" s="2">
        <v>179.02</v>
      </c>
      <c r="BM80" s="2">
        <v>25.06</v>
      </c>
      <c r="BN80" s="2">
        <v>204.08</v>
      </c>
      <c r="BO80" s="2">
        <v>204.08</v>
      </c>
      <c r="BQ80" s="2" t="s">
        <v>178</v>
      </c>
      <c r="BR80" s="2" t="s">
        <v>122</v>
      </c>
      <c r="BS80" s="3">
        <v>42865</v>
      </c>
      <c r="BT80" s="4">
        <v>0.52569444444444446</v>
      </c>
      <c r="BU80" s="2" t="s">
        <v>300</v>
      </c>
      <c r="BV80" s="2" t="s">
        <v>85</v>
      </c>
      <c r="BY80" s="2">
        <v>305395.42</v>
      </c>
      <c r="CC80" s="2" t="s">
        <v>177</v>
      </c>
      <c r="CD80" s="2">
        <v>4091</v>
      </c>
      <c r="CE80" s="2" t="s">
        <v>120</v>
      </c>
      <c r="CF80" s="3">
        <v>42866</v>
      </c>
      <c r="CI80" s="2">
        <v>1</v>
      </c>
      <c r="CJ80" s="2">
        <v>1</v>
      </c>
      <c r="CK80" s="2" t="s">
        <v>146</v>
      </c>
      <c r="CL80" s="2" t="s">
        <v>87</v>
      </c>
    </row>
    <row r="81" spans="1:90">
      <c r="A81" s="2" t="s">
        <v>88</v>
      </c>
      <c r="B81" s="2" t="s">
        <v>72</v>
      </c>
      <c r="C81" s="2" t="s">
        <v>73</v>
      </c>
      <c r="E81" s="2" t="str">
        <f>"009935802793"</f>
        <v>009935802793</v>
      </c>
      <c r="F81" s="3">
        <v>42864</v>
      </c>
      <c r="G81" s="2">
        <v>201711</v>
      </c>
      <c r="H81" s="2" t="s">
        <v>158</v>
      </c>
      <c r="I81" s="2" t="s">
        <v>159</v>
      </c>
      <c r="J81" s="2" t="s">
        <v>91</v>
      </c>
      <c r="K81" s="2" t="s">
        <v>77</v>
      </c>
      <c r="L81" s="2" t="s">
        <v>130</v>
      </c>
      <c r="M81" s="2" t="s">
        <v>131</v>
      </c>
      <c r="N81" s="2" t="s">
        <v>301</v>
      </c>
      <c r="O81" s="2" t="s">
        <v>95</v>
      </c>
      <c r="P81" s="2" t="str">
        <f t="shared" si="3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20.05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24.8</v>
      </c>
      <c r="BJ81" s="2">
        <v>42.7</v>
      </c>
      <c r="BK81" s="2">
        <v>43</v>
      </c>
      <c r="BL81" s="2">
        <v>186.22</v>
      </c>
      <c r="BM81" s="2">
        <v>26.07</v>
      </c>
      <c r="BN81" s="2">
        <v>212.29</v>
      </c>
      <c r="BO81" s="2">
        <v>212.29</v>
      </c>
      <c r="BQ81" s="2" t="s">
        <v>302</v>
      </c>
      <c r="BS81" s="3">
        <v>42866</v>
      </c>
      <c r="BT81" s="4">
        <v>0.40277777777777773</v>
      </c>
      <c r="BU81" s="2" t="s">
        <v>303</v>
      </c>
      <c r="BV81" s="2" t="s">
        <v>87</v>
      </c>
      <c r="BW81" s="2" t="s">
        <v>229</v>
      </c>
      <c r="BX81" s="2" t="s">
        <v>304</v>
      </c>
      <c r="BY81" s="2">
        <v>213594.66</v>
      </c>
      <c r="CC81" s="2" t="s">
        <v>131</v>
      </c>
      <c r="CD81" s="2">
        <v>3201</v>
      </c>
      <c r="CE81" s="2" t="s">
        <v>120</v>
      </c>
      <c r="CF81" s="3">
        <v>42870</v>
      </c>
      <c r="CI81" s="2">
        <v>1</v>
      </c>
      <c r="CJ81" s="2">
        <v>2</v>
      </c>
      <c r="CK81" s="2" t="s">
        <v>161</v>
      </c>
      <c r="CL81" s="2" t="s">
        <v>87</v>
      </c>
    </row>
    <row r="82" spans="1:90">
      <c r="A82" s="2" t="s">
        <v>88</v>
      </c>
      <c r="B82" s="2" t="s">
        <v>72</v>
      </c>
      <c r="C82" s="2" t="s">
        <v>73</v>
      </c>
      <c r="E82" s="2" t="str">
        <f>"009935802792"</f>
        <v>009935802792</v>
      </c>
      <c r="F82" s="3">
        <v>42864</v>
      </c>
      <c r="G82" s="2">
        <v>201711</v>
      </c>
      <c r="H82" s="2" t="s">
        <v>158</v>
      </c>
      <c r="I82" s="2" t="s">
        <v>159</v>
      </c>
      <c r="J82" s="2" t="s">
        <v>91</v>
      </c>
      <c r="K82" s="2" t="s">
        <v>77</v>
      </c>
      <c r="L82" s="2" t="s">
        <v>124</v>
      </c>
      <c r="M82" s="2" t="s">
        <v>125</v>
      </c>
      <c r="N82" s="2" t="s">
        <v>305</v>
      </c>
      <c r="O82" s="2" t="s">
        <v>95</v>
      </c>
      <c r="P82" s="2" t="str">
        <f t="shared" si="3"/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9.3699999999999992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15.6</v>
      </c>
      <c r="BJ82" s="2">
        <v>16.8</v>
      </c>
      <c r="BK82" s="2">
        <v>17</v>
      </c>
      <c r="BL82" s="2">
        <v>89.71</v>
      </c>
      <c r="BM82" s="2">
        <v>12.56</v>
      </c>
      <c r="BN82" s="2">
        <v>102.27</v>
      </c>
      <c r="BO82" s="2">
        <v>102.27</v>
      </c>
      <c r="BS82" s="3">
        <v>42865</v>
      </c>
      <c r="BT82" s="4">
        <v>0.33333333333333331</v>
      </c>
      <c r="BU82" s="2" t="s">
        <v>306</v>
      </c>
      <c r="BV82" s="2" t="s">
        <v>85</v>
      </c>
      <c r="BY82" s="2">
        <v>83907.44</v>
      </c>
      <c r="CC82" s="2" t="s">
        <v>125</v>
      </c>
      <c r="CD82" s="2">
        <v>299</v>
      </c>
      <c r="CE82" s="2" t="s">
        <v>120</v>
      </c>
      <c r="CF82" s="3">
        <v>42867</v>
      </c>
      <c r="CI82" s="2">
        <v>1</v>
      </c>
      <c r="CJ82" s="2">
        <v>1</v>
      </c>
      <c r="CK82" s="2" t="s">
        <v>133</v>
      </c>
      <c r="CL82" s="2" t="s">
        <v>87</v>
      </c>
    </row>
    <row r="83" spans="1:90">
      <c r="A83" s="2" t="s">
        <v>71</v>
      </c>
      <c r="B83" s="2" t="s">
        <v>72</v>
      </c>
      <c r="C83" s="2" t="s">
        <v>73</v>
      </c>
      <c r="E83" s="2" t="str">
        <f>"039902658205"</f>
        <v>039902658205</v>
      </c>
      <c r="F83" s="3">
        <v>42864</v>
      </c>
      <c r="G83" s="2">
        <v>201711</v>
      </c>
      <c r="H83" s="2" t="s">
        <v>138</v>
      </c>
      <c r="I83" s="2" t="s">
        <v>139</v>
      </c>
      <c r="J83" s="2" t="s">
        <v>91</v>
      </c>
      <c r="K83" s="2" t="s">
        <v>77</v>
      </c>
      <c r="L83" s="2" t="s">
        <v>158</v>
      </c>
      <c r="M83" s="2" t="s">
        <v>159</v>
      </c>
      <c r="N83" s="2" t="s">
        <v>307</v>
      </c>
      <c r="O83" s="2" t="s">
        <v>95</v>
      </c>
      <c r="P83" s="2" t="str">
        <f t="shared" si="3"/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8.73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83.93</v>
      </c>
      <c r="BM83" s="2">
        <v>11.75</v>
      </c>
      <c r="BN83" s="2">
        <v>95.68</v>
      </c>
      <c r="BO83" s="2">
        <v>95.68</v>
      </c>
      <c r="BR83" s="2" t="s">
        <v>268</v>
      </c>
      <c r="BS83" s="3">
        <v>42865</v>
      </c>
      <c r="BT83" s="4">
        <v>0.3833333333333333</v>
      </c>
      <c r="BU83" s="2" t="s">
        <v>223</v>
      </c>
      <c r="BV83" s="2" t="s">
        <v>85</v>
      </c>
      <c r="BY83" s="2">
        <v>1200</v>
      </c>
      <c r="CC83" s="2" t="s">
        <v>159</v>
      </c>
      <c r="CD83" s="2">
        <v>2146</v>
      </c>
      <c r="CE83" s="2" t="s">
        <v>120</v>
      </c>
      <c r="CF83" s="3">
        <v>42867</v>
      </c>
      <c r="CI83" s="2">
        <v>1</v>
      </c>
      <c r="CJ83" s="2">
        <v>1</v>
      </c>
      <c r="CK83" s="2" t="s">
        <v>133</v>
      </c>
      <c r="CL83" s="2" t="s">
        <v>87</v>
      </c>
    </row>
    <row r="84" spans="1:90">
      <c r="A84" s="2" t="s">
        <v>88</v>
      </c>
      <c r="B84" s="2" t="s">
        <v>72</v>
      </c>
      <c r="C84" s="2" t="s">
        <v>73</v>
      </c>
      <c r="E84" s="2" t="str">
        <f>"009935501351"</f>
        <v>009935501351</v>
      </c>
      <c r="F84" s="3">
        <v>42864</v>
      </c>
      <c r="G84" s="2">
        <v>201711</v>
      </c>
      <c r="H84" s="2" t="s">
        <v>158</v>
      </c>
      <c r="I84" s="2" t="s">
        <v>159</v>
      </c>
      <c r="J84" s="2" t="s">
        <v>91</v>
      </c>
      <c r="K84" s="2" t="s">
        <v>77</v>
      </c>
      <c r="L84" s="2" t="s">
        <v>138</v>
      </c>
      <c r="M84" s="2" t="s">
        <v>139</v>
      </c>
      <c r="N84" s="2" t="s">
        <v>308</v>
      </c>
      <c r="O84" s="2" t="s">
        <v>95</v>
      </c>
      <c r="P84" s="2" t="str">
        <f t="shared" si="3"/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6.55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0.3</v>
      </c>
      <c r="BK84" s="2">
        <v>1</v>
      </c>
      <c r="BL84" s="2">
        <v>64.2</v>
      </c>
      <c r="BM84" s="2">
        <v>8.99</v>
      </c>
      <c r="BN84" s="2">
        <v>73.19</v>
      </c>
      <c r="BO84" s="2">
        <v>73.19</v>
      </c>
      <c r="BQ84" s="2" t="s">
        <v>309</v>
      </c>
      <c r="BR84" s="2" t="s">
        <v>122</v>
      </c>
      <c r="BS84" s="3">
        <v>42864</v>
      </c>
      <c r="BT84" s="4">
        <v>0.5</v>
      </c>
      <c r="BU84" s="2" t="s">
        <v>310</v>
      </c>
      <c r="BV84" s="2" t="s">
        <v>85</v>
      </c>
      <c r="BY84" s="2">
        <v>1292</v>
      </c>
      <c r="CC84" s="2" t="s">
        <v>139</v>
      </c>
      <c r="CD84" s="2">
        <v>9300</v>
      </c>
      <c r="CE84" s="2" t="s">
        <v>271</v>
      </c>
      <c r="CF84" s="3">
        <v>42866</v>
      </c>
      <c r="CI84" s="2">
        <v>1</v>
      </c>
      <c r="CJ84" s="2">
        <v>0</v>
      </c>
      <c r="CK84" s="2" t="s">
        <v>142</v>
      </c>
      <c r="CL84" s="2" t="s">
        <v>87</v>
      </c>
    </row>
    <row r="85" spans="1:90">
      <c r="A85" s="2" t="s">
        <v>88</v>
      </c>
      <c r="B85" s="2" t="s">
        <v>72</v>
      </c>
      <c r="C85" s="2" t="s">
        <v>73</v>
      </c>
      <c r="E85" s="2" t="str">
        <f>"009936115623"</f>
        <v>009936115623</v>
      </c>
      <c r="F85" s="3">
        <v>42865</v>
      </c>
      <c r="G85" s="2">
        <v>201711</v>
      </c>
      <c r="H85" s="2" t="s">
        <v>78</v>
      </c>
      <c r="I85" s="2" t="s">
        <v>79</v>
      </c>
      <c r="J85" s="2" t="s">
        <v>91</v>
      </c>
      <c r="K85" s="2" t="s">
        <v>77</v>
      </c>
      <c r="L85" s="2" t="s">
        <v>89</v>
      </c>
      <c r="M85" s="2" t="s">
        <v>90</v>
      </c>
      <c r="N85" s="2" t="s">
        <v>311</v>
      </c>
      <c r="O85" s="2" t="s">
        <v>81</v>
      </c>
      <c r="P85" s="2" t="str">
        <f t="shared" si="3"/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4.66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0.3</v>
      </c>
      <c r="BK85" s="2">
        <v>1</v>
      </c>
      <c r="BL85" s="2">
        <v>42.1</v>
      </c>
      <c r="BM85" s="2">
        <v>5.89</v>
      </c>
      <c r="BN85" s="2">
        <v>47.99</v>
      </c>
      <c r="BO85" s="2">
        <v>47.99</v>
      </c>
      <c r="BQ85" s="2" t="s">
        <v>97</v>
      </c>
      <c r="BR85" s="2" t="s">
        <v>312</v>
      </c>
      <c r="BS85" s="3">
        <v>42867</v>
      </c>
      <c r="BT85" s="4">
        <v>0.4201388888888889</v>
      </c>
      <c r="BU85" s="2" t="s">
        <v>313</v>
      </c>
      <c r="BV85" s="2" t="s">
        <v>87</v>
      </c>
      <c r="BW85" s="2" t="s">
        <v>314</v>
      </c>
      <c r="BX85" s="2" t="s">
        <v>315</v>
      </c>
      <c r="BY85" s="2">
        <v>1292</v>
      </c>
      <c r="BZ85" s="2" t="s">
        <v>27</v>
      </c>
      <c r="CA85" s="2" t="s">
        <v>215</v>
      </c>
      <c r="CC85" s="2" t="s">
        <v>90</v>
      </c>
      <c r="CD85" s="2">
        <v>6000</v>
      </c>
      <c r="CE85" s="2" t="s">
        <v>316</v>
      </c>
      <c r="CF85" s="3">
        <v>42867</v>
      </c>
      <c r="CI85" s="2">
        <v>1</v>
      </c>
      <c r="CJ85" s="2">
        <v>2</v>
      </c>
      <c r="CK85" s="2">
        <v>21</v>
      </c>
      <c r="CL85" s="2" t="s">
        <v>87</v>
      </c>
    </row>
    <row r="86" spans="1:90">
      <c r="A86" s="2" t="s">
        <v>88</v>
      </c>
      <c r="B86" s="2" t="s">
        <v>72</v>
      </c>
      <c r="C86" s="2" t="s">
        <v>73</v>
      </c>
      <c r="E86" s="2" t="str">
        <f>"009935474382"</f>
        <v>009935474382</v>
      </c>
      <c r="F86" s="3">
        <v>42865</v>
      </c>
      <c r="G86" s="2">
        <v>201711</v>
      </c>
      <c r="H86" s="2" t="s">
        <v>158</v>
      </c>
      <c r="I86" s="2" t="s">
        <v>159</v>
      </c>
      <c r="J86" s="2" t="s">
        <v>91</v>
      </c>
      <c r="K86" s="2" t="s">
        <v>77</v>
      </c>
      <c r="L86" s="2" t="s">
        <v>192</v>
      </c>
      <c r="M86" s="2" t="s">
        <v>193</v>
      </c>
      <c r="N86" s="2" t="s">
        <v>317</v>
      </c>
      <c r="O86" s="2" t="s">
        <v>95</v>
      </c>
      <c r="P86" s="2" t="str">
        <f>"STORES                        "</f>
        <v xml:space="preserve">STORES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11.35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15</v>
      </c>
      <c r="BJ86" s="2">
        <v>2.5</v>
      </c>
      <c r="BK86" s="2">
        <v>15</v>
      </c>
      <c r="BL86" s="2">
        <v>107.61</v>
      </c>
      <c r="BM86" s="2">
        <v>15.07</v>
      </c>
      <c r="BN86" s="2">
        <v>122.68</v>
      </c>
      <c r="BO86" s="2">
        <v>122.68</v>
      </c>
      <c r="BQ86" s="2" t="s">
        <v>318</v>
      </c>
      <c r="BR86" s="2" t="s">
        <v>122</v>
      </c>
      <c r="BS86" s="3">
        <v>42867</v>
      </c>
      <c r="BT86" s="4">
        <v>0.41250000000000003</v>
      </c>
      <c r="BU86" s="2" t="s">
        <v>318</v>
      </c>
      <c r="BW86" s="2" t="s">
        <v>319</v>
      </c>
      <c r="BX86" s="2" t="s">
        <v>320</v>
      </c>
      <c r="BY86" s="2">
        <v>12600</v>
      </c>
      <c r="CC86" s="2" t="s">
        <v>193</v>
      </c>
      <c r="CD86" s="2">
        <v>450</v>
      </c>
      <c r="CE86" s="2" t="s">
        <v>86</v>
      </c>
      <c r="CF86" s="3">
        <v>42872</v>
      </c>
      <c r="CI86" s="2">
        <v>0</v>
      </c>
      <c r="CJ86" s="2">
        <v>0</v>
      </c>
      <c r="CK86" s="2" t="s">
        <v>196</v>
      </c>
      <c r="CL86" s="2" t="s">
        <v>87</v>
      </c>
    </row>
    <row r="87" spans="1:90">
      <c r="A87" s="2" t="s">
        <v>88</v>
      </c>
      <c r="B87" s="2" t="s">
        <v>72</v>
      </c>
      <c r="C87" s="2" t="s">
        <v>73</v>
      </c>
      <c r="E87" s="2" t="str">
        <f>"009935957020"</f>
        <v>009935957020</v>
      </c>
      <c r="F87" s="3">
        <v>42865</v>
      </c>
      <c r="G87" s="2">
        <v>201711</v>
      </c>
      <c r="H87" s="2" t="s">
        <v>158</v>
      </c>
      <c r="I87" s="2" t="s">
        <v>159</v>
      </c>
      <c r="J87" s="2" t="s">
        <v>91</v>
      </c>
      <c r="K87" s="2" t="s">
        <v>77</v>
      </c>
      <c r="L87" s="2" t="s">
        <v>192</v>
      </c>
      <c r="M87" s="2" t="s">
        <v>193</v>
      </c>
      <c r="N87" s="2" t="s">
        <v>317</v>
      </c>
      <c r="O87" s="2" t="s">
        <v>95</v>
      </c>
      <c r="P87" s="2" t="str">
        <f>"                              "</f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32.770000000000003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25</v>
      </c>
      <c r="BJ87" s="2">
        <v>47</v>
      </c>
      <c r="BK87" s="2">
        <v>47</v>
      </c>
      <c r="BL87" s="2">
        <v>301.19</v>
      </c>
      <c r="BM87" s="2">
        <v>42.17</v>
      </c>
      <c r="BN87" s="2">
        <v>343.36</v>
      </c>
      <c r="BO87" s="2">
        <v>343.36</v>
      </c>
      <c r="BQ87" s="2" t="s">
        <v>194</v>
      </c>
      <c r="BR87" s="2" t="s">
        <v>122</v>
      </c>
      <c r="BS87" s="3">
        <v>42866</v>
      </c>
      <c r="BT87" s="4">
        <v>0.41666666666666669</v>
      </c>
      <c r="BU87" s="2" t="s">
        <v>321</v>
      </c>
      <c r="BY87" s="2">
        <v>235224</v>
      </c>
      <c r="CC87" s="2" t="s">
        <v>193</v>
      </c>
      <c r="CD87" s="2">
        <v>450</v>
      </c>
      <c r="CE87" s="2" t="s">
        <v>86</v>
      </c>
      <c r="CF87" s="3">
        <v>42870</v>
      </c>
      <c r="CI87" s="2">
        <v>0</v>
      </c>
      <c r="CJ87" s="2">
        <v>0</v>
      </c>
      <c r="CK87" s="2" t="s">
        <v>196</v>
      </c>
      <c r="CL87" s="2" t="s">
        <v>87</v>
      </c>
    </row>
    <row r="88" spans="1:90">
      <c r="A88" s="2" t="s">
        <v>88</v>
      </c>
      <c r="B88" s="2" t="s">
        <v>72</v>
      </c>
      <c r="C88" s="2" t="s">
        <v>73</v>
      </c>
      <c r="E88" s="2" t="str">
        <f>"009935957096"</f>
        <v>009935957096</v>
      </c>
      <c r="F88" s="3">
        <v>42865</v>
      </c>
      <c r="G88" s="2">
        <v>201711</v>
      </c>
      <c r="H88" s="2" t="s">
        <v>158</v>
      </c>
      <c r="I88" s="2" t="s">
        <v>159</v>
      </c>
      <c r="J88" s="2" t="s">
        <v>91</v>
      </c>
      <c r="K88" s="2" t="s">
        <v>77</v>
      </c>
      <c r="L88" s="2" t="s">
        <v>111</v>
      </c>
      <c r="M88" s="2" t="s">
        <v>112</v>
      </c>
      <c r="N88" s="2" t="s">
        <v>147</v>
      </c>
      <c r="O88" s="2" t="s">
        <v>95</v>
      </c>
      <c r="P88" s="2" t="str">
        <f>"STORES                        "</f>
        <v xml:space="preserve">STORES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41.02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3</v>
      </c>
      <c r="BI88" s="2">
        <v>116</v>
      </c>
      <c r="BJ88" s="2">
        <v>96.6</v>
      </c>
      <c r="BK88" s="2">
        <v>116</v>
      </c>
      <c r="BL88" s="2">
        <v>375.79</v>
      </c>
      <c r="BM88" s="2">
        <v>52.61</v>
      </c>
      <c r="BN88" s="2">
        <v>428.4</v>
      </c>
      <c r="BO88" s="2">
        <v>428.4</v>
      </c>
      <c r="BQ88" s="2" t="s">
        <v>121</v>
      </c>
      <c r="BR88" s="2" t="s">
        <v>122</v>
      </c>
      <c r="BS88" s="3">
        <v>42866</v>
      </c>
      <c r="BT88" s="4">
        <v>0.42083333333333334</v>
      </c>
      <c r="BU88" s="2" t="s">
        <v>225</v>
      </c>
      <c r="BV88" s="2" t="s">
        <v>85</v>
      </c>
      <c r="BY88" s="2">
        <v>483207</v>
      </c>
      <c r="CC88" s="2" t="s">
        <v>112</v>
      </c>
      <c r="CD88" s="2">
        <v>1034</v>
      </c>
      <c r="CE88" s="2" t="s">
        <v>86</v>
      </c>
      <c r="CF88" s="3">
        <v>42867</v>
      </c>
      <c r="CI88" s="2">
        <v>1</v>
      </c>
      <c r="CJ88" s="2">
        <v>1</v>
      </c>
      <c r="CK88" s="2" t="s">
        <v>133</v>
      </c>
      <c r="CL88" s="2" t="s">
        <v>87</v>
      </c>
    </row>
    <row r="89" spans="1:90">
      <c r="A89" s="2" t="s">
        <v>88</v>
      </c>
      <c r="B89" s="2" t="s">
        <v>72</v>
      </c>
      <c r="C89" s="2" t="s">
        <v>73</v>
      </c>
      <c r="E89" s="2" t="str">
        <f>"009935802789"</f>
        <v>009935802789</v>
      </c>
      <c r="F89" s="3">
        <v>42865</v>
      </c>
      <c r="G89" s="2">
        <v>201711</v>
      </c>
      <c r="H89" s="2" t="s">
        <v>78</v>
      </c>
      <c r="I89" s="2" t="s">
        <v>79</v>
      </c>
      <c r="J89" s="2" t="s">
        <v>91</v>
      </c>
      <c r="K89" s="2" t="s">
        <v>77</v>
      </c>
      <c r="L89" s="2" t="s">
        <v>124</v>
      </c>
      <c r="M89" s="2" t="s">
        <v>125</v>
      </c>
      <c r="N89" s="2" t="s">
        <v>126</v>
      </c>
      <c r="O89" s="2" t="s">
        <v>95</v>
      </c>
      <c r="P89" s="2" t="str">
        <f>"STORES                        "</f>
        <v xml:space="preserve">STORES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32.39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2</v>
      </c>
      <c r="BI89" s="2">
        <v>49</v>
      </c>
      <c r="BJ89" s="2">
        <v>88.3</v>
      </c>
      <c r="BK89" s="2">
        <v>89</v>
      </c>
      <c r="BL89" s="2">
        <v>297.77</v>
      </c>
      <c r="BM89" s="2">
        <v>41.69</v>
      </c>
      <c r="BN89" s="2">
        <v>339.46</v>
      </c>
      <c r="BO89" s="2">
        <v>339.46</v>
      </c>
      <c r="BQ89" s="2" t="s">
        <v>128</v>
      </c>
      <c r="BS89" s="3">
        <v>42866</v>
      </c>
      <c r="BT89" s="4">
        <v>0.33333333333333331</v>
      </c>
      <c r="BU89" s="2" t="s">
        <v>246</v>
      </c>
      <c r="BV89" s="2" t="s">
        <v>85</v>
      </c>
      <c r="BY89" s="2">
        <v>441693</v>
      </c>
      <c r="CC89" s="2" t="s">
        <v>125</v>
      </c>
      <c r="CD89" s="2">
        <v>300</v>
      </c>
      <c r="CE89" s="2" t="s">
        <v>86</v>
      </c>
      <c r="CF89" s="3">
        <v>42870</v>
      </c>
      <c r="CI89" s="2">
        <v>1</v>
      </c>
      <c r="CJ89" s="2">
        <v>1</v>
      </c>
      <c r="CK89" s="2" t="s">
        <v>133</v>
      </c>
      <c r="CL89" s="2" t="s">
        <v>87</v>
      </c>
    </row>
    <row r="90" spans="1:90">
      <c r="A90" s="2" t="s">
        <v>88</v>
      </c>
      <c r="B90" s="2" t="s">
        <v>72</v>
      </c>
      <c r="C90" s="2" t="s">
        <v>73</v>
      </c>
      <c r="E90" s="2" t="str">
        <f>"009935802790"</f>
        <v>009935802790</v>
      </c>
      <c r="F90" s="3">
        <v>42865</v>
      </c>
      <c r="G90" s="2">
        <v>201711</v>
      </c>
      <c r="H90" s="2" t="s">
        <v>158</v>
      </c>
      <c r="I90" s="2" t="s">
        <v>159</v>
      </c>
      <c r="J90" s="2" t="s">
        <v>91</v>
      </c>
      <c r="K90" s="2" t="s">
        <v>77</v>
      </c>
      <c r="L90" s="2" t="s">
        <v>180</v>
      </c>
      <c r="M90" s="2" t="s">
        <v>181</v>
      </c>
      <c r="N90" s="2" t="s">
        <v>322</v>
      </c>
      <c r="O90" s="2" t="s">
        <v>95</v>
      </c>
      <c r="P90" s="2" t="str">
        <f>"STORES                        "</f>
        <v xml:space="preserve">STORES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39.340000000000003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2</v>
      </c>
      <c r="BI90" s="2">
        <v>65</v>
      </c>
      <c r="BJ90" s="2">
        <v>94.1</v>
      </c>
      <c r="BK90" s="2">
        <v>94</v>
      </c>
      <c r="BL90" s="2">
        <v>360.55</v>
      </c>
      <c r="BM90" s="2">
        <v>50.48</v>
      </c>
      <c r="BN90" s="2">
        <v>411.03</v>
      </c>
      <c r="BO90" s="2">
        <v>411.03</v>
      </c>
      <c r="BQ90" s="2" t="s">
        <v>184</v>
      </c>
      <c r="BS90" s="3">
        <v>42870</v>
      </c>
      <c r="BT90" s="4">
        <v>0.4375</v>
      </c>
      <c r="BU90" s="2" t="s">
        <v>184</v>
      </c>
      <c r="BV90" s="2" t="s">
        <v>87</v>
      </c>
      <c r="BW90" s="2" t="s">
        <v>229</v>
      </c>
      <c r="BX90" s="2" t="s">
        <v>323</v>
      </c>
      <c r="BY90" s="2">
        <v>470448</v>
      </c>
      <c r="CC90" s="2" t="s">
        <v>181</v>
      </c>
      <c r="CD90" s="2">
        <v>9460</v>
      </c>
      <c r="CE90" s="2" t="s">
        <v>86</v>
      </c>
      <c r="CF90" s="3">
        <v>42872</v>
      </c>
      <c r="CI90" s="2">
        <v>1</v>
      </c>
      <c r="CJ90" s="2">
        <v>3</v>
      </c>
      <c r="CK90" s="2" t="s">
        <v>161</v>
      </c>
      <c r="CL90" s="2" t="s">
        <v>87</v>
      </c>
    </row>
    <row r="91" spans="1:90">
      <c r="A91" s="2" t="s">
        <v>88</v>
      </c>
      <c r="B91" s="2" t="s">
        <v>72</v>
      </c>
      <c r="C91" s="2" t="s">
        <v>73</v>
      </c>
      <c r="E91" s="2" t="str">
        <f>"009936115939"</f>
        <v>009936115939</v>
      </c>
      <c r="F91" s="3">
        <v>42865</v>
      </c>
      <c r="G91" s="2">
        <v>201711</v>
      </c>
      <c r="H91" s="2" t="s">
        <v>78</v>
      </c>
      <c r="I91" s="2" t="s">
        <v>79</v>
      </c>
      <c r="J91" s="2" t="s">
        <v>91</v>
      </c>
      <c r="K91" s="2" t="s">
        <v>77</v>
      </c>
      <c r="L91" s="2" t="s">
        <v>138</v>
      </c>
      <c r="M91" s="2" t="s">
        <v>139</v>
      </c>
      <c r="N91" s="2" t="s">
        <v>324</v>
      </c>
      <c r="O91" s="2" t="s">
        <v>95</v>
      </c>
      <c r="P91" s="2" t="str">
        <f>"STORES                        "</f>
        <v xml:space="preserve">STORES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7.38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11</v>
      </c>
      <c r="BJ91" s="2">
        <v>17.399999999999999</v>
      </c>
      <c r="BK91" s="2">
        <v>18</v>
      </c>
      <c r="BL91" s="2">
        <v>71.69</v>
      </c>
      <c r="BM91" s="2">
        <v>10.039999999999999</v>
      </c>
      <c r="BN91" s="2">
        <v>81.73</v>
      </c>
      <c r="BO91" s="2">
        <v>81.73</v>
      </c>
      <c r="BQ91" s="2" t="s">
        <v>325</v>
      </c>
      <c r="BR91" s="2" t="s">
        <v>122</v>
      </c>
      <c r="BS91" s="3">
        <v>42866</v>
      </c>
      <c r="BT91" s="4">
        <v>0.4458333333333333</v>
      </c>
      <c r="BU91" s="2" t="s">
        <v>188</v>
      </c>
      <c r="BV91" s="2" t="s">
        <v>85</v>
      </c>
      <c r="BY91" s="2">
        <v>87185</v>
      </c>
      <c r="CC91" s="2" t="s">
        <v>139</v>
      </c>
      <c r="CD91" s="2">
        <v>9301</v>
      </c>
      <c r="CE91" s="2" t="s">
        <v>86</v>
      </c>
      <c r="CF91" s="3">
        <v>42867</v>
      </c>
      <c r="CI91" s="2">
        <v>1</v>
      </c>
      <c r="CJ91" s="2">
        <v>1</v>
      </c>
      <c r="CK91" s="2" t="s">
        <v>142</v>
      </c>
      <c r="CL91" s="2" t="s">
        <v>87</v>
      </c>
    </row>
    <row r="92" spans="1:90">
      <c r="A92" s="2" t="s">
        <v>88</v>
      </c>
      <c r="B92" s="2" t="s">
        <v>72</v>
      </c>
      <c r="C92" s="2" t="s">
        <v>73</v>
      </c>
      <c r="E92" s="2" t="str">
        <f>"009935802788"</f>
        <v>009935802788</v>
      </c>
      <c r="F92" s="3">
        <v>42865</v>
      </c>
      <c r="G92" s="2">
        <v>201711</v>
      </c>
      <c r="H92" s="2" t="s">
        <v>78</v>
      </c>
      <c r="I92" s="2" t="s">
        <v>79</v>
      </c>
      <c r="J92" s="2" t="s">
        <v>91</v>
      </c>
      <c r="K92" s="2" t="s">
        <v>77</v>
      </c>
      <c r="L92" s="2" t="s">
        <v>130</v>
      </c>
      <c r="M92" s="2" t="s">
        <v>131</v>
      </c>
      <c r="N92" s="2" t="s">
        <v>326</v>
      </c>
      <c r="O92" s="2" t="s">
        <v>95</v>
      </c>
      <c r="P92" s="2" t="str">
        <f>"STORES                        "</f>
        <v xml:space="preserve">STORES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9.4600000000000009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</v>
      </c>
      <c r="BJ92" s="2">
        <v>0.3</v>
      </c>
      <c r="BK92" s="2">
        <v>1</v>
      </c>
      <c r="BL92" s="2">
        <v>90.51</v>
      </c>
      <c r="BM92" s="2">
        <v>12.67</v>
      </c>
      <c r="BN92" s="2">
        <v>103.18</v>
      </c>
      <c r="BO92" s="2">
        <v>103.18</v>
      </c>
      <c r="BQ92" s="2" t="s">
        <v>302</v>
      </c>
      <c r="BS92" s="3">
        <v>42867</v>
      </c>
      <c r="BT92" s="4">
        <v>0.41319444444444442</v>
      </c>
      <c r="BU92" s="2" t="s">
        <v>303</v>
      </c>
      <c r="BV92" s="2" t="s">
        <v>87</v>
      </c>
      <c r="BW92" s="2" t="s">
        <v>229</v>
      </c>
      <c r="BX92" s="2" t="s">
        <v>304</v>
      </c>
      <c r="BY92" s="2">
        <v>1292</v>
      </c>
      <c r="CC92" s="2" t="s">
        <v>131</v>
      </c>
      <c r="CD92" s="2">
        <v>3200</v>
      </c>
      <c r="CE92" s="2" t="s">
        <v>316</v>
      </c>
      <c r="CF92" s="3">
        <v>42870</v>
      </c>
      <c r="CI92" s="2">
        <v>1</v>
      </c>
      <c r="CJ92" s="2">
        <v>2</v>
      </c>
      <c r="CK92" s="2" t="s">
        <v>161</v>
      </c>
      <c r="CL92" s="2" t="s">
        <v>87</v>
      </c>
    </row>
    <row r="93" spans="1:90">
      <c r="A93" s="2" t="s">
        <v>88</v>
      </c>
      <c r="B93" s="2" t="s">
        <v>72</v>
      </c>
      <c r="C93" s="2" t="s">
        <v>73</v>
      </c>
      <c r="E93" s="2" t="str">
        <f>"009935802786"</f>
        <v>009935802786</v>
      </c>
      <c r="F93" s="3">
        <v>42865</v>
      </c>
      <c r="G93" s="2">
        <v>201711</v>
      </c>
      <c r="H93" s="2" t="s">
        <v>78</v>
      </c>
      <c r="I93" s="2" t="s">
        <v>79</v>
      </c>
      <c r="J93" s="2" t="s">
        <v>91</v>
      </c>
      <c r="K93" s="2" t="s">
        <v>77</v>
      </c>
      <c r="L93" s="2" t="s">
        <v>327</v>
      </c>
      <c r="M93" s="2" t="s">
        <v>328</v>
      </c>
      <c r="N93" s="2" t="s">
        <v>329</v>
      </c>
      <c r="O93" s="2" t="s">
        <v>95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9.4600000000000009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4</v>
      </c>
      <c r="BJ93" s="2">
        <v>2.6</v>
      </c>
      <c r="BK93" s="2">
        <v>4</v>
      </c>
      <c r="BL93" s="2">
        <v>90.51</v>
      </c>
      <c r="BM93" s="2">
        <v>12.67</v>
      </c>
      <c r="BN93" s="2">
        <v>103.18</v>
      </c>
      <c r="BO93" s="2">
        <v>103.18</v>
      </c>
      <c r="BQ93" s="2" t="s">
        <v>245</v>
      </c>
      <c r="BR93" s="2" t="s">
        <v>330</v>
      </c>
      <c r="BS93" s="3">
        <v>42867</v>
      </c>
      <c r="BT93" s="4">
        <v>0.53125</v>
      </c>
      <c r="BU93" s="2" t="s">
        <v>331</v>
      </c>
      <c r="BV93" s="2" t="s">
        <v>87</v>
      </c>
      <c r="BW93" s="2" t="s">
        <v>314</v>
      </c>
      <c r="BX93" s="2" t="s">
        <v>332</v>
      </c>
      <c r="BY93" s="2">
        <v>13125</v>
      </c>
      <c r="CC93" s="2" t="s">
        <v>328</v>
      </c>
      <c r="CD93" s="2">
        <v>9700</v>
      </c>
      <c r="CE93" s="2" t="s">
        <v>333</v>
      </c>
      <c r="CF93" s="3">
        <v>42867</v>
      </c>
      <c r="CI93" s="2">
        <v>1</v>
      </c>
      <c r="CJ93" s="2">
        <v>2</v>
      </c>
      <c r="CK93" s="2" t="s">
        <v>161</v>
      </c>
      <c r="CL93" s="2" t="s">
        <v>87</v>
      </c>
    </row>
    <row r="94" spans="1:90">
      <c r="A94" s="2" t="s">
        <v>88</v>
      </c>
      <c r="B94" s="2" t="s">
        <v>72</v>
      </c>
      <c r="C94" s="2" t="s">
        <v>73</v>
      </c>
      <c r="E94" s="2" t="str">
        <f>"009935802798"</f>
        <v>009935802798</v>
      </c>
      <c r="F94" s="3">
        <v>42863</v>
      </c>
      <c r="G94" s="2">
        <v>201711</v>
      </c>
      <c r="H94" s="2" t="s">
        <v>158</v>
      </c>
      <c r="I94" s="2" t="s">
        <v>159</v>
      </c>
      <c r="J94" s="2" t="s">
        <v>91</v>
      </c>
      <c r="K94" s="2" t="s">
        <v>77</v>
      </c>
      <c r="L94" s="2" t="s">
        <v>197</v>
      </c>
      <c r="M94" s="2" t="s">
        <v>198</v>
      </c>
      <c r="N94" s="2" t="s">
        <v>272</v>
      </c>
      <c r="O94" s="2" t="s">
        <v>95</v>
      </c>
      <c r="P94" s="2" t="str">
        <f>"STORES                        "</f>
        <v xml:space="preserve">STORES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14.56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32</v>
      </c>
      <c r="BJ94" s="2">
        <v>43.8</v>
      </c>
      <c r="BK94" s="2">
        <v>44</v>
      </c>
      <c r="BL94" s="2">
        <v>136.59</v>
      </c>
      <c r="BM94" s="2">
        <v>19.12</v>
      </c>
      <c r="BN94" s="2">
        <v>155.71</v>
      </c>
      <c r="BO94" s="2">
        <v>155.71</v>
      </c>
      <c r="BQ94" s="2" t="s">
        <v>334</v>
      </c>
      <c r="BR94" s="2" t="s">
        <v>122</v>
      </c>
      <c r="BS94" s="3">
        <v>42864</v>
      </c>
      <c r="BT94" s="4">
        <v>0.44027777777777777</v>
      </c>
      <c r="BU94" s="2" t="s">
        <v>200</v>
      </c>
      <c r="BV94" s="2" t="s">
        <v>85</v>
      </c>
      <c r="BY94" s="2">
        <v>219186</v>
      </c>
      <c r="CC94" s="2" t="s">
        <v>198</v>
      </c>
      <c r="CD94" s="2">
        <v>2570</v>
      </c>
      <c r="CF94" s="3">
        <v>42866</v>
      </c>
      <c r="CI94" s="2">
        <v>1</v>
      </c>
      <c r="CJ94" s="2">
        <v>1</v>
      </c>
      <c r="CK94" s="2" t="s">
        <v>142</v>
      </c>
      <c r="CL94" s="2" t="s">
        <v>87</v>
      </c>
    </row>
    <row r="95" spans="1:90">
      <c r="A95" s="2" t="s">
        <v>88</v>
      </c>
      <c r="B95" s="2" t="s">
        <v>72</v>
      </c>
      <c r="C95" s="2" t="s">
        <v>73</v>
      </c>
      <c r="E95" s="2" t="str">
        <f>"039902658207"</f>
        <v>039902658207</v>
      </c>
      <c r="F95" s="3">
        <v>42865</v>
      </c>
      <c r="G95" s="2">
        <v>201711</v>
      </c>
      <c r="H95" s="2" t="s">
        <v>138</v>
      </c>
      <c r="I95" s="2" t="s">
        <v>139</v>
      </c>
      <c r="J95" s="2" t="s">
        <v>76</v>
      </c>
      <c r="K95" s="2" t="s">
        <v>77</v>
      </c>
      <c r="L95" s="2" t="s">
        <v>158</v>
      </c>
      <c r="M95" s="2" t="s">
        <v>159</v>
      </c>
      <c r="N95" s="2" t="s">
        <v>335</v>
      </c>
      <c r="O95" s="2" t="s">
        <v>95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10.33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12</v>
      </c>
      <c r="BJ95" s="2">
        <v>19.8</v>
      </c>
      <c r="BK95" s="2">
        <v>20</v>
      </c>
      <c r="BL95" s="2">
        <v>98.38</v>
      </c>
      <c r="BM95" s="2">
        <v>13.77</v>
      </c>
      <c r="BN95" s="2">
        <v>112.15</v>
      </c>
      <c r="BO95" s="2">
        <v>112.15</v>
      </c>
      <c r="BR95" s="2" t="s">
        <v>140</v>
      </c>
      <c r="BS95" s="3">
        <v>42866</v>
      </c>
      <c r="BT95" s="4">
        <v>0.53472222222222221</v>
      </c>
      <c r="BU95" s="2" t="s">
        <v>102</v>
      </c>
      <c r="BV95" s="2" t="s">
        <v>85</v>
      </c>
      <c r="BY95" s="2">
        <v>99000</v>
      </c>
      <c r="CC95" s="2" t="s">
        <v>159</v>
      </c>
      <c r="CD95" s="2">
        <v>2146</v>
      </c>
      <c r="CE95" s="2" t="s">
        <v>271</v>
      </c>
      <c r="CF95" s="3">
        <v>42867</v>
      </c>
      <c r="CI95" s="2">
        <v>1</v>
      </c>
      <c r="CJ95" s="2">
        <v>1</v>
      </c>
      <c r="CK95" s="2" t="s">
        <v>133</v>
      </c>
      <c r="CL95" s="2" t="s">
        <v>87</v>
      </c>
    </row>
    <row r="96" spans="1:90">
      <c r="A96" s="2" t="s">
        <v>88</v>
      </c>
      <c r="B96" s="2" t="s">
        <v>72</v>
      </c>
      <c r="C96" s="2" t="s">
        <v>73</v>
      </c>
      <c r="E96" s="2" t="str">
        <f>"009935802799"</f>
        <v>009935802799</v>
      </c>
      <c r="F96" s="3">
        <v>42863</v>
      </c>
      <c r="G96" s="2">
        <v>201711</v>
      </c>
      <c r="H96" s="2" t="s">
        <v>158</v>
      </c>
      <c r="I96" s="2" t="s">
        <v>159</v>
      </c>
      <c r="J96" s="2" t="s">
        <v>91</v>
      </c>
      <c r="K96" s="2" t="s">
        <v>77</v>
      </c>
      <c r="L96" s="2" t="s">
        <v>166</v>
      </c>
      <c r="M96" s="2" t="s">
        <v>167</v>
      </c>
      <c r="N96" s="2" t="s">
        <v>336</v>
      </c>
      <c r="O96" s="2" t="s">
        <v>95</v>
      </c>
      <c r="P96" s="2" t="str">
        <f t="shared" ref="P96:P103" si="4">"STORES                        "</f>
        <v xml:space="preserve">STORES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30.76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30</v>
      </c>
      <c r="BJ96" s="2">
        <v>43.8</v>
      </c>
      <c r="BK96" s="2">
        <v>44</v>
      </c>
      <c r="BL96" s="2">
        <v>283.04000000000002</v>
      </c>
      <c r="BM96" s="2">
        <v>39.630000000000003</v>
      </c>
      <c r="BN96" s="2">
        <v>322.67</v>
      </c>
      <c r="BO96" s="2">
        <v>322.67</v>
      </c>
      <c r="BQ96" s="2" t="s">
        <v>168</v>
      </c>
      <c r="BR96" s="2" t="s">
        <v>122</v>
      </c>
      <c r="BS96" s="3">
        <v>42864</v>
      </c>
      <c r="BT96" s="4">
        <v>0.43263888888888885</v>
      </c>
      <c r="BU96" s="2" t="s">
        <v>168</v>
      </c>
      <c r="BV96" s="2" t="s">
        <v>85</v>
      </c>
      <c r="BY96" s="2">
        <v>219186</v>
      </c>
      <c r="CC96" s="2" t="s">
        <v>167</v>
      </c>
      <c r="CD96" s="2">
        <v>2745</v>
      </c>
      <c r="CF96" s="3">
        <v>42870</v>
      </c>
      <c r="CI96" s="2">
        <v>1</v>
      </c>
      <c r="CJ96" s="2">
        <v>1</v>
      </c>
      <c r="CK96" s="2" t="s">
        <v>196</v>
      </c>
      <c r="CL96" s="2" t="s">
        <v>87</v>
      </c>
    </row>
    <row r="97" spans="1:90">
      <c r="A97" s="2" t="s">
        <v>88</v>
      </c>
      <c r="B97" s="2" t="s">
        <v>72</v>
      </c>
      <c r="C97" s="2" t="s">
        <v>73</v>
      </c>
      <c r="E97" s="2" t="str">
        <f>"009935802801"</f>
        <v>009935802801</v>
      </c>
      <c r="F97" s="3">
        <v>42863</v>
      </c>
      <c r="G97" s="2">
        <v>201711</v>
      </c>
      <c r="H97" s="2" t="s">
        <v>158</v>
      </c>
      <c r="I97" s="2" t="s">
        <v>159</v>
      </c>
      <c r="J97" s="2" t="s">
        <v>91</v>
      </c>
      <c r="K97" s="2" t="s">
        <v>77</v>
      </c>
      <c r="L97" s="2" t="s">
        <v>242</v>
      </c>
      <c r="M97" s="2" t="s">
        <v>170</v>
      </c>
      <c r="N97" s="2" t="s">
        <v>337</v>
      </c>
      <c r="O97" s="2" t="s">
        <v>95</v>
      </c>
      <c r="P97" s="2" t="str">
        <f t="shared" si="4"/>
        <v xml:space="preserve">STORES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17.32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2</v>
      </c>
      <c r="BI97" s="2">
        <v>54</v>
      </c>
      <c r="BJ97" s="2">
        <v>46.8</v>
      </c>
      <c r="BK97" s="2">
        <v>54</v>
      </c>
      <c r="BL97" s="2">
        <v>161.55000000000001</v>
      </c>
      <c r="BM97" s="2">
        <v>22.62</v>
      </c>
      <c r="BN97" s="2">
        <v>184.17</v>
      </c>
      <c r="BO97" s="2">
        <v>184.17</v>
      </c>
      <c r="BQ97" s="2" t="s">
        <v>338</v>
      </c>
      <c r="BR97" s="2" t="s">
        <v>122</v>
      </c>
      <c r="BS97" s="3">
        <v>42865</v>
      </c>
      <c r="BT97" s="4">
        <v>0.33194444444444443</v>
      </c>
      <c r="BU97" s="2" t="s">
        <v>339</v>
      </c>
      <c r="BV97" s="2" t="s">
        <v>87</v>
      </c>
      <c r="BY97" s="2">
        <v>233826</v>
      </c>
      <c r="CC97" s="2" t="s">
        <v>170</v>
      </c>
      <c r="CD97" s="2">
        <v>1201</v>
      </c>
      <c r="CF97" s="3">
        <v>42866</v>
      </c>
      <c r="CI97" s="2">
        <v>1</v>
      </c>
      <c r="CJ97" s="2">
        <v>2</v>
      </c>
      <c r="CK97" s="2" t="s">
        <v>142</v>
      </c>
      <c r="CL97" s="2" t="s">
        <v>87</v>
      </c>
    </row>
    <row r="98" spans="1:90">
      <c r="A98" s="2" t="s">
        <v>88</v>
      </c>
      <c r="B98" s="2" t="s">
        <v>72</v>
      </c>
      <c r="C98" s="2" t="s">
        <v>73</v>
      </c>
      <c r="E98" s="2" t="str">
        <f>"009935802797"</f>
        <v>009935802797</v>
      </c>
      <c r="F98" s="3">
        <v>42863</v>
      </c>
      <c r="G98" s="2">
        <v>201711</v>
      </c>
      <c r="H98" s="2" t="s">
        <v>158</v>
      </c>
      <c r="I98" s="2" t="s">
        <v>159</v>
      </c>
      <c r="J98" s="2" t="s">
        <v>91</v>
      </c>
      <c r="K98" s="2" t="s">
        <v>77</v>
      </c>
      <c r="L98" s="2" t="s">
        <v>189</v>
      </c>
      <c r="M98" s="2" t="s">
        <v>98</v>
      </c>
      <c r="N98" s="2" t="s">
        <v>340</v>
      </c>
      <c r="O98" s="2" t="s">
        <v>95</v>
      </c>
      <c r="P98" s="2" t="str">
        <f t="shared" si="4"/>
        <v xml:space="preserve">STORES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37.450000000000003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2</v>
      </c>
      <c r="BI98" s="2">
        <v>39</v>
      </c>
      <c r="BJ98" s="2">
        <v>53.3</v>
      </c>
      <c r="BK98" s="2">
        <v>54</v>
      </c>
      <c r="BL98" s="2">
        <v>343.53</v>
      </c>
      <c r="BM98" s="2">
        <v>48.09</v>
      </c>
      <c r="BN98" s="2">
        <v>391.62</v>
      </c>
      <c r="BO98" s="2">
        <v>391.62</v>
      </c>
      <c r="BQ98" s="2" t="s">
        <v>190</v>
      </c>
      <c r="BR98" s="2" t="s">
        <v>122</v>
      </c>
      <c r="BS98" s="3">
        <v>42865</v>
      </c>
      <c r="BT98" s="4">
        <v>0.41666666666666669</v>
      </c>
      <c r="BU98" s="2" t="s">
        <v>190</v>
      </c>
      <c r="BY98" s="2">
        <v>266506</v>
      </c>
      <c r="CA98" s="2" t="s">
        <v>341</v>
      </c>
      <c r="CC98" s="2" t="s">
        <v>98</v>
      </c>
      <c r="CD98" s="2">
        <v>6530</v>
      </c>
      <c r="CF98" s="3">
        <v>42867</v>
      </c>
      <c r="CI98" s="2">
        <v>0</v>
      </c>
      <c r="CJ98" s="2">
        <v>0</v>
      </c>
      <c r="CK98" s="2" t="s">
        <v>99</v>
      </c>
      <c r="CL98" s="2" t="s">
        <v>87</v>
      </c>
    </row>
    <row r="99" spans="1:90">
      <c r="A99" s="2" t="s">
        <v>88</v>
      </c>
      <c r="B99" s="2" t="s">
        <v>72</v>
      </c>
      <c r="C99" s="2" t="s">
        <v>73</v>
      </c>
      <c r="E99" s="2" t="str">
        <f>"009935802800"</f>
        <v>009935802800</v>
      </c>
      <c r="F99" s="3">
        <v>42863</v>
      </c>
      <c r="G99" s="2">
        <v>201711</v>
      </c>
      <c r="H99" s="2" t="s">
        <v>158</v>
      </c>
      <c r="I99" s="2" t="s">
        <v>159</v>
      </c>
      <c r="J99" s="2" t="s">
        <v>107</v>
      </c>
      <c r="K99" s="2" t="s">
        <v>77</v>
      </c>
      <c r="L99" s="2" t="s">
        <v>242</v>
      </c>
      <c r="M99" s="2" t="s">
        <v>170</v>
      </c>
      <c r="N99" s="2" t="s">
        <v>337</v>
      </c>
      <c r="O99" s="2" t="s">
        <v>95</v>
      </c>
      <c r="P99" s="2" t="str">
        <f t="shared" si="4"/>
        <v xml:space="preserve">STORES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19.25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2</v>
      </c>
      <c r="BI99" s="2">
        <v>46</v>
      </c>
      <c r="BJ99" s="2">
        <v>60.5</v>
      </c>
      <c r="BK99" s="2">
        <v>61</v>
      </c>
      <c r="BL99" s="2">
        <v>179.02</v>
      </c>
      <c r="BM99" s="2">
        <v>25.06</v>
      </c>
      <c r="BN99" s="2">
        <v>204.08</v>
      </c>
      <c r="BO99" s="2">
        <v>204.08</v>
      </c>
      <c r="BQ99" s="2" t="s">
        <v>204</v>
      </c>
      <c r="BR99" s="2" t="s">
        <v>122</v>
      </c>
      <c r="BS99" s="3">
        <v>42866</v>
      </c>
      <c r="BT99" s="4">
        <v>0.58680555555555558</v>
      </c>
      <c r="BU99" s="2" t="s">
        <v>204</v>
      </c>
      <c r="BV99" s="2" t="s">
        <v>87</v>
      </c>
      <c r="BY99" s="2">
        <v>302329</v>
      </c>
      <c r="CC99" s="2" t="s">
        <v>170</v>
      </c>
      <c r="CD99" s="2">
        <v>1201</v>
      </c>
      <c r="CF99" s="3">
        <v>42867</v>
      </c>
      <c r="CI99" s="2">
        <v>1</v>
      </c>
      <c r="CJ99" s="2">
        <v>3</v>
      </c>
      <c r="CK99" s="2" t="s">
        <v>142</v>
      </c>
      <c r="CL99" s="2" t="s">
        <v>87</v>
      </c>
    </row>
    <row r="100" spans="1:90">
      <c r="A100" s="2" t="s">
        <v>88</v>
      </c>
      <c r="B100" s="2" t="s">
        <v>72</v>
      </c>
      <c r="C100" s="2" t="s">
        <v>73</v>
      </c>
      <c r="E100" s="2" t="str">
        <f>"009935802796"</f>
        <v>009935802796</v>
      </c>
      <c r="F100" s="3">
        <v>42863</v>
      </c>
      <c r="G100" s="2">
        <v>201711</v>
      </c>
      <c r="H100" s="2" t="s">
        <v>158</v>
      </c>
      <c r="I100" s="2" t="s">
        <v>159</v>
      </c>
      <c r="J100" s="2" t="s">
        <v>91</v>
      </c>
      <c r="K100" s="2" t="s">
        <v>77</v>
      </c>
      <c r="L100" s="2" t="s">
        <v>342</v>
      </c>
      <c r="M100" s="2" t="s">
        <v>343</v>
      </c>
      <c r="N100" s="2" t="s">
        <v>344</v>
      </c>
      <c r="O100" s="2" t="s">
        <v>95</v>
      </c>
      <c r="P100" s="2" t="str">
        <f t="shared" si="4"/>
        <v xml:space="preserve">STORES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30.76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28</v>
      </c>
      <c r="BJ100" s="2">
        <v>43.8</v>
      </c>
      <c r="BK100" s="2">
        <v>44</v>
      </c>
      <c r="BL100" s="2">
        <v>283.04000000000002</v>
      </c>
      <c r="BM100" s="2">
        <v>39.630000000000003</v>
      </c>
      <c r="BN100" s="2">
        <v>322.67</v>
      </c>
      <c r="BO100" s="2">
        <v>322.67</v>
      </c>
      <c r="BQ100" s="2" t="s">
        <v>345</v>
      </c>
      <c r="BR100" s="2" t="s">
        <v>122</v>
      </c>
      <c r="BS100" s="3">
        <v>42866</v>
      </c>
      <c r="BT100" s="4">
        <v>0.5</v>
      </c>
      <c r="BU100" s="2" t="s">
        <v>346</v>
      </c>
      <c r="BV100" s="2" t="s">
        <v>87</v>
      </c>
      <c r="BW100" s="2" t="s">
        <v>319</v>
      </c>
      <c r="BX100" s="2" t="s">
        <v>228</v>
      </c>
      <c r="BY100" s="2">
        <v>219186</v>
      </c>
      <c r="CC100" s="2" t="s">
        <v>343</v>
      </c>
      <c r="CD100" s="2">
        <v>920</v>
      </c>
      <c r="CF100" s="3">
        <v>42870</v>
      </c>
      <c r="CI100" s="2">
        <v>1</v>
      </c>
      <c r="CJ100" s="2">
        <v>3</v>
      </c>
      <c r="CK100" s="2" t="s">
        <v>99</v>
      </c>
      <c r="CL100" s="2" t="s">
        <v>87</v>
      </c>
    </row>
    <row r="101" spans="1:90">
      <c r="A101" s="2" t="s">
        <v>88</v>
      </c>
      <c r="B101" s="2" t="s">
        <v>72</v>
      </c>
      <c r="C101" s="2" t="s">
        <v>73</v>
      </c>
      <c r="E101" s="2" t="str">
        <f>"009935802795"</f>
        <v>009935802795</v>
      </c>
      <c r="F101" s="3">
        <v>42863</v>
      </c>
      <c r="G101" s="2">
        <v>201711</v>
      </c>
      <c r="H101" s="2" t="s">
        <v>158</v>
      </c>
      <c r="I101" s="2" t="s">
        <v>159</v>
      </c>
      <c r="J101" s="2" t="s">
        <v>91</v>
      </c>
      <c r="K101" s="2" t="s">
        <v>77</v>
      </c>
      <c r="L101" s="2" t="s">
        <v>347</v>
      </c>
      <c r="M101" s="2" t="s">
        <v>348</v>
      </c>
      <c r="N101" s="2" t="s">
        <v>349</v>
      </c>
      <c r="O101" s="2" t="s">
        <v>95</v>
      </c>
      <c r="P101" s="2" t="str">
        <f t="shared" si="4"/>
        <v xml:space="preserve">STORES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8.01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3</v>
      </c>
      <c r="BJ101" s="2">
        <v>2.7</v>
      </c>
      <c r="BK101" s="2">
        <v>3</v>
      </c>
      <c r="BL101" s="2">
        <v>77.36</v>
      </c>
      <c r="BM101" s="2">
        <v>10.83</v>
      </c>
      <c r="BN101" s="2">
        <v>88.19</v>
      </c>
      <c r="BO101" s="2">
        <v>88.19</v>
      </c>
      <c r="BQ101" s="2" t="s">
        <v>350</v>
      </c>
      <c r="BR101" s="2" t="s">
        <v>148</v>
      </c>
      <c r="BS101" s="3">
        <v>42864</v>
      </c>
      <c r="BT101" s="4">
        <v>0.57638888888888895</v>
      </c>
      <c r="BU101" s="2" t="s">
        <v>351</v>
      </c>
      <c r="BY101" s="2">
        <v>13456</v>
      </c>
      <c r="CC101" s="2" t="s">
        <v>348</v>
      </c>
      <c r="CD101" s="2">
        <v>157</v>
      </c>
      <c r="CF101" s="3">
        <v>42866</v>
      </c>
      <c r="CI101" s="2">
        <v>0</v>
      </c>
      <c r="CJ101" s="2">
        <v>0</v>
      </c>
      <c r="CK101" s="2" t="s">
        <v>129</v>
      </c>
      <c r="CL101" s="2" t="s">
        <v>87</v>
      </c>
    </row>
    <row r="102" spans="1:90">
      <c r="A102" s="2" t="s">
        <v>88</v>
      </c>
      <c r="B102" s="2" t="s">
        <v>72</v>
      </c>
      <c r="C102" s="2" t="s">
        <v>73</v>
      </c>
      <c r="E102" s="2" t="str">
        <f>"009935957097"</f>
        <v>009935957097</v>
      </c>
      <c r="F102" s="3">
        <v>42863</v>
      </c>
      <c r="G102" s="2">
        <v>201711</v>
      </c>
      <c r="H102" s="2" t="s">
        <v>158</v>
      </c>
      <c r="I102" s="2" t="s">
        <v>159</v>
      </c>
      <c r="J102" s="2" t="s">
        <v>91</v>
      </c>
      <c r="K102" s="2" t="s">
        <v>77</v>
      </c>
      <c r="L102" s="2" t="s">
        <v>111</v>
      </c>
      <c r="M102" s="2" t="s">
        <v>112</v>
      </c>
      <c r="N102" s="2" t="s">
        <v>352</v>
      </c>
      <c r="O102" s="2" t="s">
        <v>95</v>
      </c>
      <c r="P102" s="2" t="str">
        <f t="shared" si="4"/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8.73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8</v>
      </c>
      <c r="BJ102" s="2">
        <v>9.5</v>
      </c>
      <c r="BK102" s="2">
        <v>10</v>
      </c>
      <c r="BL102" s="2">
        <v>83.93</v>
      </c>
      <c r="BM102" s="2">
        <v>11.75</v>
      </c>
      <c r="BN102" s="2">
        <v>95.68</v>
      </c>
      <c r="BO102" s="2">
        <v>95.68</v>
      </c>
      <c r="BQ102" s="2" t="s">
        <v>121</v>
      </c>
      <c r="BR102" s="2" t="s">
        <v>122</v>
      </c>
      <c r="BS102" s="3">
        <v>42864</v>
      </c>
      <c r="BT102" s="4">
        <v>0.43055555555555558</v>
      </c>
      <c r="BU102" s="2" t="s">
        <v>225</v>
      </c>
      <c r="BV102" s="2" t="s">
        <v>85</v>
      </c>
      <c r="BY102" s="2">
        <v>47320</v>
      </c>
      <c r="CC102" s="2" t="s">
        <v>112</v>
      </c>
      <c r="CD102" s="2">
        <v>1034</v>
      </c>
      <c r="CF102" s="3">
        <v>42865</v>
      </c>
      <c r="CI102" s="2">
        <v>1</v>
      </c>
      <c r="CJ102" s="2">
        <v>1</v>
      </c>
      <c r="CK102" s="2" t="s">
        <v>133</v>
      </c>
      <c r="CL102" s="2" t="s">
        <v>87</v>
      </c>
    </row>
    <row r="103" spans="1:90">
      <c r="A103" s="2" t="s">
        <v>88</v>
      </c>
      <c r="B103" s="2" t="s">
        <v>72</v>
      </c>
      <c r="C103" s="2" t="s">
        <v>73</v>
      </c>
      <c r="E103" s="2" t="str">
        <f>"009936078421"</f>
        <v>009936078421</v>
      </c>
      <c r="F103" s="3">
        <v>42863</v>
      </c>
      <c r="G103" s="2">
        <v>201711</v>
      </c>
      <c r="H103" s="2" t="s">
        <v>158</v>
      </c>
      <c r="I103" s="2" t="s">
        <v>159</v>
      </c>
      <c r="J103" s="2" t="s">
        <v>91</v>
      </c>
      <c r="K103" s="2" t="s">
        <v>77</v>
      </c>
      <c r="L103" s="2" t="s">
        <v>186</v>
      </c>
      <c r="M103" s="2" t="s">
        <v>106</v>
      </c>
      <c r="N103" s="2" t="s">
        <v>353</v>
      </c>
      <c r="O103" s="2" t="s">
        <v>95</v>
      </c>
      <c r="P103" s="2" t="str">
        <f t="shared" si="4"/>
        <v xml:space="preserve">STORES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55.23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3</v>
      </c>
      <c r="BI103" s="2">
        <v>94</v>
      </c>
      <c r="BJ103" s="2">
        <v>126.3</v>
      </c>
      <c r="BK103" s="2">
        <v>127</v>
      </c>
      <c r="BL103" s="2">
        <v>504.23</v>
      </c>
      <c r="BM103" s="2">
        <v>70.59</v>
      </c>
      <c r="BN103" s="2">
        <v>574.82000000000005</v>
      </c>
      <c r="BO103" s="2">
        <v>574.82000000000005</v>
      </c>
      <c r="BQ103" s="2" t="s">
        <v>109</v>
      </c>
      <c r="BR103" s="2" t="s">
        <v>122</v>
      </c>
      <c r="BS103" s="3">
        <v>42865</v>
      </c>
      <c r="BT103" s="4">
        <v>0.5395833333333333</v>
      </c>
      <c r="BU103" s="2" t="s">
        <v>354</v>
      </c>
      <c r="BV103" s="2" t="s">
        <v>85</v>
      </c>
      <c r="BY103" s="2">
        <v>412386</v>
      </c>
      <c r="CC103" s="2" t="s">
        <v>106</v>
      </c>
      <c r="CD103" s="2">
        <v>7700</v>
      </c>
      <c r="CF103" s="3">
        <v>42865</v>
      </c>
      <c r="CI103" s="2">
        <v>2</v>
      </c>
      <c r="CJ103" s="2">
        <v>2</v>
      </c>
      <c r="CK103" s="2" t="s">
        <v>104</v>
      </c>
      <c r="CL103" s="2" t="s">
        <v>87</v>
      </c>
    </row>
    <row r="104" spans="1:90">
      <c r="A104" s="2" t="s">
        <v>88</v>
      </c>
      <c r="B104" s="2" t="s">
        <v>72</v>
      </c>
      <c r="C104" s="2" t="s">
        <v>73</v>
      </c>
      <c r="E104" s="2" t="str">
        <f>"039902642749"</f>
        <v>039902642749</v>
      </c>
      <c r="F104" s="3">
        <v>42865</v>
      </c>
      <c r="G104" s="2">
        <v>201711</v>
      </c>
      <c r="H104" s="2" t="s">
        <v>89</v>
      </c>
      <c r="I104" s="2" t="s">
        <v>90</v>
      </c>
      <c r="J104" s="2" t="s">
        <v>91</v>
      </c>
      <c r="K104" s="2" t="s">
        <v>77</v>
      </c>
      <c r="L104" s="2" t="s">
        <v>78</v>
      </c>
      <c r="M104" s="2" t="s">
        <v>79</v>
      </c>
      <c r="N104" s="2" t="s">
        <v>91</v>
      </c>
      <c r="O104" s="2" t="s">
        <v>95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125.82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4</v>
      </c>
      <c r="BI104" s="2">
        <v>85</v>
      </c>
      <c r="BJ104" s="2">
        <v>299.2</v>
      </c>
      <c r="BK104" s="2">
        <v>300</v>
      </c>
      <c r="BL104" s="2">
        <v>1142.26</v>
      </c>
      <c r="BM104" s="2">
        <v>159.91999999999999</v>
      </c>
      <c r="BN104" s="2">
        <v>1302.18</v>
      </c>
      <c r="BO104" s="2">
        <v>1302.18</v>
      </c>
      <c r="BQ104" s="2" t="s">
        <v>100</v>
      </c>
      <c r="BR104" s="2" t="s">
        <v>101</v>
      </c>
      <c r="BS104" s="3">
        <v>42867</v>
      </c>
      <c r="BT104" s="4">
        <v>0.49861111111111112</v>
      </c>
      <c r="BU104" s="2" t="s">
        <v>148</v>
      </c>
      <c r="BV104" s="2" t="s">
        <v>85</v>
      </c>
      <c r="BY104" s="2">
        <v>374052</v>
      </c>
      <c r="CC104" s="2" t="s">
        <v>79</v>
      </c>
      <c r="CD104" s="2">
        <v>2090</v>
      </c>
      <c r="CE104" s="2" t="s">
        <v>103</v>
      </c>
      <c r="CF104" s="3">
        <v>42870</v>
      </c>
      <c r="CI104" s="2">
        <v>2</v>
      </c>
      <c r="CJ104" s="2">
        <v>2</v>
      </c>
      <c r="CK104" s="2" t="s">
        <v>104</v>
      </c>
      <c r="CL104" s="2" t="s">
        <v>87</v>
      </c>
    </row>
    <row r="105" spans="1:90">
      <c r="A105" s="2" t="s">
        <v>88</v>
      </c>
      <c r="B105" s="2" t="s">
        <v>72</v>
      </c>
      <c r="C105" s="2" t="s">
        <v>73</v>
      </c>
      <c r="E105" s="2" t="str">
        <f>"029907613748"</f>
        <v>029907613748</v>
      </c>
      <c r="F105" s="3">
        <v>42865</v>
      </c>
      <c r="G105" s="2">
        <v>201711</v>
      </c>
      <c r="H105" s="2" t="s">
        <v>176</v>
      </c>
      <c r="I105" s="2" t="s">
        <v>177</v>
      </c>
      <c r="J105" s="2" t="s">
        <v>209</v>
      </c>
      <c r="K105" s="2" t="s">
        <v>77</v>
      </c>
      <c r="L105" s="2" t="s">
        <v>158</v>
      </c>
      <c r="M105" s="2" t="s">
        <v>159</v>
      </c>
      <c r="N105" s="2" t="s">
        <v>91</v>
      </c>
      <c r="O105" s="2" t="s">
        <v>81</v>
      </c>
      <c r="P105" s="2" t="str">
        <f>"170270627                     "</f>
        <v xml:space="preserve">170270627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4.66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2</v>
      </c>
      <c r="BJ105" s="2">
        <v>1.2</v>
      </c>
      <c r="BK105" s="2">
        <v>2</v>
      </c>
      <c r="BL105" s="2">
        <v>42.1</v>
      </c>
      <c r="BM105" s="2">
        <v>5.89</v>
      </c>
      <c r="BN105" s="2">
        <v>47.99</v>
      </c>
      <c r="BO105" s="2">
        <v>47.99</v>
      </c>
      <c r="BQ105" s="2" t="s">
        <v>355</v>
      </c>
      <c r="BR105" s="2" t="s">
        <v>356</v>
      </c>
      <c r="BS105" s="3">
        <v>42866</v>
      </c>
      <c r="BT105" s="4">
        <v>0.38263888888888892</v>
      </c>
      <c r="BU105" s="2" t="s">
        <v>357</v>
      </c>
      <c r="BV105" s="2" t="s">
        <v>85</v>
      </c>
      <c r="BY105" s="2">
        <v>6000</v>
      </c>
      <c r="BZ105" s="2" t="s">
        <v>27</v>
      </c>
      <c r="CC105" s="2" t="s">
        <v>159</v>
      </c>
      <c r="CD105" s="2">
        <v>2146</v>
      </c>
      <c r="CE105" s="2" t="s">
        <v>120</v>
      </c>
      <c r="CF105" s="3">
        <v>42867</v>
      </c>
      <c r="CI105" s="2">
        <v>1</v>
      </c>
      <c r="CJ105" s="2">
        <v>1</v>
      </c>
      <c r="CK105" s="2">
        <v>21</v>
      </c>
      <c r="CL105" s="2" t="s">
        <v>87</v>
      </c>
    </row>
    <row r="106" spans="1:90">
      <c r="A106" s="2" t="s">
        <v>88</v>
      </c>
      <c r="B106" s="2" t="s">
        <v>72</v>
      </c>
      <c r="C106" s="2" t="s">
        <v>73</v>
      </c>
      <c r="E106" s="2" t="str">
        <f>"009936078422"</f>
        <v>009936078422</v>
      </c>
      <c r="F106" s="3">
        <v>42865</v>
      </c>
      <c r="G106" s="2">
        <v>201711</v>
      </c>
      <c r="H106" s="2" t="s">
        <v>158</v>
      </c>
      <c r="I106" s="2" t="s">
        <v>159</v>
      </c>
      <c r="J106" s="2" t="s">
        <v>91</v>
      </c>
      <c r="K106" s="2" t="s">
        <v>77</v>
      </c>
      <c r="L106" s="2" t="s">
        <v>105</v>
      </c>
      <c r="M106" s="2" t="s">
        <v>106</v>
      </c>
      <c r="N106" s="2" t="s">
        <v>358</v>
      </c>
      <c r="O106" s="2" t="s">
        <v>81</v>
      </c>
      <c r="P106" s="2" t="str">
        <f>"                              "</f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4.66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0.3</v>
      </c>
      <c r="BK106" s="2">
        <v>1</v>
      </c>
      <c r="BL106" s="2">
        <v>42.1</v>
      </c>
      <c r="BM106" s="2">
        <v>5.89</v>
      </c>
      <c r="BN106" s="2">
        <v>47.99</v>
      </c>
      <c r="BO106" s="2">
        <v>47.99</v>
      </c>
      <c r="BQ106" s="2" t="s">
        <v>359</v>
      </c>
      <c r="BR106" s="2" t="s">
        <v>312</v>
      </c>
      <c r="BS106" s="3">
        <v>42867</v>
      </c>
      <c r="BT106" s="4">
        <v>0.375</v>
      </c>
      <c r="BU106" s="2" t="s">
        <v>360</v>
      </c>
      <c r="BV106" s="2" t="s">
        <v>87</v>
      </c>
      <c r="BW106" s="2" t="s">
        <v>163</v>
      </c>
      <c r="BX106" s="2" t="s">
        <v>361</v>
      </c>
      <c r="BY106" s="2">
        <v>1292</v>
      </c>
      <c r="BZ106" s="2" t="s">
        <v>27</v>
      </c>
      <c r="CC106" s="2" t="s">
        <v>106</v>
      </c>
      <c r="CD106" s="2">
        <v>7700</v>
      </c>
      <c r="CE106" s="2" t="s">
        <v>316</v>
      </c>
      <c r="CF106" s="3">
        <v>42870</v>
      </c>
      <c r="CI106" s="2">
        <v>1</v>
      </c>
      <c r="CJ106" s="2">
        <v>2</v>
      </c>
      <c r="CK106" s="2">
        <v>21</v>
      </c>
      <c r="CL106" s="2" t="s">
        <v>87</v>
      </c>
    </row>
    <row r="107" spans="1:90">
      <c r="A107" s="2" t="s">
        <v>88</v>
      </c>
      <c r="B107" s="2" t="s">
        <v>72</v>
      </c>
      <c r="C107" s="2" t="s">
        <v>73</v>
      </c>
      <c r="E107" s="2" t="str">
        <f>"029907512158"</f>
        <v>029907512158</v>
      </c>
      <c r="F107" s="3">
        <v>42865</v>
      </c>
      <c r="G107" s="2">
        <v>201711</v>
      </c>
      <c r="H107" s="2" t="s">
        <v>176</v>
      </c>
      <c r="I107" s="2" t="s">
        <v>177</v>
      </c>
      <c r="J107" s="2" t="s">
        <v>209</v>
      </c>
      <c r="K107" s="2" t="s">
        <v>77</v>
      </c>
      <c r="L107" s="2" t="s">
        <v>78</v>
      </c>
      <c r="M107" s="2" t="s">
        <v>79</v>
      </c>
      <c r="N107" s="2" t="s">
        <v>91</v>
      </c>
      <c r="O107" s="2" t="s">
        <v>95</v>
      </c>
      <c r="P107" s="2" t="str">
        <f>"1705270752                    "</f>
        <v xml:space="preserve">1705270752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9.69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2</v>
      </c>
      <c r="BI107" s="2">
        <v>17.399999999999999</v>
      </c>
      <c r="BJ107" s="2">
        <v>11.5</v>
      </c>
      <c r="BK107" s="2">
        <v>18</v>
      </c>
      <c r="BL107" s="2">
        <v>92.6</v>
      </c>
      <c r="BM107" s="2">
        <v>12.96</v>
      </c>
      <c r="BN107" s="2">
        <v>105.56</v>
      </c>
      <c r="BO107" s="2">
        <v>105.56</v>
      </c>
      <c r="BQ107" s="2" t="s">
        <v>362</v>
      </c>
      <c r="BR107" s="2" t="s">
        <v>363</v>
      </c>
      <c r="BS107" s="3">
        <v>42866</v>
      </c>
      <c r="BT107" s="4">
        <v>0.54027777777777775</v>
      </c>
      <c r="BU107" s="2" t="s">
        <v>148</v>
      </c>
      <c r="BV107" s="2" t="s">
        <v>85</v>
      </c>
      <c r="BY107" s="2">
        <v>57500</v>
      </c>
      <c r="CC107" s="2" t="s">
        <v>79</v>
      </c>
      <c r="CD107" s="2">
        <v>2001</v>
      </c>
      <c r="CE107" s="2" t="s">
        <v>120</v>
      </c>
      <c r="CF107" s="3">
        <v>42867</v>
      </c>
      <c r="CI107" s="2">
        <v>1</v>
      </c>
      <c r="CJ107" s="2">
        <v>1</v>
      </c>
      <c r="CK107" s="2" t="s">
        <v>211</v>
      </c>
      <c r="CL107" s="2" t="s">
        <v>87</v>
      </c>
    </row>
    <row r="108" spans="1:90">
      <c r="A108" s="2" t="s">
        <v>88</v>
      </c>
      <c r="B108" s="2" t="s">
        <v>72</v>
      </c>
      <c r="C108" s="2" t="s">
        <v>73</v>
      </c>
      <c r="E108" s="2" t="str">
        <f>"069907498228"</f>
        <v>069907498228</v>
      </c>
      <c r="F108" s="3">
        <v>42865</v>
      </c>
      <c r="G108" s="2">
        <v>201711</v>
      </c>
      <c r="H108" s="2" t="s">
        <v>151</v>
      </c>
      <c r="I108" s="2" t="s">
        <v>152</v>
      </c>
      <c r="J108" s="2" t="s">
        <v>91</v>
      </c>
      <c r="K108" s="2" t="s">
        <v>77</v>
      </c>
      <c r="L108" s="2" t="s">
        <v>78</v>
      </c>
      <c r="M108" s="2" t="s">
        <v>79</v>
      </c>
      <c r="N108" s="2" t="s">
        <v>91</v>
      </c>
      <c r="O108" s="2" t="s">
        <v>95</v>
      </c>
      <c r="P108" s="2" t="str">
        <f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208.55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4</v>
      </c>
      <c r="BI108" s="2">
        <v>640</v>
      </c>
      <c r="BJ108" s="2">
        <v>216.3</v>
      </c>
      <c r="BK108" s="2">
        <v>640</v>
      </c>
      <c r="BL108" s="2">
        <v>1890</v>
      </c>
      <c r="BM108" s="2">
        <v>264.60000000000002</v>
      </c>
      <c r="BN108" s="2">
        <v>2154.6</v>
      </c>
      <c r="BO108" s="2">
        <v>2154.6</v>
      </c>
      <c r="BS108" s="3">
        <v>42866</v>
      </c>
      <c r="BT108" s="4">
        <v>0.6381944444444444</v>
      </c>
      <c r="BU108" s="2" t="s">
        <v>364</v>
      </c>
      <c r="BV108" s="2" t="s">
        <v>85</v>
      </c>
      <c r="BY108" s="2">
        <v>1081520</v>
      </c>
      <c r="CC108" s="2" t="s">
        <v>79</v>
      </c>
      <c r="CD108" s="2">
        <v>2000</v>
      </c>
      <c r="CE108" s="2" t="s">
        <v>120</v>
      </c>
      <c r="CF108" s="3">
        <v>42867</v>
      </c>
      <c r="CI108" s="2">
        <v>1</v>
      </c>
      <c r="CJ108" s="2">
        <v>1</v>
      </c>
      <c r="CK108" s="2" t="s">
        <v>133</v>
      </c>
      <c r="CL108" s="2" t="s">
        <v>87</v>
      </c>
    </row>
    <row r="109" spans="1:90">
      <c r="A109" s="2" t="s">
        <v>88</v>
      </c>
      <c r="B109" s="2" t="s">
        <v>72</v>
      </c>
      <c r="C109" s="2" t="s">
        <v>73</v>
      </c>
      <c r="E109" s="2" t="str">
        <f>"009934949884"</f>
        <v>009934949884</v>
      </c>
      <c r="F109" s="3">
        <v>42865</v>
      </c>
      <c r="G109" s="2">
        <v>201711</v>
      </c>
      <c r="H109" s="2" t="s">
        <v>78</v>
      </c>
      <c r="I109" s="2" t="s">
        <v>79</v>
      </c>
      <c r="J109" s="2" t="s">
        <v>91</v>
      </c>
      <c r="K109" s="2" t="s">
        <v>77</v>
      </c>
      <c r="L109" s="2" t="s">
        <v>151</v>
      </c>
      <c r="M109" s="2" t="s">
        <v>152</v>
      </c>
      <c r="N109" s="2" t="s">
        <v>91</v>
      </c>
      <c r="O109" s="2" t="s">
        <v>81</v>
      </c>
      <c r="P109" s="2" t="str">
        <f>"LOCKS                         "</f>
        <v xml:space="preserve">LOCKS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4.66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</v>
      </c>
      <c r="BJ109" s="2">
        <v>0.3</v>
      </c>
      <c r="BK109" s="2">
        <v>1</v>
      </c>
      <c r="BL109" s="2">
        <v>42.1</v>
      </c>
      <c r="BM109" s="2">
        <v>5.89</v>
      </c>
      <c r="BN109" s="2">
        <v>47.99</v>
      </c>
      <c r="BO109" s="2">
        <v>47.99</v>
      </c>
      <c r="BQ109" s="2" t="s">
        <v>153</v>
      </c>
      <c r="BR109" s="2" t="s">
        <v>226</v>
      </c>
      <c r="BS109" s="3">
        <v>42867</v>
      </c>
      <c r="BT109" s="4">
        <v>0.59583333333333333</v>
      </c>
      <c r="BU109" s="2" t="s">
        <v>365</v>
      </c>
      <c r="BV109" s="2" t="s">
        <v>87</v>
      </c>
      <c r="BW109" s="2" t="s">
        <v>227</v>
      </c>
      <c r="BX109" s="2" t="s">
        <v>228</v>
      </c>
      <c r="BY109" s="2">
        <v>1292</v>
      </c>
      <c r="BZ109" s="2" t="s">
        <v>27</v>
      </c>
      <c r="CC109" s="2" t="s">
        <v>152</v>
      </c>
      <c r="CD109" s="2">
        <v>700</v>
      </c>
      <c r="CE109" s="2" t="s">
        <v>316</v>
      </c>
      <c r="CF109" s="3">
        <v>42871</v>
      </c>
      <c r="CI109" s="2">
        <v>1</v>
      </c>
      <c r="CJ109" s="2">
        <v>2</v>
      </c>
      <c r="CK109" s="2">
        <v>21</v>
      </c>
      <c r="CL109" s="2" t="s">
        <v>87</v>
      </c>
    </row>
    <row r="110" spans="1:90">
      <c r="A110" s="2" t="s">
        <v>88</v>
      </c>
      <c r="B110" s="2" t="s">
        <v>72</v>
      </c>
      <c r="C110" s="2" t="s">
        <v>73</v>
      </c>
      <c r="E110" s="2" t="str">
        <f>"009936002712"</f>
        <v>009936002712</v>
      </c>
      <c r="F110" s="3">
        <v>42865</v>
      </c>
      <c r="G110" s="2">
        <v>201711</v>
      </c>
      <c r="H110" s="2" t="s">
        <v>78</v>
      </c>
      <c r="I110" s="2" t="s">
        <v>79</v>
      </c>
      <c r="J110" s="2" t="s">
        <v>91</v>
      </c>
      <c r="K110" s="2" t="s">
        <v>77</v>
      </c>
      <c r="L110" s="2" t="s">
        <v>78</v>
      </c>
      <c r="M110" s="2" t="s">
        <v>79</v>
      </c>
      <c r="N110" s="2" t="s">
        <v>366</v>
      </c>
      <c r="O110" s="2" t="s">
        <v>81</v>
      </c>
      <c r="P110" s="2" t="str">
        <f>"LCK                           "</f>
        <v xml:space="preserve">LCK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3.64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</v>
      </c>
      <c r="BJ110" s="2">
        <v>0.3</v>
      </c>
      <c r="BK110" s="2">
        <v>1</v>
      </c>
      <c r="BL110" s="2">
        <v>32.89</v>
      </c>
      <c r="BM110" s="2">
        <v>4.5999999999999996</v>
      </c>
      <c r="BN110" s="2">
        <v>37.49</v>
      </c>
      <c r="BO110" s="2">
        <v>37.49</v>
      </c>
      <c r="BQ110" s="2" t="s">
        <v>178</v>
      </c>
      <c r="BR110" s="2" t="s">
        <v>122</v>
      </c>
      <c r="BS110" s="3">
        <v>42867</v>
      </c>
      <c r="BT110" s="4">
        <v>0.39583333333333331</v>
      </c>
      <c r="BU110" s="2" t="s">
        <v>241</v>
      </c>
      <c r="BV110" s="2" t="s">
        <v>87</v>
      </c>
      <c r="BW110" s="2" t="s">
        <v>163</v>
      </c>
      <c r="BX110" s="2" t="s">
        <v>367</v>
      </c>
      <c r="BY110" s="2">
        <v>1292</v>
      </c>
      <c r="BZ110" s="2" t="s">
        <v>27</v>
      </c>
      <c r="CC110" s="2" t="s">
        <v>79</v>
      </c>
      <c r="CD110" s="2">
        <v>2190</v>
      </c>
      <c r="CE110" s="2" t="s">
        <v>316</v>
      </c>
      <c r="CF110" s="3">
        <v>42870</v>
      </c>
      <c r="CI110" s="2">
        <v>1</v>
      </c>
      <c r="CJ110" s="2">
        <v>2</v>
      </c>
      <c r="CK110" s="2">
        <v>22</v>
      </c>
      <c r="CL110" s="2" t="s">
        <v>87</v>
      </c>
    </row>
    <row r="111" spans="1:90">
      <c r="A111" s="2" t="s">
        <v>88</v>
      </c>
      <c r="B111" s="2" t="s">
        <v>72</v>
      </c>
      <c r="C111" s="2" t="s">
        <v>73</v>
      </c>
      <c r="E111" s="2" t="str">
        <f>"009935501352"</f>
        <v>009935501352</v>
      </c>
      <c r="F111" s="3">
        <v>42865</v>
      </c>
      <c r="G111" s="2">
        <v>201711</v>
      </c>
      <c r="H111" s="2" t="s">
        <v>78</v>
      </c>
      <c r="I111" s="2" t="s">
        <v>79</v>
      </c>
      <c r="J111" s="2" t="s">
        <v>91</v>
      </c>
      <c r="K111" s="2" t="s">
        <v>77</v>
      </c>
      <c r="L111" s="2" t="s">
        <v>138</v>
      </c>
      <c r="M111" s="2" t="s">
        <v>139</v>
      </c>
      <c r="N111" s="2" t="s">
        <v>368</v>
      </c>
      <c r="O111" s="2" t="s">
        <v>81</v>
      </c>
      <c r="P111" s="2" t="str">
        <f>"LCK                           "</f>
        <v xml:space="preserve">LCK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4.66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0.3</v>
      </c>
      <c r="BK111" s="2">
        <v>1</v>
      </c>
      <c r="BL111" s="2">
        <v>42.1</v>
      </c>
      <c r="BM111" s="2">
        <v>5.89</v>
      </c>
      <c r="BN111" s="2">
        <v>47.99</v>
      </c>
      <c r="BO111" s="2">
        <v>47.99</v>
      </c>
      <c r="BQ111" s="2" t="s">
        <v>140</v>
      </c>
      <c r="BR111" s="2" t="s">
        <v>122</v>
      </c>
      <c r="BS111" s="3">
        <v>42867</v>
      </c>
      <c r="BT111" s="4">
        <v>0.39097222222222222</v>
      </c>
      <c r="BU111" s="2" t="s">
        <v>369</v>
      </c>
      <c r="BV111" s="2" t="s">
        <v>87</v>
      </c>
      <c r="BY111" s="2">
        <v>1292</v>
      </c>
      <c r="BZ111" s="2" t="s">
        <v>27</v>
      </c>
      <c r="CC111" s="2" t="s">
        <v>139</v>
      </c>
      <c r="CD111" s="2">
        <v>9300</v>
      </c>
      <c r="CE111" s="2" t="s">
        <v>316</v>
      </c>
      <c r="CF111" s="3">
        <v>42870</v>
      </c>
      <c r="CI111" s="2">
        <v>1</v>
      </c>
      <c r="CJ111" s="2">
        <v>2</v>
      </c>
      <c r="CK111" s="2">
        <v>21</v>
      </c>
      <c r="CL111" s="2" t="s">
        <v>87</v>
      </c>
    </row>
    <row r="112" spans="1:90">
      <c r="A112" s="2" t="s">
        <v>88</v>
      </c>
      <c r="B112" s="2" t="s">
        <v>72</v>
      </c>
      <c r="C112" s="2" t="s">
        <v>73</v>
      </c>
      <c r="E112" s="2" t="str">
        <f>"009936334621"</f>
        <v>009936334621</v>
      </c>
      <c r="F112" s="3">
        <v>42866</v>
      </c>
      <c r="G112" s="2">
        <v>201711</v>
      </c>
      <c r="H112" s="2" t="s">
        <v>166</v>
      </c>
      <c r="I112" s="2" t="s">
        <v>167</v>
      </c>
      <c r="J112" s="2" t="s">
        <v>76</v>
      </c>
      <c r="K112" s="2" t="s">
        <v>77</v>
      </c>
      <c r="L112" s="2" t="s">
        <v>158</v>
      </c>
      <c r="M112" s="2" t="s">
        <v>159</v>
      </c>
      <c r="N112" s="2" t="s">
        <v>76</v>
      </c>
      <c r="O112" s="2" t="s">
        <v>81</v>
      </c>
      <c r="P112" s="2" t="str">
        <f>"                              "</f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9.02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0.2</v>
      </c>
      <c r="BK112" s="2">
        <v>1</v>
      </c>
      <c r="BL112" s="2">
        <v>81.56</v>
      </c>
      <c r="BM112" s="2">
        <v>11.42</v>
      </c>
      <c r="BN112" s="2">
        <v>92.98</v>
      </c>
      <c r="BO112" s="2">
        <v>92.98</v>
      </c>
      <c r="BQ112" s="2" t="s">
        <v>370</v>
      </c>
      <c r="BR112" s="2" t="s">
        <v>168</v>
      </c>
      <c r="BS112" s="3">
        <v>42870</v>
      </c>
      <c r="BT112" s="4">
        <v>0.34097222222222223</v>
      </c>
      <c r="BU112" s="2" t="s">
        <v>98</v>
      </c>
      <c r="BV112" s="2" t="s">
        <v>87</v>
      </c>
      <c r="BW112" s="2" t="s">
        <v>163</v>
      </c>
      <c r="BX112" s="2" t="s">
        <v>371</v>
      </c>
      <c r="BY112" s="2">
        <v>1200</v>
      </c>
      <c r="BZ112" s="2" t="s">
        <v>27</v>
      </c>
      <c r="CC112" s="2" t="s">
        <v>159</v>
      </c>
      <c r="CD112" s="2">
        <v>2146</v>
      </c>
      <c r="CE112" s="2" t="s">
        <v>120</v>
      </c>
      <c r="CF112" s="3">
        <v>42871</v>
      </c>
      <c r="CI112" s="2">
        <v>1</v>
      </c>
      <c r="CJ112" s="2">
        <v>2</v>
      </c>
      <c r="CK112" s="2">
        <v>23</v>
      </c>
      <c r="CL112" s="2" t="s">
        <v>87</v>
      </c>
    </row>
    <row r="113" spans="1:90">
      <c r="A113" s="2" t="s">
        <v>88</v>
      </c>
      <c r="B113" s="2" t="s">
        <v>72</v>
      </c>
      <c r="C113" s="2" t="s">
        <v>73</v>
      </c>
      <c r="E113" s="2" t="str">
        <f>"009936366793"</f>
        <v>009936366793</v>
      </c>
      <c r="F113" s="3">
        <v>42859</v>
      </c>
      <c r="G113" s="2">
        <v>201711</v>
      </c>
      <c r="H113" s="2" t="s">
        <v>92</v>
      </c>
      <c r="I113" s="2" t="s">
        <v>93</v>
      </c>
      <c r="J113" s="2" t="s">
        <v>91</v>
      </c>
      <c r="K113" s="2" t="s">
        <v>77</v>
      </c>
      <c r="L113" s="2" t="s">
        <v>156</v>
      </c>
      <c r="M113" s="2" t="s">
        <v>157</v>
      </c>
      <c r="N113" s="2" t="s">
        <v>91</v>
      </c>
      <c r="O113" s="2" t="s">
        <v>95</v>
      </c>
      <c r="P113" s="2" t="str">
        <f>"                              "</f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6.55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2</v>
      </c>
      <c r="BJ113" s="2">
        <v>6.5</v>
      </c>
      <c r="BK113" s="2">
        <v>7</v>
      </c>
      <c r="BL113" s="2">
        <v>64.2</v>
      </c>
      <c r="BM113" s="2">
        <v>8.99</v>
      </c>
      <c r="BN113" s="2">
        <v>73.19</v>
      </c>
      <c r="BO113" s="2">
        <v>73.19</v>
      </c>
      <c r="BQ113" s="2" t="s">
        <v>245</v>
      </c>
      <c r="BS113" s="3">
        <v>42860</v>
      </c>
      <c r="BT113" s="4">
        <v>0.41666666666666669</v>
      </c>
      <c r="BU113" s="2" t="s">
        <v>372</v>
      </c>
      <c r="BV113" s="2" t="s">
        <v>85</v>
      </c>
      <c r="BY113" s="2">
        <v>32340</v>
      </c>
      <c r="CC113" s="2" t="s">
        <v>157</v>
      </c>
      <c r="CD113" s="2">
        <v>8460</v>
      </c>
      <c r="CF113" s="3">
        <v>42865</v>
      </c>
      <c r="CI113" s="2">
        <v>1</v>
      </c>
      <c r="CJ113" s="2">
        <v>1</v>
      </c>
      <c r="CK113" s="2" t="s">
        <v>146</v>
      </c>
      <c r="CL113" s="2" t="s">
        <v>87</v>
      </c>
    </row>
    <row r="114" spans="1:90">
      <c r="A114" s="2" t="s">
        <v>88</v>
      </c>
      <c r="B114" s="2" t="s">
        <v>72</v>
      </c>
      <c r="C114" s="2" t="s">
        <v>73</v>
      </c>
      <c r="E114" s="2" t="str">
        <f>"039902587414"</f>
        <v>039902587414</v>
      </c>
      <c r="F114" s="3">
        <v>42865</v>
      </c>
      <c r="G114" s="2">
        <v>201711</v>
      </c>
      <c r="H114" s="2" t="s">
        <v>189</v>
      </c>
      <c r="I114" s="2" t="s">
        <v>98</v>
      </c>
      <c r="J114" s="2" t="s">
        <v>91</v>
      </c>
      <c r="K114" s="2" t="s">
        <v>77</v>
      </c>
      <c r="L114" s="2" t="s">
        <v>105</v>
      </c>
      <c r="M114" s="2" t="s">
        <v>106</v>
      </c>
      <c r="N114" s="2" t="s">
        <v>373</v>
      </c>
      <c r="O114" s="2" t="s">
        <v>81</v>
      </c>
      <c r="P114" s="2" t="str">
        <f>"                              "</f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4.66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0.2</v>
      </c>
      <c r="BK114" s="2">
        <v>1</v>
      </c>
      <c r="BL114" s="2">
        <v>42.1</v>
      </c>
      <c r="BM114" s="2">
        <v>5.89</v>
      </c>
      <c r="BN114" s="2">
        <v>47.99</v>
      </c>
      <c r="BO114" s="2">
        <v>47.99</v>
      </c>
      <c r="BQ114" s="2" t="s">
        <v>374</v>
      </c>
      <c r="BR114" s="2" t="s">
        <v>190</v>
      </c>
      <c r="BS114" s="3">
        <v>42866</v>
      </c>
      <c r="BT114" s="4">
        <v>0.39305555555555555</v>
      </c>
      <c r="BU114" s="2" t="s">
        <v>375</v>
      </c>
      <c r="BV114" s="2" t="s">
        <v>85</v>
      </c>
      <c r="BY114" s="2">
        <v>1200</v>
      </c>
      <c r="BZ114" s="2" t="s">
        <v>27</v>
      </c>
      <c r="CC114" s="2" t="s">
        <v>106</v>
      </c>
      <c r="CD114" s="2">
        <v>7700</v>
      </c>
      <c r="CE114" s="2" t="s">
        <v>110</v>
      </c>
      <c r="CF114" s="3">
        <v>42867</v>
      </c>
      <c r="CI114" s="2">
        <v>1</v>
      </c>
      <c r="CJ114" s="2">
        <v>1</v>
      </c>
      <c r="CK114" s="2">
        <v>21</v>
      </c>
      <c r="CL114" s="2" t="s">
        <v>87</v>
      </c>
    </row>
    <row r="115" spans="1:90">
      <c r="A115" s="2" t="s">
        <v>71</v>
      </c>
      <c r="B115" s="2" t="s">
        <v>72</v>
      </c>
      <c r="C115" s="2" t="s">
        <v>73</v>
      </c>
      <c r="E115" s="2" t="str">
        <f>"029907512125"</f>
        <v>029907512125</v>
      </c>
      <c r="F115" s="3">
        <v>42866</v>
      </c>
      <c r="G115" s="2">
        <v>201711</v>
      </c>
      <c r="H115" s="2" t="s">
        <v>176</v>
      </c>
      <c r="I115" s="2" t="s">
        <v>177</v>
      </c>
      <c r="J115" s="2" t="s">
        <v>209</v>
      </c>
      <c r="K115" s="2" t="s">
        <v>77</v>
      </c>
      <c r="L115" s="2" t="s">
        <v>78</v>
      </c>
      <c r="M115" s="2" t="s">
        <v>79</v>
      </c>
      <c r="N115" s="2" t="s">
        <v>91</v>
      </c>
      <c r="O115" s="2" t="s">
        <v>81</v>
      </c>
      <c r="P115" s="2" t="str">
        <f>"                              "</f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10.48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2</v>
      </c>
      <c r="BJ115" s="2">
        <v>4.2</v>
      </c>
      <c r="BK115" s="2">
        <v>4.5</v>
      </c>
      <c r="BL115" s="2">
        <v>94.72</v>
      </c>
      <c r="BM115" s="2">
        <v>13.26</v>
      </c>
      <c r="BN115" s="2">
        <v>107.98</v>
      </c>
      <c r="BO115" s="2">
        <v>107.98</v>
      </c>
      <c r="BQ115" s="2" t="s">
        <v>376</v>
      </c>
      <c r="BR115" s="2" t="s">
        <v>210</v>
      </c>
      <c r="BS115" s="3">
        <v>42867</v>
      </c>
      <c r="BT115" s="4">
        <v>0.39652777777777781</v>
      </c>
      <c r="BU115" s="2" t="s">
        <v>377</v>
      </c>
      <c r="BV115" s="2" t="s">
        <v>85</v>
      </c>
      <c r="BY115" s="2">
        <v>20825</v>
      </c>
      <c r="BZ115" s="2" t="s">
        <v>27</v>
      </c>
      <c r="CC115" s="2" t="s">
        <v>79</v>
      </c>
      <c r="CD115" s="2">
        <v>2001</v>
      </c>
      <c r="CE115" s="2" t="s">
        <v>120</v>
      </c>
      <c r="CF115" s="3">
        <v>42870</v>
      </c>
      <c r="CI115" s="2">
        <v>1</v>
      </c>
      <c r="CJ115" s="2">
        <v>1</v>
      </c>
      <c r="CK115" s="2">
        <v>21</v>
      </c>
      <c r="CL115" s="2" t="s">
        <v>87</v>
      </c>
    </row>
    <row r="116" spans="1:90">
      <c r="A116" s="2" t="s">
        <v>88</v>
      </c>
      <c r="B116" s="2" t="s">
        <v>72</v>
      </c>
      <c r="C116" s="2" t="s">
        <v>73</v>
      </c>
      <c r="E116" s="2" t="str">
        <f>"009936002711"</f>
        <v>009936002711</v>
      </c>
      <c r="F116" s="3">
        <v>42866</v>
      </c>
      <c r="G116" s="2">
        <v>201711</v>
      </c>
      <c r="H116" s="2" t="s">
        <v>78</v>
      </c>
      <c r="I116" s="2" t="s">
        <v>79</v>
      </c>
      <c r="J116" s="2" t="s">
        <v>91</v>
      </c>
      <c r="K116" s="2" t="s">
        <v>77</v>
      </c>
      <c r="L116" s="2" t="s">
        <v>176</v>
      </c>
      <c r="M116" s="2" t="s">
        <v>177</v>
      </c>
      <c r="N116" s="2" t="s">
        <v>209</v>
      </c>
      <c r="O116" s="2" t="s">
        <v>81</v>
      </c>
      <c r="P116" s="2" t="str">
        <f>"LCK                           "</f>
        <v xml:space="preserve">LCK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4.66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0.3</v>
      </c>
      <c r="BK116" s="2">
        <v>1</v>
      </c>
      <c r="BL116" s="2">
        <v>42.1</v>
      </c>
      <c r="BM116" s="2">
        <v>5.89</v>
      </c>
      <c r="BN116" s="2">
        <v>47.99</v>
      </c>
      <c r="BO116" s="2">
        <v>47.99</v>
      </c>
      <c r="BQ116" s="2" t="s">
        <v>178</v>
      </c>
      <c r="BR116" s="2" t="s">
        <v>122</v>
      </c>
      <c r="BS116" s="3">
        <v>42867</v>
      </c>
      <c r="BT116" s="4">
        <v>0.59375</v>
      </c>
      <c r="BU116" s="2" t="s">
        <v>378</v>
      </c>
      <c r="BV116" s="2" t="s">
        <v>87</v>
      </c>
      <c r="BW116" s="2" t="s">
        <v>163</v>
      </c>
      <c r="BX116" s="2" t="s">
        <v>255</v>
      </c>
      <c r="BY116" s="2">
        <v>1292</v>
      </c>
      <c r="BZ116" s="2" t="s">
        <v>27</v>
      </c>
      <c r="CC116" s="2" t="s">
        <v>177</v>
      </c>
      <c r="CD116" s="2">
        <v>4091</v>
      </c>
      <c r="CE116" s="2" t="s">
        <v>316</v>
      </c>
      <c r="CF116" s="3">
        <v>42871</v>
      </c>
      <c r="CI116" s="2">
        <v>1</v>
      </c>
      <c r="CJ116" s="2">
        <v>1</v>
      </c>
      <c r="CK116" s="2">
        <v>21</v>
      </c>
      <c r="CL116" s="2" t="s">
        <v>87</v>
      </c>
    </row>
    <row r="117" spans="1:90">
      <c r="A117" s="2" t="s">
        <v>88</v>
      </c>
      <c r="B117" s="2" t="s">
        <v>72</v>
      </c>
      <c r="C117" s="2" t="s">
        <v>73</v>
      </c>
      <c r="E117" s="2" t="str">
        <f>"009935957133"</f>
        <v>009935957133</v>
      </c>
      <c r="F117" s="3">
        <v>42866</v>
      </c>
      <c r="G117" s="2">
        <v>201711</v>
      </c>
      <c r="H117" s="2" t="s">
        <v>78</v>
      </c>
      <c r="I117" s="2" t="s">
        <v>79</v>
      </c>
      <c r="J117" s="2" t="s">
        <v>91</v>
      </c>
      <c r="K117" s="2" t="s">
        <v>77</v>
      </c>
      <c r="L117" s="2" t="s">
        <v>111</v>
      </c>
      <c r="M117" s="2" t="s">
        <v>112</v>
      </c>
      <c r="N117" s="2" t="s">
        <v>147</v>
      </c>
      <c r="O117" s="2" t="s">
        <v>81</v>
      </c>
      <c r="P117" s="2" t="str">
        <f>"LOCKS                         "</f>
        <v xml:space="preserve">LOCKS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6.54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0.3</v>
      </c>
      <c r="BK117" s="2">
        <v>1</v>
      </c>
      <c r="BL117" s="2">
        <v>59.1</v>
      </c>
      <c r="BM117" s="2">
        <v>8.27</v>
      </c>
      <c r="BN117" s="2">
        <v>67.37</v>
      </c>
      <c r="BO117" s="2">
        <v>67.37</v>
      </c>
      <c r="BQ117" s="2" t="s">
        <v>121</v>
      </c>
      <c r="BR117" s="2" t="s">
        <v>122</v>
      </c>
      <c r="BS117" s="3">
        <v>42867</v>
      </c>
      <c r="BT117" s="4">
        <v>0.38958333333333334</v>
      </c>
      <c r="BU117" s="2" t="s">
        <v>379</v>
      </c>
      <c r="BV117" s="2" t="s">
        <v>85</v>
      </c>
      <c r="BY117" s="2">
        <v>1292</v>
      </c>
      <c r="BZ117" s="2" t="s">
        <v>27</v>
      </c>
      <c r="CC117" s="2" t="s">
        <v>112</v>
      </c>
      <c r="CD117" s="2">
        <v>1034</v>
      </c>
      <c r="CE117" s="2" t="s">
        <v>316</v>
      </c>
      <c r="CF117" s="3">
        <v>42870</v>
      </c>
      <c r="CI117" s="2">
        <v>1</v>
      </c>
      <c r="CJ117" s="2">
        <v>1</v>
      </c>
      <c r="CK117" s="2">
        <v>24</v>
      </c>
      <c r="CL117" s="2" t="s">
        <v>87</v>
      </c>
    </row>
    <row r="118" spans="1:90">
      <c r="A118" s="2" t="s">
        <v>88</v>
      </c>
      <c r="B118" s="2" t="s">
        <v>72</v>
      </c>
      <c r="C118" s="2" t="s">
        <v>73</v>
      </c>
      <c r="E118" s="2" t="str">
        <f>"009935802785"</f>
        <v>009935802785</v>
      </c>
      <c r="F118" s="3">
        <v>42866</v>
      </c>
      <c r="G118" s="2">
        <v>201711</v>
      </c>
      <c r="H118" s="2" t="s">
        <v>78</v>
      </c>
      <c r="I118" s="2" t="s">
        <v>79</v>
      </c>
      <c r="J118" s="2" t="s">
        <v>91</v>
      </c>
      <c r="K118" s="2" t="s">
        <v>77</v>
      </c>
      <c r="L118" s="2" t="s">
        <v>130</v>
      </c>
      <c r="M118" s="2" t="s">
        <v>131</v>
      </c>
      <c r="N118" s="2" t="s">
        <v>380</v>
      </c>
      <c r="O118" s="2" t="s">
        <v>81</v>
      </c>
      <c r="P118" s="2" t="str">
        <f>"STORES                        "</f>
        <v xml:space="preserve">STORES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4.66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0.3</v>
      </c>
      <c r="BK118" s="2">
        <v>1</v>
      </c>
      <c r="BL118" s="2">
        <v>42.1</v>
      </c>
      <c r="BM118" s="2">
        <v>5.89</v>
      </c>
      <c r="BN118" s="2">
        <v>47.99</v>
      </c>
      <c r="BO118" s="2">
        <v>47.99</v>
      </c>
      <c r="BQ118" s="2" t="s">
        <v>381</v>
      </c>
      <c r="BR118" s="2" t="s">
        <v>312</v>
      </c>
      <c r="BS118" s="3">
        <v>42870</v>
      </c>
      <c r="BT118" s="4">
        <v>0.54166666666666663</v>
      </c>
      <c r="BU118" s="2" t="s">
        <v>303</v>
      </c>
      <c r="BV118" s="2" t="s">
        <v>87</v>
      </c>
      <c r="BW118" s="2" t="s">
        <v>229</v>
      </c>
      <c r="BX118" s="2" t="s">
        <v>304</v>
      </c>
      <c r="BY118" s="2">
        <v>1292</v>
      </c>
      <c r="BZ118" s="2" t="s">
        <v>27</v>
      </c>
      <c r="CC118" s="2" t="s">
        <v>131</v>
      </c>
      <c r="CD118" s="2">
        <v>3201</v>
      </c>
      <c r="CE118" s="2" t="s">
        <v>316</v>
      </c>
      <c r="CF118" s="3">
        <v>42873</v>
      </c>
      <c r="CI118" s="2">
        <v>1</v>
      </c>
      <c r="CJ118" s="2">
        <v>2</v>
      </c>
      <c r="CK118" s="2">
        <v>21</v>
      </c>
      <c r="CL118" s="2" t="s">
        <v>87</v>
      </c>
    </row>
    <row r="119" spans="1:90">
      <c r="A119" s="2" t="s">
        <v>88</v>
      </c>
      <c r="B119" s="2" t="s">
        <v>72</v>
      </c>
      <c r="C119" s="2" t="s">
        <v>73</v>
      </c>
      <c r="E119" s="2" t="str">
        <f>"009936282176"</f>
        <v>009936282176</v>
      </c>
      <c r="F119" s="3">
        <v>42870</v>
      </c>
      <c r="G119" s="2">
        <v>201711</v>
      </c>
      <c r="H119" s="2" t="s">
        <v>124</v>
      </c>
      <c r="I119" s="2" t="s">
        <v>125</v>
      </c>
      <c r="J119" s="2" t="s">
        <v>126</v>
      </c>
      <c r="K119" s="2" t="s">
        <v>77</v>
      </c>
      <c r="L119" s="2" t="s">
        <v>78</v>
      </c>
      <c r="M119" s="2" t="s">
        <v>79</v>
      </c>
      <c r="N119" s="2" t="s">
        <v>76</v>
      </c>
      <c r="O119" s="2" t="s">
        <v>95</v>
      </c>
      <c r="P119" s="2" t="str">
        <f>"PARTS                         "</f>
        <v xml:space="preserve">PARTS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14.19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10</v>
      </c>
      <c r="BJ119" s="2">
        <v>39.5</v>
      </c>
      <c r="BK119" s="2">
        <v>40</v>
      </c>
      <c r="BL119" s="2">
        <v>133.29</v>
      </c>
      <c r="BM119" s="2">
        <v>18.66</v>
      </c>
      <c r="BN119" s="2">
        <v>151.94999999999999</v>
      </c>
      <c r="BO119" s="2">
        <v>151.94999999999999</v>
      </c>
      <c r="BQ119" s="2" t="s">
        <v>127</v>
      </c>
      <c r="BR119" s="2" t="s">
        <v>128</v>
      </c>
      <c r="BS119" s="3">
        <v>42871</v>
      </c>
      <c r="BT119" s="4">
        <v>0.49513888888888885</v>
      </c>
      <c r="BU119" s="2" t="s">
        <v>382</v>
      </c>
      <c r="BV119" s="2" t="s">
        <v>85</v>
      </c>
      <c r="BY119" s="2">
        <v>197600</v>
      </c>
      <c r="CA119" s="2" t="s">
        <v>175</v>
      </c>
      <c r="CC119" s="2" t="s">
        <v>79</v>
      </c>
      <c r="CD119" s="2">
        <v>2000</v>
      </c>
      <c r="CE119" s="2" t="s">
        <v>120</v>
      </c>
      <c r="CF119" s="3">
        <v>42872</v>
      </c>
      <c r="CI119" s="2">
        <v>1</v>
      </c>
      <c r="CJ119" s="2">
        <v>1</v>
      </c>
      <c r="CK119" s="2" t="s">
        <v>129</v>
      </c>
      <c r="CL119" s="2" t="s">
        <v>87</v>
      </c>
    </row>
    <row r="120" spans="1:90">
      <c r="A120" s="2" t="s">
        <v>88</v>
      </c>
      <c r="B120" s="2" t="s">
        <v>72</v>
      </c>
      <c r="C120" s="2" t="s">
        <v>73</v>
      </c>
      <c r="E120" s="2" t="str">
        <f>"009936120611"</f>
        <v>009936120611</v>
      </c>
      <c r="F120" s="3">
        <v>42866</v>
      </c>
      <c r="G120" s="2">
        <v>201711</v>
      </c>
      <c r="H120" s="2" t="s">
        <v>143</v>
      </c>
      <c r="I120" s="2" t="s">
        <v>144</v>
      </c>
      <c r="J120" s="2" t="s">
        <v>218</v>
      </c>
      <c r="K120" s="2" t="s">
        <v>77</v>
      </c>
      <c r="L120" s="2" t="s">
        <v>78</v>
      </c>
      <c r="M120" s="2" t="s">
        <v>79</v>
      </c>
      <c r="N120" s="2" t="s">
        <v>218</v>
      </c>
      <c r="O120" s="2" t="s">
        <v>95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8.73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83.93</v>
      </c>
      <c r="BM120" s="2">
        <v>11.75</v>
      </c>
      <c r="BN120" s="2">
        <v>95.68</v>
      </c>
      <c r="BO120" s="2">
        <v>95.68</v>
      </c>
      <c r="BQ120" s="2" t="s">
        <v>383</v>
      </c>
      <c r="BS120" s="3">
        <v>42867</v>
      </c>
      <c r="BT120" s="4">
        <v>0.49861111111111112</v>
      </c>
      <c r="BU120" s="2" t="s">
        <v>148</v>
      </c>
      <c r="BV120" s="2" t="s">
        <v>85</v>
      </c>
      <c r="BY120" s="2">
        <v>1200</v>
      </c>
      <c r="CC120" s="2" t="s">
        <v>79</v>
      </c>
      <c r="CD120" s="2">
        <v>2196</v>
      </c>
      <c r="CE120" s="2" t="s">
        <v>120</v>
      </c>
      <c r="CF120" s="3">
        <v>42870</v>
      </c>
      <c r="CI120" s="2">
        <v>1</v>
      </c>
      <c r="CJ120" s="2">
        <v>1</v>
      </c>
      <c r="CK120" s="2" t="s">
        <v>211</v>
      </c>
      <c r="CL120" s="2" t="s">
        <v>87</v>
      </c>
    </row>
    <row r="121" spans="1:90">
      <c r="A121" s="2" t="s">
        <v>71</v>
      </c>
      <c r="B121" s="2" t="s">
        <v>72</v>
      </c>
      <c r="C121" s="2" t="s">
        <v>73</v>
      </c>
      <c r="E121" s="2" t="str">
        <f>"039902658209"</f>
        <v>039902658209</v>
      </c>
      <c r="F121" s="3">
        <v>42866</v>
      </c>
      <c r="G121" s="2">
        <v>201711</v>
      </c>
      <c r="H121" s="2" t="s">
        <v>138</v>
      </c>
      <c r="I121" s="2" t="s">
        <v>139</v>
      </c>
      <c r="J121" s="2" t="s">
        <v>91</v>
      </c>
      <c r="K121" s="2" t="s">
        <v>77</v>
      </c>
      <c r="L121" s="2" t="s">
        <v>158</v>
      </c>
      <c r="M121" s="2" t="s">
        <v>159</v>
      </c>
      <c r="N121" s="2" t="s">
        <v>384</v>
      </c>
      <c r="O121" s="2" t="s">
        <v>95</v>
      </c>
      <c r="P121" s="2" t="str">
        <f>"                              "</f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8.73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83.93</v>
      </c>
      <c r="BM121" s="2">
        <v>11.75</v>
      </c>
      <c r="BN121" s="2">
        <v>95.68</v>
      </c>
      <c r="BO121" s="2">
        <v>95.68</v>
      </c>
      <c r="BQ121" s="2" t="s">
        <v>385</v>
      </c>
      <c r="BR121" s="2" t="s">
        <v>268</v>
      </c>
      <c r="BS121" s="3">
        <v>42867</v>
      </c>
      <c r="BT121" s="4">
        <v>0.3743055555555555</v>
      </c>
      <c r="BU121" s="2" t="s">
        <v>364</v>
      </c>
      <c r="BV121" s="2" t="s">
        <v>85</v>
      </c>
      <c r="BY121" s="2">
        <v>1200</v>
      </c>
      <c r="CC121" s="2" t="s">
        <v>159</v>
      </c>
      <c r="CD121" s="2">
        <v>2146</v>
      </c>
      <c r="CE121" s="2" t="s">
        <v>120</v>
      </c>
      <c r="CF121" s="3">
        <v>42870</v>
      </c>
      <c r="CI121" s="2">
        <v>1</v>
      </c>
      <c r="CJ121" s="2">
        <v>1</v>
      </c>
      <c r="CK121" s="2" t="s">
        <v>133</v>
      </c>
      <c r="CL121" s="2" t="s">
        <v>87</v>
      </c>
    </row>
    <row r="122" spans="1:90">
      <c r="A122" s="2" t="s">
        <v>71</v>
      </c>
      <c r="B122" s="2" t="s">
        <v>72</v>
      </c>
      <c r="C122" s="2" t="s">
        <v>73</v>
      </c>
      <c r="E122" s="2" t="str">
        <f>"039902658208"</f>
        <v>039902658208</v>
      </c>
      <c r="F122" s="3">
        <v>42866</v>
      </c>
      <c r="G122" s="2">
        <v>201711</v>
      </c>
      <c r="H122" s="2" t="s">
        <v>138</v>
      </c>
      <c r="I122" s="2" t="s">
        <v>139</v>
      </c>
      <c r="J122" s="2" t="s">
        <v>91</v>
      </c>
      <c r="K122" s="2" t="s">
        <v>77</v>
      </c>
      <c r="L122" s="2" t="s">
        <v>78</v>
      </c>
      <c r="M122" s="2" t="s">
        <v>79</v>
      </c>
      <c r="N122" s="2" t="s">
        <v>76</v>
      </c>
      <c r="O122" s="2" t="s">
        <v>95</v>
      </c>
      <c r="P122" s="2" t="str">
        <f>"                              "</f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8.73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0.2</v>
      </c>
      <c r="BK122" s="2">
        <v>1</v>
      </c>
      <c r="BL122" s="2">
        <v>83.93</v>
      </c>
      <c r="BM122" s="2">
        <v>11.75</v>
      </c>
      <c r="BN122" s="2">
        <v>95.68</v>
      </c>
      <c r="BO122" s="2">
        <v>95.68</v>
      </c>
      <c r="BQ122" s="2" t="s">
        <v>386</v>
      </c>
      <c r="BR122" s="2" t="s">
        <v>268</v>
      </c>
      <c r="BS122" s="3">
        <v>42867</v>
      </c>
      <c r="BT122" s="4">
        <v>0.49861111111111112</v>
      </c>
      <c r="BU122" s="2" t="s">
        <v>148</v>
      </c>
      <c r="BV122" s="2" t="s">
        <v>85</v>
      </c>
      <c r="BY122" s="2">
        <v>1200</v>
      </c>
      <c r="CC122" s="2" t="s">
        <v>79</v>
      </c>
      <c r="CD122" s="2">
        <v>2000</v>
      </c>
      <c r="CE122" s="2" t="s">
        <v>120</v>
      </c>
      <c r="CF122" s="3">
        <v>42870</v>
      </c>
      <c r="CI122" s="2">
        <v>1</v>
      </c>
      <c r="CJ122" s="2">
        <v>1</v>
      </c>
      <c r="CK122" s="2" t="s">
        <v>133</v>
      </c>
      <c r="CL122" s="2" t="s">
        <v>87</v>
      </c>
    </row>
    <row r="123" spans="1:90">
      <c r="A123" s="2" t="s">
        <v>88</v>
      </c>
      <c r="B123" s="2" t="s">
        <v>72</v>
      </c>
      <c r="C123" s="2" t="s">
        <v>73</v>
      </c>
      <c r="E123" s="2" t="str">
        <f>"029907512154"</f>
        <v>029907512154</v>
      </c>
      <c r="F123" s="3">
        <v>42866</v>
      </c>
      <c r="G123" s="2">
        <v>201711</v>
      </c>
      <c r="H123" s="2" t="s">
        <v>176</v>
      </c>
      <c r="I123" s="2" t="s">
        <v>177</v>
      </c>
      <c r="J123" s="2" t="s">
        <v>209</v>
      </c>
      <c r="K123" s="2" t="s">
        <v>77</v>
      </c>
      <c r="L123" s="2" t="s">
        <v>78</v>
      </c>
      <c r="M123" s="2" t="s">
        <v>79</v>
      </c>
      <c r="N123" s="2" t="s">
        <v>387</v>
      </c>
      <c r="O123" s="2" t="s">
        <v>95</v>
      </c>
      <c r="P123" s="2" t="str">
        <f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52.85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5</v>
      </c>
      <c r="BI123" s="2">
        <v>65.900000000000006</v>
      </c>
      <c r="BJ123" s="2">
        <v>152.5</v>
      </c>
      <c r="BK123" s="2">
        <v>153</v>
      </c>
      <c r="BL123" s="2">
        <v>482.71</v>
      </c>
      <c r="BM123" s="2">
        <v>67.58</v>
      </c>
      <c r="BN123" s="2">
        <v>550.29</v>
      </c>
      <c r="BO123" s="2">
        <v>550.29</v>
      </c>
      <c r="BR123" s="2" t="s">
        <v>210</v>
      </c>
      <c r="BS123" s="3">
        <v>42867</v>
      </c>
      <c r="BT123" s="4">
        <v>0.49861111111111112</v>
      </c>
      <c r="BU123" s="2" t="s">
        <v>148</v>
      </c>
      <c r="BV123" s="2" t="s">
        <v>85</v>
      </c>
      <c r="BY123" s="2">
        <v>762439</v>
      </c>
      <c r="CC123" s="2" t="s">
        <v>79</v>
      </c>
      <c r="CD123" s="2">
        <v>2000</v>
      </c>
      <c r="CE123" s="2" t="s">
        <v>120</v>
      </c>
      <c r="CF123" s="3">
        <v>42870</v>
      </c>
      <c r="CI123" s="2">
        <v>1</v>
      </c>
      <c r="CJ123" s="2">
        <v>1</v>
      </c>
      <c r="CK123" s="2" t="s">
        <v>211</v>
      </c>
      <c r="CL123" s="2" t="s">
        <v>87</v>
      </c>
    </row>
    <row r="124" spans="1:90">
      <c r="A124" s="2" t="s">
        <v>88</v>
      </c>
      <c r="B124" s="2" t="s">
        <v>72</v>
      </c>
      <c r="C124" s="2" t="s">
        <v>73</v>
      </c>
      <c r="E124" s="2" t="str">
        <f>"029907512172"</f>
        <v>029907512172</v>
      </c>
      <c r="F124" s="3">
        <v>42866</v>
      </c>
      <c r="G124" s="2">
        <v>201711</v>
      </c>
      <c r="H124" s="2" t="s">
        <v>176</v>
      </c>
      <c r="I124" s="2" t="s">
        <v>177</v>
      </c>
      <c r="J124" s="2" t="s">
        <v>209</v>
      </c>
      <c r="K124" s="2" t="s">
        <v>77</v>
      </c>
      <c r="L124" s="2" t="s">
        <v>78</v>
      </c>
      <c r="M124" s="2" t="s">
        <v>79</v>
      </c>
      <c r="N124" s="2" t="s">
        <v>388</v>
      </c>
      <c r="O124" s="2" t="s">
        <v>95</v>
      </c>
      <c r="P124" s="2" t="str">
        <f>"                              "</f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26.96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3</v>
      </c>
      <c r="BI124" s="2">
        <v>71.7</v>
      </c>
      <c r="BJ124" s="2">
        <v>42.9</v>
      </c>
      <c r="BK124" s="2">
        <v>72</v>
      </c>
      <c r="BL124" s="2">
        <v>248.65</v>
      </c>
      <c r="BM124" s="2">
        <v>34.81</v>
      </c>
      <c r="BN124" s="2">
        <v>283.45999999999998</v>
      </c>
      <c r="BO124" s="2">
        <v>283.45999999999998</v>
      </c>
      <c r="BQ124" s="2" t="s">
        <v>389</v>
      </c>
      <c r="BR124" s="2" t="s">
        <v>390</v>
      </c>
      <c r="BS124" s="3">
        <v>42867</v>
      </c>
      <c r="BT124" s="4">
        <v>0.49861111111111112</v>
      </c>
      <c r="BU124" s="2" t="s">
        <v>148</v>
      </c>
      <c r="BV124" s="2" t="s">
        <v>85</v>
      </c>
      <c r="BY124" s="2">
        <v>214416</v>
      </c>
      <c r="CC124" s="2" t="s">
        <v>79</v>
      </c>
      <c r="CD124" s="2">
        <v>2000</v>
      </c>
      <c r="CE124" s="2" t="s">
        <v>120</v>
      </c>
      <c r="CF124" s="3">
        <v>42870</v>
      </c>
      <c r="CI124" s="2">
        <v>1</v>
      </c>
      <c r="CJ124" s="2">
        <v>1</v>
      </c>
      <c r="CK124" s="2" t="s">
        <v>211</v>
      </c>
      <c r="CL124" s="2" t="s">
        <v>87</v>
      </c>
    </row>
    <row r="125" spans="1:90">
      <c r="A125" s="2" t="s">
        <v>88</v>
      </c>
      <c r="B125" s="2" t="s">
        <v>72</v>
      </c>
      <c r="C125" s="2" t="s">
        <v>73</v>
      </c>
      <c r="E125" s="2" t="str">
        <f>"009935998997"</f>
        <v>009935998997</v>
      </c>
      <c r="F125" s="3">
        <v>42866</v>
      </c>
      <c r="G125" s="2">
        <v>201711</v>
      </c>
      <c r="H125" s="2" t="s">
        <v>78</v>
      </c>
      <c r="I125" s="2" t="s">
        <v>79</v>
      </c>
      <c r="J125" s="2" t="s">
        <v>91</v>
      </c>
      <c r="K125" s="2" t="s">
        <v>77</v>
      </c>
      <c r="L125" s="2" t="s">
        <v>176</v>
      </c>
      <c r="M125" s="2" t="s">
        <v>177</v>
      </c>
      <c r="N125" s="2" t="s">
        <v>209</v>
      </c>
      <c r="O125" s="2" t="s">
        <v>95</v>
      </c>
      <c r="P125" s="2" t="str">
        <f>"STORES                        "</f>
        <v xml:space="preserve">STORES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26.16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3</v>
      </c>
      <c r="BI125" s="2">
        <v>72.900000000000006</v>
      </c>
      <c r="BJ125" s="2">
        <v>85.7</v>
      </c>
      <c r="BK125" s="2">
        <v>86</v>
      </c>
      <c r="BL125" s="2">
        <v>241.43</v>
      </c>
      <c r="BM125" s="2">
        <v>33.799999999999997</v>
      </c>
      <c r="BN125" s="2">
        <v>275.23</v>
      </c>
      <c r="BO125" s="2">
        <v>275.23</v>
      </c>
      <c r="BQ125" s="2" t="s">
        <v>178</v>
      </c>
      <c r="BR125" s="2" t="s">
        <v>122</v>
      </c>
      <c r="BS125" s="3">
        <v>42867</v>
      </c>
      <c r="BT125" s="4">
        <v>0.56666666666666665</v>
      </c>
      <c r="BU125" s="2" t="s">
        <v>378</v>
      </c>
      <c r="BV125" s="2" t="s">
        <v>85</v>
      </c>
      <c r="BY125" s="2">
        <v>428641.37</v>
      </c>
      <c r="CC125" s="2" t="s">
        <v>177</v>
      </c>
      <c r="CD125" s="2">
        <v>4091</v>
      </c>
      <c r="CE125" s="2" t="s">
        <v>120</v>
      </c>
      <c r="CF125" s="3">
        <v>42871</v>
      </c>
      <c r="CI125" s="2">
        <v>1</v>
      </c>
      <c r="CJ125" s="2">
        <v>1</v>
      </c>
      <c r="CK125" s="2" t="s">
        <v>146</v>
      </c>
      <c r="CL125" s="2" t="s">
        <v>87</v>
      </c>
    </row>
    <row r="126" spans="1:90">
      <c r="A126" s="2" t="s">
        <v>88</v>
      </c>
      <c r="B126" s="2" t="s">
        <v>72</v>
      </c>
      <c r="C126" s="2" t="s">
        <v>73</v>
      </c>
      <c r="E126" s="2" t="str">
        <f>"009935957095"</f>
        <v>009935957095</v>
      </c>
      <c r="F126" s="3">
        <v>42866</v>
      </c>
      <c r="G126" s="2">
        <v>201711</v>
      </c>
      <c r="H126" s="2" t="s">
        <v>78</v>
      </c>
      <c r="I126" s="2" t="s">
        <v>79</v>
      </c>
      <c r="J126" s="2" t="s">
        <v>91</v>
      </c>
      <c r="K126" s="2" t="s">
        <v>77</v>
      </c>
      <c r="L126" s="2" t="s">
        <v>111</v>
      </c>
      <c r="M126" s="2" t="s">
        <v>112</v>
      </c>
      <c r="N126" s="2" t="s">
        <v>147</v>
      </c>
      <c r="O126" s="2" t="s">
        <v>95</v>
      </c>
      <c r="P126" s="2" t="str">
        <f>"STORES                        "</f>
        <v xml:space="preserve">STORES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27.92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2</v>
      </c>
      <c r="BI126" s="2">
        <v>44.1</v>
      </c>
      <c r="BJ126" s="2">
        <v>75</v>
      </c>
      <c r="BK126" s="2">
        <v>75</v>
      </c>
      <c r="BL126" s="2">
        <v>257.32</v>
      </c>
      <c r="BM126" s="2">
        <v>36.020000000000003</v>
      </c>
      <c r="BN126" s="2">
        <v>293.33999999999997</v>
      </c>
      <c r="BO126" s="2">
        <v>293.33999999999997</v>
      </c>
      <c r="BQ126" s="2" t="s">
        <v>121</v>
      </c>
      <c r="BR126" s="2" t="s">
        <v>122</v>
      </c>
      <c r="BS126" s="3">
        <v>42867</v>
      </c>
      <c r="BT126" s="4">
        <v>0.34791666666666665</v>
      </c>
      <c r="BU126" s="2" t="s">
        <v>149</v>
      </c>
      <c r="BV126" s="2" t="s">
        <v>85</v>
      </c>
      <c r="BY126" s="2">
        <v>374976</v>
      </c>
      <c r="CC126" s="2" t="s">
        <v>112</v>
      </c>
      <c r="CD126" s="2">
        <v>1034</v>
      </c>
      <c r="CE126" s="2" t="s">
        <v>120</v>
      </c>
      <c r="CF126" s="3">
        <v>42870</v>
      </c>
      <c r="CI126" s="2">
        <v>1</v>
      </c>
      <c r="CJ126" s="2">
        <v>1</v>
      </c>
      <c r="CK126" s="2" t="s">
        <v>133</v>
      </c>
      <c r="CL126" s="2" t="s">
        <v>87</v>
      </c>
    </row>
    <row r="127" spans="1:90">
      <c r="A127" s="2" t="s">
        <v>88</v>
      </c>
      <c r="B127" s="2" t="s">
        <v>72</v>
      </c>
      <c r="C127" s="2" t="s">
        <v>73</v>
      </c>
      <c r="E127" s="2" t="str">
        <f>"009935802784"</f>
        <v>009935802784</v>
      </c>
      <c r="F127" s="3">
        <v>42866</v>
      </c>
      <c r="G127" s="2">
        <v>201711</v>
      </c>
      <c r="H127" s="2" t="s">
        <v>78</v>
      </c>
      <c r="I127" s="2" t="s">
        <v>79</v>
      </c>
      <c r="J127" s="2" t="s">
        <v>91</v>
      </c>
      <c r="K127" s="2" t="s">
        <v>77</v>
      </c>
      <c r="L127" s="2" t="s">
        <v>151</v>
      </c>
      <c r="M127" s="2" t="s">
        <v>152</v>
      </c>
      <c r="N127" s="2" t="s">
        <v>391</v>
      </c>
      <c r="O127" s="2" t="s">
        <v>95</v>
      </c>
      <c r="P127" s="2" t="str">
        <f>"STORES                        "</f>
        <v xml:space="preserve">STORES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6.55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1.8</v>
      </c>
      <c r="BJ127" s="2">
        <v>6.5</v>
      </c>
      <c r="BK127" s="2">
        <v>7</v>
      </c>
      <c r="BL127" s="2">
        <v>64.2</v>
      </c>
      <c r="BM127" s="2">
        <v>8.99</v>
      </c>
      <c r="BN127" s="2">
        <v>73.19</v>
      </c>
      <c r="BO127" s="2">
        <v>73.19</v>
      </c>
      <c r="BQ127" s="2" t="s">
        <v>153</v>
      </c>
      <c r="BR127" s="2" t="s">
        <v>122</v>
      </c>
      <c r="BS127" s="3">
        <v>42870</v>
      </c>
      <c r="BT127" s="4">
        <v>0.54166666666666663</v>
      </c>
      <c r="BU127" s="2" t="s">
        <v>365</v>
      </c>
      <c r="BV127" s="2" t="s">
        <v>87</v>
      </c>
      <c r="BW127" s="2" t="s">
        <v>319</v>
      </c>
      <c r="BX127" s="2" t="s">
        <v>228</v>
      </c>
      <c r="BY127" s="2">
        <v>32385.599999999999</v>
      </c>
      <c r="CC127" s="2" t="s">
        <v>152</v>
      </c>
      <c r="CD127" s="2">
        <v>700</v>
      </c>
      <c r="CE127" s="2" t="s">
        <v>120</v>
      </c>
      <c r="CF127" s="3">
        <v>42872</v>
      </c>
      <c r="CI127" s="2">
        <v>1</v>
      </c>
      <c r="CJ127" s="2">
        <v>2</v>
      </c>
      <c r="CK127" s="2" t="s">
        <v>142</v>
      </c>
      <c r="CL127" s="2" t="s">
        <v>87</v>
      </c>
    </row>
    <row r="128" spans="1:90">
      <c r="A128" s="2" t="s">
        <v>88</v>
      </c>
      <c r="B128" s="2" t="s">
        <v>72</v>
      </c>
      <c r="C128" s="2" t="s">
        <v>73</v>
      </c>
      <c r="E128" s="2" t="str">
        <f>"039902227938"</f>
        <v>039902227938</v>
      </c>
      <c r="F128" s="3">
        <v>42867</v>
      </c>
      <c r="G128" s="2">
        <v>201711</v>
      </c>
      <c r="H128" s="2" t="s">
        <v>89</v>
      </c>
      <c r="I128" s="2" t="s">
        <v>90</v>
      </c>
      <c r="J128" s="2" t="s">
        <v>91</v>
      </c>
      <c r="K128" s="2" t="s">
        <v>77</v>
      </c>
      <c r="L128" s="2" t="s">
        <v>92</v>
      </c>
      <c r="M128" s="2" t="s">
        <v>93</v>
      </c>
      <c r="N128" s="2" t="s">
        <v>94</v>
      </c>
      <c r="O128" s="2" t="s">
        <v>95</v>
      </c>
      <c r="P128" s="2" t="str">
        <f>"                              "</f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11.35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3</v>
      </c>
      <c r="BJ128" s="2">
        <v>2.9</v>
      </c>
      <c r="BK128" s="2">
        <v>3</v>
      </c>
      <c r="BL128" s="2">
        <v>107.61</v>
      </c>
      <c r="BM128" s="2">
        <v>15.07</v>
      </c>
      <c r="BN128" s="2">
        <v>122.68</v>
      </c>
      <c r="BO128" s="2">
        <v>122.68</v>
      </c>
      <c r="BQ128" s="2" t="s">
        <v>96</v>
      </c>
      <c r="BR128" s="2" t="s">
        <v>101</v>
      </c>
      <c r="BS128" s="3">
        <v>42871</v>
      </c>
      <c r="BT128" s="4">
        <v>0.33333333333333331</v>
      </c>
      <c r="BU128" s="2" t="s">
        <v>98</v>
      </c>
      <c r="BV128" s="2" t="s">
        <v>85</v>
      </c>
      <c r="BY128" s="2">
        <v>14490</v>
      </c>
      <c r="CC128" s="2" t="s">
        <v>93</v>
      </c>
      <c r="CD128" s="2">
        <v>8800</v>
      </c>
      <c r="CE128" s="2" t="s">
        <v>86</v>
      </c>
      <c r="CF128" s="3">
        <v>42873</v>
      </c>
      <c r="CI128" s="2">
        <v>3</v>
      </c>
      <c r="CJ128" s="2">
        <v>2</v>
      </c>
      <c r="CK128" s="2" t="s">
        <v>99</v>
      </c>
      <c r="CL128" s="2" t="s">
        <v>87</v>
      </c>
    </row>
    <row r="129" spans="1:90">
      <c r="A129" s="2" t="s">
        <v>88</v>
      </c>
      <c r="B129" s="2" t="s">
        <v>72</v>
      </c>
      <c r="C129" s="2" t="s">
        <v>73</v>
      </c>
      <c r="E129" s="2" t="str">
        <f>"019910066578"</f>
        <v>019910066578</v>
      </c>
      <c r="F129" s="3">
        <v>42867</v>
      </c>
      <c r="G129" s="2">
        <v>201711</v>
      </c>
      <c r="H129" s="2" t="s">
        <v>105</v>
      </c>
      <c r="I129" s="2" t="s">
        <v>106</v>
      </c>
      <c r="J129" s="2" t="s">
        <v>91</v>
      </c>
      <c r="K129" s="2" t="s">
        <v>77</v>
      </c>
      <c r="L129" s="2" t="s">
        <v>189</v>
      </c>
      <c r="M129" s="2" t="s">
        <v>98</v>
      </c>
      <c r="N129" s="2" t="s">
        <v>392</v>
      </c>
      <c r="O129" s="2" t="s">
        <v>81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5.82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1.1000000000000001</v>
      </c>
      <c r="BJ129" s="2">
        <v>2.5</v>
      </c>
      <c r="BK129" s="2">
        <v>2.5</v>
      </c>
      <c r="BL129" s="2">
        <v>52.62</v>
      </c>
      <c r="BM129" s="2">
        <v>7.37</v>
      </c>
      <c r="BN129" s="2">
        <v>59.99</v>
      </c>
      <c r="BO129" s="2">
        <v>59.99</v>
      </c>
      <c r="BQ129" s="2" t="s">
        <v>393</v>
      </c>
      <c r="BR129" s="2" t="s">
        <v>394</v>
      </c>
      <c r="BS129" s="3">
        <v>42868</v>
      </c>
      <c r="BT129" s="4">
        <v>0.375</v>
      </c>
      <c r="BU129" s="2" t="s">
        <v>395</v>
      </c>
      <c r="BV129" s="2" t="s">
        <v>85</v>
      </c>
      <c r="BY129" s="2">
        <v>12698.18</v>
      </c>
      <c r="BZ129" s="2" t="s">
        <v>27</v>
      </c>
      <c r="CA129" s="2" t="s">
        <v>175</v>
      </c>
      <c r="CC129" s="2" t="s">
        <v>98</v>
      </c>
      <c r="CD129" s="2">
        <v>6530</v>
      </c>
      <c r="CE129" s="2" t="s">
        <v>110</v>
      </c>
      <c r="CF129" s="3">
        <v>42871</v>
      </c>
      <c r="CI129" s="2">
        <v>1</v>
      </c>
      <c r="CJ129" s="2">
        <v>0</v>
      </c>
      <c r="CK129" s="2">
        <v>21</v>
      </c>
      <c r="CL129" s="2" t="s">
        <v>87</v>
      </c>
    </row>
    <row r="130" spans="1:90">
      <c r="A130" s="2" t="s">
        <v>88</v>
      </c>
      <c r="B130" s="2" t="s">
        <v>72</v>
      </c>
      <c r="C130" s="2" t="s">
        <v>73</v>
      </c>
      <c r="E130" s="2" t="str">
        <f>"009935903630"</f>
        <v>009935903630</v>
      </c>
      <c r="F130" s="3">
        <v>42867</v>
      </c>
      <c r="G130" s="2">
        <v>201711</v>
      </c>
      <c r="H130" s="2" t="s">
        <v>111</v>
      </c>
      <c r="I130" s="2" t="s">
        <v>112</v>
      </c>
      <c r="J130" s="2" t="s">
        <v>147</v>
      </c>
      <c r="K130" s="2" t="s">
        <v>77</v>
      </c>
      <c r="L130" s="2" t="s">
        <v>242</v>
      </c>
      <c r="M130" s="2" t="s">
        <v>170</v>
      </c>
      <c r="N130" s="2" t="s">
        <v>91</v>
      </c>
      <c r="O130" s="2" t="s">
        <v>95</v>
      </c>
      <c r="P130" s="2" t="str">
        <f>"                              "</f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9.5299999999999994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8</v>
      </c>
      <c r="BJ130" s="2">
        <v>6.5</v>
      </c>
      <c r="BK130" s="2">
        <v>8</v>
      </c>
      <c r="BL130" s="2">
        <v>91.17</v>
      </c>
      <c r="BM130" s="2">
        <v>12.76</v>
      </c>
      <c r="BN130" s="2">
        <v>103.93</v>
      </c>
      <c r="BO130" s="2">
        <v>103.93</v>
      </c>
      <c r="BQ130" s="2" t="s">
        <v>396</v>
      </c>
      <c r="BR130" s="2" t="s">
        <v>397</v>
      </c>
      <c r="BS130" s="3">
        <v>42872</v>
      </c>
      <c r="BT130" s="4">
        <v>0.7319444444444444</v>
      </c>
      <c r="BU130" s="2" t="s">
        <v>398</v>
      </c>
      <c r="BV130" s="2" t="s">
        <v>87</v>
      </c>
      <c r="BY130" s="2">
        <v>32400</v>
      </c>
      <c r="CC130" s="2" t="s">
        <v>170</v>
      </c>
      <c r="CD130" s="2">
        <v>1200</v>
      </c>
      <c r="CE130" s="2" t="s">
        <v>120</v>
      </c>
      <c r="CF130" s="3">
        <v>42873</v>
      </c>
      <c r="CI130" s="2">
        <v>1</v>
      </c>
      <c r="CJ130" s="2">
        <v>3</v>
      </c>
      <c r="CK130" s="2" t="s">
        <v>104</v>
      </c>
      <c r="CL130" s="2" t="s">
        <v>87</v>
      </c>
    </row>
    <row r="131" spans="1:90">
      <c r="A131" s="2" t="s">
        <v>88</v>
      </c>
      <c r="B131" s="2" t="s">
        <v>72</v>
      </c>
      <c r="C131" s="2" t="s">
        <v>73</v>
      </c>
      <c r="E131" s="2" t="str">
        <f>"009936359858"</f>
        <v>009936359858</v>
      </c>
      <c r="F131" s="3">
        <v>42867</v>
      </c>
      <c r="G131" s="2">
        <v>201711</v>
      </c>
      <c r="H131" s="2" t="s">
        <v>151</v>
      </c>
      <c r="I131" s="2" t="s">
        <v>152</v>
      </c>
      <c r="J131" s="2" t="s">
        <v>91</v>
      </c>
      <c r="K131" s="2" t="s">
        <v>77</v>
      </c>
      <c r="L131" s="2" t="s">
        <v>78</v>
      </c>
      <c r="M131" s="2" t="s">
        <v>79</v>
      </c>
      <c r="N131" s="2" t="s">
        <v>91</v>
      </c>
      <c r="O131" s="2" t="s">
        <v>95</v>
      </c>
      <c r="P131" s="2" t="str">
        <f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8.73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</v>
      </c>
      <c r="BJ131" s="2">
        <v>0.2</v>
      </c>
      <c r="BK131" s="2">
        <v>1</v>
      </c>
      <c r="BL131" s="2">
        <v>83.93</v>
      </c>
      <c r="BM131" s="2">
        <v>11.75</v>
      </c>
      <c r="BN131" s="2">
        <v>95.68</v>
      </c>
      <c r="BO131" s="2">
        <v>95.68</v>
      </c>
      <c r="BQ131" s="2" t="s">
        <v>399</v>
      </c>
      <c r="BS131" s="3">
        <v>42871</v>
      </c>
      <c r="BT131" s="4">
        <v>0.3666666666666667</v>
      </c>
      <c r="BU131" s="2" t="s">
        <v>98</v>
      </c>
      <c r="BV131" s="2" t="s">
        <v>87</v>
      </c>
      <c r="BW131" s="2" t="s">
        <v>163</v>
      </c>
      <c r="BX131" s="2" t="s">
        <v>371</v>
      </c>
      <c r="BY131" s="2">
        <v>1200</v>
      </c>
      <c r="CC131" s="2" t="s">
        <v>79</v>
      </c>
      <c r="CD131" s="2">
        <v>2054</v>
      </c>
      <c r="CE131" s="2" t="s">
        <v>120</v>
      </c>
      <c r="CF131" s="3">
        <v>42872</v>
      </c>
      <c r="CI131" s="2">
        <v>1</v>
      </c>
      <c r="CJ131" s="2">
        <v>2</v>
      </c>
      <c r="CK131" s="2" t="s">
        <v>133</v>
      </c>
      <c r="CL131" s="2" t="s">
        <v>87</v>
      </c>
    </row>
    <row r="132" spans="1:90">
      <c r="A132" s="2" t="s">
        <v>88</v>
      </c>
      <c r="B132" s="2" t="s">
        <v>72</v>
      </c>
      <c r="C132" s="2" t="s">
        <v>73</v>
      </c>
      <c r="E132" s="2" t="str">
        <f>"069907498236"</f>
        <v>069907498236</v>
      </c>
      <c r="F132" s="3">
        <v>42867</v>
      </c>
      <c r="G132" s="2">
        <v>201711</v>
      </c>
      <c r="H132" s="2" t="s">
        <v>151</v>
      </c>
      <c r="I132" s="2" t="s">
        <v>152</v>
      </c>
      <c r="J132" s="2" t="s">
        <v>91</v>
      </c>
      <c r="K132" s="2" t="s">
        <v>77</v>
      </c>
      <c r="L132" s="2" t="s">
        <v>78</v>
      </c>
      <c r="M132" s="2" t="s">
        <v>79</v>
      </c>
      <c r="N132" s="2" t="s">
        <v>91</v>
      </c>
      <c r="O132" s="2" t="s">
        <v>95</v>
      </c>
      <c r="P132" s="2" t="str">
        <f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195.76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3</v>
      </c>
      <c r="BI132" s="2">
        <v>450</v>
      </c>
      <c r="BJ132" s="2">
        <v>600</v>
      </c>
      <c r="BK132" s="2">
        <v>600</v>
      </c>
      <c r="BL132" s="2">
        <v>1774.41</v>
      </c>
      <c r="BM132" s="2">
        <v>248.42</v>
      </c>
      <c r="BN132" s="2">
        <v>2022.83</v>
      </c>
      <c r="BO132" s="2">
        <v>2022.83</v>
      </c>
      <c r="BS132" s="3">
        <v>42870</v>
      </c>
      <c r="BT132" s="4">
        <v>0.47916666666666669</v>
      </c>
      <c r="BU132" s="2" t="s">
        <v>400</v>
      </c>
      <c r="BV132" s="2" t="s">
        <v>85</v>
      </c>
      <c r="BY132" s="2">
        <v>3000000</v>
      </c>
      <c r="CC132" s="2" t="s">
        <v>79</v>
      </c>
      <c r="CD132" s="2">
        <v>2000</v>
      </c>
      <c r="CE132" s="2" t="s">
        <v>120</v>
      </c>
      <c r="CF132" s="3">
        <v>42872</v>
      </c>
      <c r="CI132" s="2">
        <v>1</v>
      </c>
      <c r="CJ132" s="2">
        <v>1</v>
      </c>
      <c r="CK132" s="2" t="s">
        <v>133</v>
      </c>
      <c r="CL132" s="2" t="s">
        <v>87</v>
      </c>
    </row>
    <row r="133" spans="1:90">
      <c r="A133" s="2" t="s">
        <v>88</v>
      </c>
      <c r="B133" s="2" t="s">
        <v>72</v>
      </c>
      <c r="C133" s="2" t="s">
        <v>73</v>
      </c>
      <c r="E133" s="2" t="str">
        <f>"009935957134"</f>
        <v>009935957134</v>
      </c>
      <c r="F133" s="3">
        <v>42867</v>
      </c>
      <c r="G133" s="2">
        <v>201711</v>
      </c>
      <c r="H133" s="2" t="s">
        <v>78</v>
      </c>
      <c r="I133" s="2" t="s">
        <v>79</v>
      </c>
      <c r="J133" s="2" t="s">
        <v>91</v>
      </c>
      <c r="K133" s="2" t="s">
        <v>77</v>
      </c>
      <c r="L133" s="2" t="s">
        <v>111</v>
      </c>
      <c r="M133" s="2" t="s">
        <v>112</v>
      </c>
      <c r="N133" s="2" t="s">
        <v>147</v>
      </c>
      <c r="O133" s="2" t="s">
        <v>81</v>
      </c>
      <c r="P133" s="2" t="str">
        <f>"LOCKS                         "</f>
        <v xml:space="preserve">LOCKS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6.54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1.3</v>
      </c>
      <c r="BJ133" s="2">
        <v>1.4</v>
      </c>
      <c r="BK133" s="2">
        <v>1.5</v>
      </c>
      <c r="BL133" s="2">
        <v>59.1</v>
      </c>
      <c r="BM133" s="2">
        <v>8.27</v>
      </c>
      <c r="BN133" s="2">
        <v>67.37</v>
      </c>
      <c r="BO133" s="2">
        <v>67.37</v>
      </c>
      <c r="BQ133" s="2" t="s">
        <v>121</v>
      </c>
      <c r="BR133" s="2" t="s">
        <v>401</v>
      </c>
      <c r="BS133" s="3">
        <v>42870</v>
      </c>
      <c r="BT133" s="4">
        <v>0.37708333333333338</v>
      </c>
      <c r="BU133" s="2" t="s">
        <v>225</v>
      </c>
      <c r="BV133" s="2" t="s">
        <v>85</v>
      </c>
      <c r="BY133" s="2">
        <v>6750.68</v>
      </c>
      <c r="BZ133" s="2" t="s">
        <v>27</v>
      </c>
      <c r="CC133" s="2" t="s">
        <v>112</v>
      </c>
      <c r="CD133" s="2">
        <v>1034</v>
      </c>
      <c r="CE133" s="2" t="s">
        <v>120</v>
      </c>
      <c r="CF133" s="3">
        <v>42874</v>
      </c>
      <c r="CI133" s="2">
        <v>1</v>
      </c>
      <c r="CJ133" s="2">
        <v>1</v>
      </c>
      <c r="CK133" s="2">
        <v>24</v>
      </c>
      <c r="CL133" s="2" t="s">
        <v>87</v>
      </c>
    </row>
    <row r="134" spans="1:90">
      <c r="A134" s="2" t="s">
        <v>88</v>
      </c>
      <c r="B134" s="2" t="s">
        <v>72</v>
      </c>
      <c r="C134" s="2" t="s">
        <v>73</v>
      </c>
      <c r="E134" s="2" t="str">
        <f>"009935998995"</f>
        <v>009935998995</v>
      </c>
      <c r="F134" s="3">
        <v>42867</v>
      </c>
      <c r="G134" s="2">
        <v>201711</v>
      </c>
      <c r="H134" s="2" t="s">
        <v>78</v>
      </c>
      <c r="I134" s="2" t="s">
        <v>79</v>
      </c>
      <c r="J134" s="2" t="s">
        <v>91</v>
      </c>
      <c r="K134" s="2" t="s">
        <v>77</v>
      </c>
      <c r="L134" s="2" t="s">
        <v>176</v>
      </c>
      <c r="M134" s="2" t="s">
        <v>177</v>
      </c>
      <c r="N134" s="2" t="s">
        <v>209</v>
      </c>
      <c r="O134" s="2" t="s">
        <v>95</v>
      </c>
      <c r="P134" s="2" t="str">
        <f>"                              "</f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6.55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0.4</v>
      </c>
      <c r="BJ134" s="2">
        <v>0.6</v>
      </c>
      <c r="BK134" s="2">
        <v>1</v>
      </c>
      <c r="BL134" s="2">
        <v>64.2</v>
      </c>
      <c r="BM134" s="2">
        <v>8.99</v>
      </c>
      <c r="BN134" s="2">
        <v>73.19</v>
      </c>
      <c r="BO134" s="2">
        <v>73.19</v>
      </c>
      <c r="BQ134" s="2" t="s">
        <v>178</v>
      </c>
      <c r="BR134" s="2" t="s">
        <v>402</v>
      </c>
      <c r="BS134" s="3">
        <v>42870</v>
      </c>
      <c r="BT134" s="4">
        <v>0.39583333333333331</v>
      </c>
      <c r="BU134" s="2" t="s">
        <v>241</v>
      </c>
      <c r="BV134" s="2" t="s">
        <v>85</v>
      </c>
      <c r="BY134" s="2">
        <v>2975.4</v>
      </c>
      <c r="CC134" s="2" t="s">
        <v>177</v>
      </c>
      <c r="CD134" s="2">
        <v>4001</v>
      </c>
      <c r="CE134" s="2" t="s">
        <v>120</v>
      </c>
      <c r="CF134" s="3">
        <v>42871</v>
      </c>
      <c r="CI134" s="2">
        <v>1</v>
      </c>
      <c r="CJ134" s="2">
        <v>1</v>
      </c>
      <c r="CK134" s="2" t="s">
        <v>146</v>
      </c>
      <c r="CL134" s="2" t="s">
        <v>87</v>
      </c>
    </row>
    <row r="135" spans="1:90">
      <c r="A135" s="2" t="s">
        <v>88</v>
      </c>
      <c r="B135" s="2" t="s">
        <v>72</v>
      </c>
      <c r="C135" s="2" t="s">
        <v>73</v>
      </c>
      <c r="E135" s="2" t="str">
        <f>"009935998996"</f>
        <v>009935998996</v>
      </c>
      <c r="F135" s="3">
        <v>42867</v>
      </c>
      <c r="G135" s="2">
        <v>201711</v>
      </c>
      <c r="H135" s="2" t="s">
        <v>78</v>
      </c>
      <c r="I135" s="2" t="s">
        <v>79</v>
      </c>
      <c r="J135" s="2" t="s">
        <v>91</v>
      </c>
      <c r="K135" s="2" t="s">
        <v>77</v>
      </c>
      <c r="L135" s="2" t="s">
        <v>176</v>
      </c>
      <c r="M135" s="2" t="s">
        <v>177</v>
      </c>
      <c r="N135" s="2" t="s">
        <v>209</v>
      </c>
      <c r="O135" s="2" t="s">
        <v>95</v>
      </c>
      <c r="P135" s="2" t="str">
        <f>"STORES  \F.S                  "</f>
        <v xml:space="preserve">STORES  \F.S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6.55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0.1</v>
      </c>
      <c r="BJ135" s="2">
        <v>4.0999999999999996</v>
      </c>
      <c r="BK135" s="2">
        <v>4</v>
      </c>
      <c r="BL135" s="2">
        <v>64.2</v>
      </c>
      <c r="BM135" s="2">
        <v>8.99</v>
      </c>
      <c r="BN135" s="2">
        <v>73.19</v>
      </c>
      <c r="BO135" s="2">
        <v>73.19</v>
      </c>
      <c r="BQ135" s="2" t="s">
        <v>403</v>
      </c>
      <c r="BR135" s="2" t="s">
        <v>404</v>
      </c>
      <c r="BS135" s="3">
        <v>42870</v>
      </c>
      <c r="BT135" s="4">
        <v>0.39583333333333331</v>
      </c>
      <c r="BU135" s="2" t="s">
        <v>405</v>
      </c>
      <c r="BV135" s="2" t="s">
        <v>85</v>
      </c>
      <c r="BY135" s="2">
        <v>20489.490000000002</v>
      </c>
      <c r="CC135" s="2" t="s">
        <v>177</v>
      </c>
      <c r="CD135" s="2">
        <v>4091</v>
      </c>
      <c r="CE135" s="2" t="s">
        <v>120</v>
      </c>
      <c r="CF135" s="3">
        <v>42871</v>
      </c>
      <c r="CI135" s="2">
        <v>1</v>
      </c>
      <c r="CJ135" s="2">
        <v>1</v>
      </c>
      <c r="CK135" s="2" t="s">
        <v>146</v>
      </c>
      <c r="CL135" s="2" t="s">
        <v>87</v>
      </c>
    </row>
    <row r="136" spans="1:90">
      <c r="A136" s="2" t="s">
        <v>88</v>
      </c>
      <c r="B136" s="2" t="s">
        <v>72</v>
      </c>
      <c r="C136" s="2" t="s">
        <v>73</v>
      </c>
      <c r="E136" s="2" t="str">
        <f>"009936078420"</f>
        <v>009936078420</v>
      </c>
      <c r="F136" s="3">
        <v>42867</v>
      </c>
      <c r="G136" s="2">
        <v>201711</v>
      </c>
      <c r="H136" s="2" t="s">
        <v>158</v>
      </c>
      <c r="I136" s="2" t="s">
        <v>159</v>
      </c>
      <c r="J136" s="2" t="s">
        <v>406</v>
      </c>
      <c r="K136" s="2" t="s">
        <v>77</v>
      </c>
      <c r="L136" s="2" t="s">
        <v>186</v>
      </c>
      <c r="M136" s="2" t="s">
        <v>106</v>
      </c>
      <c r="N136" s="2" t="s">
        <v>407</v>
      </c>
      <c r="O136" s="2" t="s">
        <v>95</v>
      </c>
      <c r="P136" s="2" t="str">
        <f>"STORES                        "</f>
        <v xml:space="preserve">STORES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55.23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3</v>
      </c>
      <c r="BI136" s="2">
        <v>111.4</v>
      </c>
      <c r="BJ136" s="2">
        <v>127.1</v>
      </c>
      <c r="BK136" s="2">
        <v>127</v>
      </c>
      <c r="BL136" s="2">
        <v>504.23</v>
      </c>
      <c r="BM136" s="2">
        <v>70.59</v>
      </c>
      <c r="BN136" s="2">
        <v>574.82000000000005</v>
      </c>
      <c r="BO136" s="2">
        <v>574.82000000000005</v>
      </c>
      <c r="BQ136" s="2" t="s">
        <v>109</v>
      </c>
      <c r="BR136" s="2" t="s">
        <v>408</v>
      </c>
      <c r="BS136" s="3">
        <v>42870</v>
      </c>
      <c r="BT136" s="4">
        <v>0.59444444444444444</v>
      </c>
      <c r="BU136" s="2" t="s">
        <v>409</v>
      </c>
      <c r="BV136" s="2" t="s">
        <v>85</v>
      </c>
      <c r="BY136" s="2">
        <v>635424.65</v>
      </c>
      <c r="CC136" s="2" t="s">
        <v>106</v>
      </c>
      <c r="CD136" s="2">
        <v>7700</v>
      </c>
      <c r="CE136" s="2" t="s">
        <v>120</v>
      </c>
      <c r="CF136" s="3">
        <v>42871</v>
      </c>
      <c r="CI136" s="2">
        <v>2</v>
      </c>
      <c r="CJ136" s="2">
        <v>1</v>
      </c>
      <c r="CK136" s="2" t="s">
        <v>104</v>
      </c>
      <c r="CL136" s="2" t="s">
        <v>87</v>
      </c>
    </row>
    <row r="137" spans="1:90">
      <c r="A137" s="2" t="s">
        <v>88</v>
      </c>
      <c r="B137" s="2" t="s">
        <v>72</v>
      </c>
      <c r="C137" s="2" t="s">
        <v>73</v>
      </c>
      <c r="E137" s="2" t="str">
        <f>"009935802779"</f>
        <v>009935802779</v>
      </c>
      <c r="F137" s="3">
        <v>42867</v>
      </c>
      <c r="G137" s="2">
        <v>201711</v>
      </c>
      <c r="H137" s="2" t="s">
        <v>78</v>
      </c>
      <c r="I137" s="2" t="s">
        <v>79</v>
      </c>
      <c r="J137" s="2" t="s">
        <v>91</v>
      </c>
      <c r="K137" s="2" t="s">
        <v>77</v>
      </c>
      <c r="L137" s="2" t="s">
        <v>124</v>
      </c>
      <c r="M137" s="2" t="s">
        <v>125</v>
      </c>
      <c r="N137" s="2" t="s">
        <v>410</v>
      </c>
      <c r="O137" s="2" t="s">
        <v>95</v>
      </c>
      <c r="P137" s="2" t="str">
        <f>"STORES                        "</f>
        <v xml:space="preserve">STORES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8.73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5.0999999999999996</v>
      </c>
      <c r="BJ137" s="2">
        <v>6.1</v>
      </c>
      <c r="BK137" s="2">
        <v>7</v>
      </c>
      <c r="BL137" s="2">
        <v>83.93</v>
      </c>
      <c r="BM137" s="2">
        <v>11.75</v>
      </c>
      <c r="BN137" s="2">
        <v>95.68</v>
      </c>
      <c r="BO137" s="2">
        <v>95.68</v>
      </c>
      <c r="BQ137" s="2" t="s">
        <v>128</v>
      </c>
      <c r="BR137" s="2" t="s">
        <v>296</v>
      </c>
      <c r="BS137" s="3">
        <v>42873</v>
      </c>
      <c r="BT137" s="4">
        <v>0.3263888888888889</v>
      </c>
      <c r="BU137" s="2" t="s">
        <v>246</v>
      </c>
      <c r="BV137" s="2" t="s">
        <v>87</v>
      </c>
      <c r="BY137" s="2">
        <v>30527.25</v>
      </c>
      <c r="CC137" s="2" t="s">
        <v>125</v>
      </c>
      <c r="CD137" s="2">
        <v>300</v>
      </c>
      <c r="CE137" s="2" t="s">
        <v>120</v>
      </c>
      <c r="CF137" s="3">
        <v>42877</v>
      </c>
      <c r="CI137" s="2">
        <v>1</v>
      </c>
      <c r="CJ137" s="2">
        <v>4</v>
      </c>
      <c r="CK137" s="2" t="s">
        <v>133</v>
      </c>
      <c r="CL137" s="2" t="s">
        <v>87</v>
      </c>
    </row>
    <row r="138" spans="1:90">
      <c r="A138" s="2" t="s">
        <v>88</v>
      </c>
      <c r="B138" s="2" t="s">
        <v>72</v>
      </c>
      <c r="C138" s="2" t="s">
        <v>73</v>
      </c>
      <c r="E138" s="2" t="str">
        <f>"009935802783"</f>
        <v>009935802783</v>
      </c>
      <c r="F138" s="3">
        <v>42867</v>
      </c>
      <c r="G138" s="2">
        <v>201711</v>
      </c>
      <c r="H138" s="2" t="s">
        <v>78</v>
      </c>
      <c r="I138" s="2" t="s">
        <v>79</v>
      </c>
      <c r="J138" s="2" t="s">
        <v>91</v>
      </c>
      <c r="K138" s="2" t="s">
        <v>77</v>
      </c>
      <c r="L138" s="2" t="s">
        <v>327</v>
      </c>
      <c r="M138" s="2" t="s">
        <v>328</v>
      </c>
      <c r="N138" s="2" t="s">
        <v>411</v>
      </c>
      <c r="O138" s="2" t="s">
        <v>95</v>
      </c>
      <c r="P138" s="2" t="str">
        <f>"FS                            "</f>
        <v xml:space="preserve">FS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9.4600000000000009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0.1</v>
      </c>
      <c r="BJ138" s="2">
        <v>2.2999999999999998</v>
      </c>
      <c r="BK138" s="2">
        <v>3</v>
      </c>
      <c r="BL138" s="2">
        <v>90.51</v>
      </c>
      <c r="BM138" s="2">
        <v>12.67</v>
      </c>
      <c r="BN138" s="2">
        <v>103.18</v>
      </c>
      <c r="BO138" s="2">
        <v>103.18</v>
      </c>
      <c r="BQ138" s="2" t="s">
        <v>245</v>
      </c>
      <c r="BR138" s="2" t="s">
        <v>330</v>
      </c>
      <c r="BS138" s="3">
        <v>42871</v>
      </c>
      <c r="BT138" s="4">
        <v>0.33333333333333331</v>
      </c>
      <c r="BU138" s="2" t="s">
        <v>331</v>
      </c>
      <c r="BV138" s="2" t="s">
        <v>87</v>
      </c>
      <c r="BW138" s="2" t="s">
        <v>314</v>
      </c>
      <c r="BX138" s="2" t="s">
        <v>412</v>
      </c>
      <c r="BY138" s="2">
        <v>11597.4</v>
      </c>
      <c r="CC138" s="2" t="s">
        <v>328</v>
      </c>
      <c r="CD138" s="2">
        <v>9701</v>
      </c>
      <c r="CE138" s="2" t="s">
        <v>120</v>
      </c>
      <c r="CF138" s="3">
        <v>42872</v>
      </c>
      <c r="CI138" s="2">
        <v>1</v>
      </c>
      <c r="CJ138" s="2">
        <v>2</v>
      </c>
      <c r="CK138" s="2" t="s">
        <v>161</v>
      </c>
      <c r="CL138" s="2" t="s">
        <v>87</v>
      </c>
    </row>
    <row r="139" spans="1:90">
      <c r="A139" s="2" t="s">
        <v>88</v>
      </c>
      <c r="B139" s="2" t="s">
        <v>72</v>
      </c>
      <c r="C139" s="2" t="s">
        <v>73</v>
      </c>
      <c r="E139" s="2" t="str">
        <f>"009935802782"</f>
        <v>009935802782</v>
      </c>
      <c r="F139" s="3">
        <v>42867</v>
      </c>
      <c r="G139" s="2">
        <v>201711</v>
      </c>
      <c r="H139" s="2" t="s">
        <v>78</v>
      </c>
      <c r="I139" s="2" t="s">
        <v>79</v>
      </c>
      <c r="J139" s="2" t="s">
        <v>91</v>
      </c>
      <c r="K139" s="2" t="s">
        <v>77</v>
      </c>
      <c r="L139" s="2" t="s">
        <v>189</v>
      </c>
      <c r="M139" s="2" t="s">
        <v>98</v>
      </c>
      <c r="N139" s="2" t="s">
        <v>413</v>
      </c>
      <c r="O139" s="2" t="s">
        <v>95</v>
      </c>
      <c r="P139" s="2" t="str">
        <f>"STORES                        "</f>
        <v xml:space="preserve">STORES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14.03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2</v>
      </c>
      <c r="BI139" s="2">
        <v>9.6</v>
      </c>
      <c r="BJ139" s="2">
        <v>18.2</v>
      </c>
      <c r="BK139" s="2">
        <v>19</v>
      </c>
      <c r="BL139" s="2">
        <v>131.81</v>
      </c>
      <c r="BM139" s="2">
        <v>18.45</v>
      </c>
      <c r="BN139" s="2">
        <v>150.26</v>
      </c>
      <c r="BO139" s="2">
        <v>150.26</v>
      </c>
      <c r="BQ139" s="2" t="s">
        <v>414</v>
      </c>
      <c r="BR139" s="2" t="s">
        <v>330</v>
      </c>
      <c r="BS139" s="3">
        <v>42872</v>
      </c>
      <c r="BT139" s="4">
        <v>0.4375</v>
      </c>
      <c r="BU139" s="2" t="s">
        <v>190</v>
      </c>
      <c r="BW139" s="2" t="s">
        <v>229</v>
      </c>
      <c r="BX139" s="2" t="s">
        <v>415</v>
      </c>
      <c r="BY139" s="2">
        <v>90985.88</v>
      </c>
      <c r="CC139" s="2" t="s">
        <v>98</v>
      </c>
      <c r="CD139" s="2">
        <v>6530</v>
      </c>
      <c r="CE139" s="2" t="s">
        <v>253</v>
      </c>
      <c r="CF139" s="3">
        <v>42873</v>
      </c>
      <c r="CI139" s="2">
        <v>0</v>
      </c>
      <c r="CJ139" s="2">
        <v>0</v>
      </c>
      <c r="CK139" s="2" t="s">
        <v>99</v>
      </c>
      <c r="CL139" s="2" t="s">
        <v>87</v>
      </c>
    </row>
    <row r="140" spans="1:90">
      <c r="A140" s="2" t="s">
        <v>88</v>
      </c>
      <c r="B140" s="2" t="s">
        <v>72</v>
      </c>
      <c r="C140" s="2" t="s">
        <v>73</v>
      </c>
      <c r="E140" s="2" t="str">
        <f>"009936115722"</f>
        <v>009936115722</v>
      </c>
      <c r="F140" s="3">
        <v>42867</v>
      </c>
      <c r="G140" s="2">
        <v>201711</v>
      </c>
      <c r="H140" s="2" t="s">
        <v>78</v>
      </c>
      <c r="I140" s="2" t="s">
        <v>79</v>
      </c>
      <c r="J140" s="2" t="s">
        <v>76</v>
      </c>
      <c r="K140" s="2" t="s">
        <v>77</v>
      </c>
      <c r="L140" s="2" t="s">
        <v>89</v>
      </c>
      <c r="M140" s="2" t="s">
        <v>90</v>
      </c>
      <c r="N140" s="2" t="s">
        <v>76</v>
      </c>
      <c r="O140" s="2" t="s">
        <v>95</v>
      </c>
      <c r="P140" s="2" t="str">
        <f>".....                         "</f>
        <v xml:space="preserve">.....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38.909999999999997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3</v>
      </c>
      <c r="BI140" s="2">
        <v>79.900000000000006</v>
      </c>
      <c r="BJ140" s="2">
        <v>86.7</v>
      </c>
      <c r="BK140" s="2">
        <v>87</v>
      </c>
      <c r="BL140" s="2">
        <v>356.71</v>
      </c>
      <c r="BM140" s="2">
        <v>49.94</v>
      </c>
      <c r="BN140" s="2">
        <v>406.65</v>
      </c>
      <c r="BO140" s="2">
        <v>406.65</v>
      </c>
      <c r="BQ140" s="2" t="s">
        <v>97</v>
      </c>
      <c r="BR140" s="2" t="s">
        <v>408</v>
      </c>
      <c r="BS140" s="3">
        <v>42872</v>
      </c>
      <c r="BT140" s="4">
        <v>0.38541666666666669</v>
      </c>
      <c r="BU140" s="2" t="s">
        <v>416</v>
      </c>
      <c r="BV140" s="2" t="s">
        <v>87</v>
      </c>
      <c r="BY140" s="2">
        <v>433397.72</v>
      </c>
      <c r="CC140" s="2" t="s">
        <v>90</v>
      </c>
      <c r="CD140" s="2">
        <v>6000</v>
      </c>
      <c r="CF140" s="3">
        <v>42873</v>
      </c>
      <c r="CI140" s="2">
        <v>2</v>
      </c>
      <c r="CJ140" s="2">
        <v>3</v>
      </c>
      <c r="CK140" s="2" t="s">
        <v>104</v>
      </c>
      <c r="CL140" s="2" t="s">
        <v>87</v>
      </c>
    </row>
    <row r="141" spans="1:90">
      <c r="A141" s="2" t="s">
        <v>88</v>
      </c>
      <c r="B141" s="2" t="s">
        <v>72</v>
      </c>
      <c r="C141" s="2" t="s">
        <v>73</v>
      </c>
      <c r="E141" s="2" t="str">
        <f>"029907613746"</f>
        <v>029907613746</v>
      </c>
      <c r="F141" s="3">
        <v>42870</v>
      </c>
      <c r="G141" s="2">
        <v>201711</v>
      </c>
      <c r="H141" s="2" t="s">
        <v>176</v>
      </c>
      <c r="I141" s="2" t="s">
        <v>177</v>
      </c>
      <c r="J141" s="2" t="s">
        <v>209</v>
      </c>
      <c r="K141" s="2" t="s">
        <v>77</v>
      </c>
      <c r="L141" s="2" t="s">
        <v>78</v>
      </c>
      <c r="M141" s="2" t="s">
        <v>79</v>
      </c>
      <c r="N141" s="2" t="s">
        <v>417</v>
      </c>
      <c r="O141" s="2" t="s">
        <v>81</v>
      </c>
      <c r="P141" s="2" t="str">
        <f>"170 532 0523                  "</f>
        <v xml:space="preserve">170 532 0523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4.66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1.2</v>
      </c>
      <c r="BJ141" s="2">
        <v>0.5</v>
      </c>
      <c r="BK141" s="2">
        <v>1.5</v>
      </c>
      <c r="BL141" s="2">
        <v>42.1</v>
      </c>
      <c r="BM141" s="2">
        <v>5.89</v>
      </c>
      <c r="BN141" s="2">
        <v>47.99</v>
      </c>
      <c r="BO141" s="2">
        <v>47.99</v>
      </c>
      <c r="BQ141" s="2" t="s">
        <v>248</v>
      </c>
      <c r="BR141" s="2" t="s">
        <v>263</v>
      </c>
      <c r="BS141" s="3">
        <v>42871</v>
      </c>
      <c r="BT141" s="4">
        <v>0.41805555555555557</v>
      </c>
      <c r="BU141" s="2" t="s">
        <v>174</v>
      </c>
      <c r="BV141" s="2" t="s">
        <v>85</v>
      </c>
      <c r="BY141" s="2">
        <v>2400</v>
      </c>
      <c r="BZ141" s="2" t="s">
        <v>27</v>
      </c>
      <c r="CA141" s="2" t="s">
        <v>175</v>
      </c>
      <c r="CC141" s="2" t="s">
        <v>79</v>
      </c>
      <c r="CD141" s="2">
        <v>2000</v>
      </c>
      <c r="CE141" s="2" t="s">
        <v>120</v>
      </c>
      <c r="CF141" s="3">
        <v>42872</v>
      </c>
      <c r="CI141" s="2">
        <v>1</v>
      </c>
      <c r="CJ141" s="2">
        <v>1</v>
      </c>
      <c r="CK141" s="2">
        <v>21</v>
      </c>
      <c r="CL141" s="2" t="s">
        <v>87</v>
      </c>
    </row>
    <row r="142" spans="1:90">
      <c r="A142" s="2" t="s">
        <v>88</v>
      </c>
      <c r="B142" s="2" t="s">
        <v>72</v>
      </c>
      <c r="C142" s="2" t="s">
        <v>73</v>
      </c>
      <c r="E142" s="2" t="str">
        <f>"009935627124"</f>
        <v>009935627124</v>
      </c>
      <c r="F142" s="3">
        <v>42870</v>
      </c>
      <c r="G142" s="2">
        <v>201711</v>
      </c>
      <c r="H142" s="2" t="s">
        <v>192</v>
      </c>
      <c r="I142" s="2" t="s">
        <v>193</v>
      </c>
      <c r="J142" s="2" t="s">
        <v>91</v>
      </c>
      <c r="K142" s="2" t="s">
        <v>77</v>
      </c>
      <c r="L142" s="2" t="s">
        <v>78</v>
      </c>
      <c r="M142" s="2" t="s">
        <v>79</v>
      </c>
      <c r="N142" s="2" t="s">
        <v>91</v>
      </c>
      <c r="O142" s="2" t="s">
        <v>95</v>
      </c>
      <c r="P142" s="2" t="str">
        <f>"                              "</f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13.61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25</v>
      </c>
      <c r="BJ142" s="2">
        <v>7.2</v>
      </c>
      <c r="BK142" s="2">
        <v>25</v>
      </c>
      <c r="BL142" s="2">
        <v>128.05000000000001</v>
      </c>
      <c r="BM142" s="2">
        <v>17.93</v>
      </c>
      <c r="BN142" s="2">
        <v>145.97999999999999</v>
      </c>
      <c r="BO142" s="2">
        <v>145.97999999999999</v>
      </c>
      <c r="BQ142" s="2" t="s">
        <v>127</v>
      </c>
      <c r="BR142" s="2" t="s">
        <v>318</v>
      </c>
      <c r="BS142" s="3">
        <v>42871</v>
      </c>
      <c r="BT142" s="4">
        <v>0.49513888888888885</v>
      </c>
      <c r="BU142" s="2" t="s">
        <v>382</v>
      </c>
      <c r="BY142" s="2">
        <v>36000</v>
      </c>
      <c r="CA142" s="2" t="s">
        <v>175</v>
      </c>
      <c r="CC142" s="2" t="s">
        <v>79</v>
      </c>
      <c r="CD142" s="2">
        <v>2000</v>
      </c>
      <c r="CE142" s="2" t="s">
        <v>120</v>
      </c>
      <c r="CF142" s="3">
        <v>42872</v>
      </c>
      <c r="CI142" s="2">
        <v>0</v>
      </c>
      <c r="CJ142" s="2">
        <v>0</v>
      </c>
      <c r="CK142" s="2" t="s">
        <v>104</v>
      </c>
      <c r="CL142" s="2" t="s">
        <v>87</v>
      </c>
    </row>
    <row r="143" spans="1:90">
      <c r="A143" s="2" t="s">
        <v>88</v>
      </c>
      <c r="B143" s="2" t="s">
        <v>72</v>
      </c>
      <c r="C143" s="2" t="s">
        <v>73</v>
      </c>
      <c r="E143" s="2" t="str">
        <f>"009935802775"</f>
        <v>009935802775</v>
      </c>
      <c r="F143" s="3">
        <v>42870</v>
      </c>
      <c r="G143" s="2">
        <v>201711</v>
      </c>
      <c r="H143" s="2" t="s">
        <v>158</v>
      </c>
      <c r="I143" s="2" t="s">
        <v>159</v>
      </c>
      <c r="J143" s="2" t="s">
        <v>91</v>
      </c>
      <c r="K143" s="2" t="s">
        <v>77</v>
      </c>
      <c r="L143" s="2" t="s">
        <v>242</v>
      </c>
      <c r="M143" s="2" t="s">
        <v>170</v>
      </c>
      <c r="N143" s="2" t="s">
        <v>418</v>
      </c>
      <c r="O143" s="2" t="s">
        <v>95</v>
      </c>
      <c r="P143" s="2" t="str">
        <f>"                              "</f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7.65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12.2</v>
      </c>
      <c r="BJ143" s="2">
        <v>18.899999999999999</v>
      </c>
      <c r="BK143" s="2">
        <v>19</v>
      </c>
      <c r="BL143" s="2">
        <v>74.180000000000007</v>
      </c>
      <c r="BM143" s="2">
        <v>10.39</v>
      </c>
      <c r="BN143" s="2">
        <v>84.57</v>
      </c>
      <c r="BO143" s="2">
        <v>84.57</v>
      </c>
      <c r="BQ143" s="2" t="s">
        <v>83</v>
      </c>
      <c r="BS143" s="3">
        <v>42871</v>
      </c>
      <c r="BT143" s="4">
        <v>0.47916666666666669</v>
      </c>
      <c r="BU143" s="2" t="s">
        <v>83</v>
      </c>
      <c r="BV143" s="2" t="s">
        <v>85</v>
      </c>
      <c r="BY143" s="2">
        <v>94554.96</v>
      </c>
      <c r="CC143" s="2" t="s">
        <v>170</v>
      </c>
      <c r="CD143" s="2">
        <v>1201</v>
      </c>
      <c r="CE143" s="2" t="s">
        <v>120</v>
      </c>
      <c r="CF143" s="3">
        <v>42872</v>
      </c>
      <c r="CI143" s="2">
        <v>1</v>
      </c>
      <c r="CJ143" s="2">
        <v>1</v>
      </c>
      <c r="CK143" s="2" t="s">
        <v>142</v>
      </c>
      <c r="CL143" s="2" t="s">
        <v>87</v>
      </c>
    </row>
    <row r="144" spans="1:90">
      <c r="A144" s="2" t="s">
        <v>88</v>
      </c>
      <c r="B144" s="2" t="s">
        <v>72</v>
      </c>
      <c r="C144" s="2" t="s">
        <v>73</v>
      </c>
      <c r="E144" s="2" t="str">
        <f>"009936078419"</f>
        <v>009936078419</v>
      </c>
      <c r="F144" s="3">
        <v>42870</v>
      </c>
      <c r="G144" s="2">
        <v>201711</v>
      </c>
      <c r="H144" s="2" t="s">
        <v>158</v>
      </c>
      <c r="I144" s="2" t="s">
        <v>159</v>
      </c>
      <c r="J144" s="2" t="s">
        <v>91</v>
      </c>
      <c r="K144" s="2" t="s">
        <v>77</v>
      </c>
      <c r="L144" s="2" t="s">
        <v>186</v>
      </c>
      <c r="M144" s="2" t="s">
        <v>106</v>
      </c>
      <c r="N144" s="2" t="s">
        <v>358</v>
      </c>
      <c r="O144" s="2" t="s">
        <v>95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20.55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34.200000000000003</v>
      </c>
      <c r="BJ144" s="2">
        <v>41.9</v>
      </c>
      <c r="BK144" s="2">
        <v>42</v>
      </c>
      <c r="BL144" s="2">
        <v>190.75</v>
      </c>
      <c r="BM144" s="2">
        <v>26.71</v>
      </c>
      <c r="BN144" s="2">
        <v>217.46</v>
      </c>
      <c r="BO144" s="2">
        <v>217.46</v>
      </c>
      <c r="BQ144" s="2" t="s">
        <v>109</v>
      </c>
      <c r="BR144" s="2" t="s">
        <v>312</v>
      </c>
      <c r="BS144" s="3">
        <v>42872</v>
      </c>
      <c r="BT144" s="4">
        <v>0.41666666666666669</v>
      </c>
      <c r="BU144" s="2" t="s">
        <v>419</v>
      </c>
      <c r="BV144" s="2" t="s">
        <v>85</v>
      </c>
      <c r="BY144" s="2">
        <v>209572.09</v>
      </c>
      <c r="CC144" s="2" t="s">
        <v>106</v>
      </c>
      <c r="CD144" s="2">
        <v>7700</v>
      </c>
      <c r="CE144" s="2" t="s">
        <v>120</v>
      </c>
      <c r="CF144" s="3">
        <v>42873</v>
      </c>
      <c r="CI144" s="2">
        <v>2</v>
      </c>
      <c r="CJ144" s="2">
        <v>2</v>
      </c>
      <c r="CK144" s="2" t="s">
        <v>104</v>
      </c>
      <c r="CL144" s="2" t="s">
        <v>87</v>
      </c>
    </row>
    <row r="145" spans="1:90">
      <c r="A145" s="2" t="s">
        <v>88</v>
      </c>
      <c r="B145" s="2" t="s">
        <v>72</v>
      </c>
      <c r="C145" s="2" t="s">
        <v>73</v>
      </c>
      <c r="E145" s="2" t="str">
        <f>"009935802776"</f>
        <v>009935802776</v>
      </c>
      <c r="F145" s="3">
        <v>42870</v>
      </c>
      <c r="G145" s="2">
        <v>201711</v>
      </c>
      <c r="H145" s="2" t="s">
        <v>158</v>
      </c>
      <c r="I145" s="2" t="s">
        <v>159</v>
      </c>
      <c r="J145" s="2" t="s">
        <v>420</v>
      </c>
      <c r="K145" s="2" t="s">
        <v>77</v>
      </c>
      <c r="L145" s="2" t="s">
        <v>189</v>
      </c>
      <c r="M145" s="2" t="s">
        <v>98</v>
      </c>
      <c r="N145" s="2" t="s">
        <v>421</v>
      </c>
      <c r="O145" s="2" t="s">
        <v>95</v>
      </c>
      <c r="P145" s="2" t="str">
        <f>"                              "</f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29.42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18.600000000000001</v>
      </c>
      <c r="BJ145" s="2">
        <v>42</v>
      </c>
      <c r="BK145" s="2">
        <v>42</v>
      </c>
      <c r="BL145" s="2">
        <v>270.94</v>
      </c>
      <c r="BM145" s="2">
        <v>37.93</v>
      </c>
      <c r="BN145" s="2">
        <v>308.87</v>
      </c>
      <c r="BO145" s="2">
        <v>308.87</v>
      </c>
      <c r="BQ145" s="2" t="s">
        <v>190</v>
      </c>
      <c r="BS145" s="3">
        <v>42872</v>
      </c>
      <c r="BT145" s="4">
        <v>0.3756944444444445</v>
      </c>
      <c r="BU145" s="2" t="s">
        <v>190</v>
      </c>
      <c r="BY145" s="2">
        <v>209769.12</v>
      </c>
      <c r="CC145" s="2" t="s">
        <v>98</v>
      </c>
      <c r="CD145" s="2">
        <v>6530</v>
      </c>
      <c r="CE145" s="2" t="s">
        <v>120</v>
      </c>
      <c r="CF145" s="3">
        <v>42873</v>
      </c>
      <c r="CI145" s="2">
        <v>0</v>
      </c>
      <c r="CJ145" s="2">
        <v>0</v>
      </c>
      <c r="CK145" s="2" t="s">
        <v>99</v>
      </c>
      <c r="CL145" s="2" t="s">
        <v>87</v>
      </c>
    </row>
    <row r="146" spans="1:90">
      <c r="A146" s="2" t="s">
        <v>88</v>
      </c>
      <c r="B146" s="2" t="s">
        <v>72</v>
      </c>
      <c r="C146" s="2" t="s">
        <v>73</v>
      </c>
      <c r="E146" s="2" t="str">
        <f>"019910366948"</f>
        <v>019910366948</v>
      </c>
      <c r="F146" s="3">
        <v>42870</v>
      </c>
      <c r="G146" s="2">
        <v>201711</v>
      </c>
      <c r="H146" s="2" t="s">
        <v>105</v>
      </c>
      <c r="I146" s="2" t="s">
        <v>106</v>
      </c>
      <c r="J146" s="2" t="s">
        <v>91</v>
      </c>
      <c r="K146" s="2" t="s">
        <v>77</v>
      </c>
      <c r="L146" s="2" t="s">
        <v>158</v>
      </c>
      <c r="M146" s="2" t="s">
        <v>159</v>
      </c>
      <c r="N146" s="2" t="s">
        <v>91</v>
      </c>
      <c r="O146" s="2" t="s">
        <v>95</v>
      </c>
      <c r="P146" s="2" t="str">
        <f>"1705150193                    "</f>
        <v xml:space="preserve">1705150193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153.16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7</v>
      </c>
      <c r="BI146" s="2">
        <v>217.2</v>
      </c>
      <c r="BJ146" s="2">
        <v>366.1</v>
      </c>
      <c r="BK146" s="2">
        <v>367</v>
      </c>
      <c r="BL146" s="2">
        <v>1389.36</v>
      </c>
      <c r="BM146" s="2">
        <v>194.51</v>
      </c>
      <c r="BN146" s="2">
        <v>1583.87</v>
      </c>
      <c r="BO146" s="2">
        <v>1583.87</v>
      </c>
      <c r="BQ146" s="2" t="s">
        <v>100</v>
      </c>
      <c r="BR146" s="2" t="s">
        <v>109</v>
      </c>
      <c r="BS146" s="3">
        <v>42873</v>
      </c>
      <c r="BT146" s="4">
        <v>0.49305555555555558</v>
      </c>
      <c r="BU146" s="2" t="s">
        <v>148</v>
      </c>
      <c r="BV146" s="2" t="s">
        <v>87</v>
      </c>
      <c r="BW146" s="2" t="s">
        <v>163</v>
      </c>
      <c r="BX146" s="2" t="s">
        <v>164</v>
      </c>
      <c r="BY146" s="2">
        <v>1830638.8</v>
      </c>
      <c r="CC146" s="2" t="s">
        <v>159</v>
      </c>
      <c r="CD146" s="2">
        <v>2146</v>
      </c>
      <c r="CE146" s="2" t="s">
        <v>165</v>
      </c>
      <c r="CF146" s="3">
        <v>42874</v>
      </c>
      <c r="CI146" s="2">
        <v>2</v>
      </c>
      <c r="CJ146" s="2">
        <v>3</v>
      </c>
      <c r="CK146" s="2" t="s">
        <v>104</v>
      </c>
      <c r="CL146" s="2" t="s">
        <v>87</v>
      </c>
    </row>
    <row r="147" spans="1:90">
      <c r="A147" s="2" t="s">
        <v>88</v>
      </c>
      <c r="B147" s="2" t="s">
        <v>72</v>
      </c>
      <c r="C147" s="2" t="s">
        <v>73</v>
      </c>
      <c r="E147" s="2" t="str">
        <f>"009936115723"</f>
        <v>009936115723</v>
      </c>
      <c r="F147" s="3">
        <v>42870</v>
      </c>
      <c r="G147" s="2">
        <v>201711</v>
      </c>
      <c r="H147" s="2" t="s">
        <v>158</v>
      </c>
      <c r="I147" s="2" t="s">
        <v>159</v>
      </c>
      <c r="J147" s="2" t="s">
        <v>91</v>
      </c>
      <c r="K147" s="2" t="s">
        <v>77</v>
      </c>
      <c r="L147" s="2" t="s">
        <v>89</v>
      </c>
      <c r="M147" s="2" t="s">
        <v>90</v>
      </c>
      <c r="N147" s="2" t="s">
        <v>422</v>
      </c>
      <c r="O147" s="2" t="s">
        <v>95</v>
      </c>
      <c r="P147" s="2" t="str">
        <f t="shared" ref="P147:P165" si="5">"                              "</f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9.5299999999999994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7.8</v>
      </c>
      <c r="BJ147" s="2">
        <v>8.1</v>
      </c>
      <c r="BK147" s="2">
        <v>8</v>
      </c>
      <c r="BL147" s="2">
        <v>91.17</v>
      </c>
      <c r="BM147" s="2">
        <v>12.76</v>
      </c>
      <c r="BN147" s="2">
        <v>103.93</v>
      </c>
      <c r="BO147" s="2">
        <v>103.93</v>
      </c>
      <c r="BQ147" s="2" t="s">
        <v>97</v>
      </c>
      <c r="BR147" s="2" t="s">
        <v>423</v>
      </c>
      <c r="BS147" s="3">
        <v>42872</v>
      </c>
      <c r="BT147" s="4">
        <v>0.38541666666666669</v>
      </c>
      <c r="BU147" s="2" t="s">
        <v>416</v>
      </c>
      <c r="BV147" s="2" t="s">
        <v>85</v>
      </c>
      <c r="BY147" s="2">
        <v>40396.800000000003</v>
      </c>
      <c r="CC147" s="2" t="s">
        <v>90</v>
      </c>
      <c r="CD147" s="2">
        <v>6055</v>
      </c>
      <c r="CE147" s="2" t="s">
        <v>120</v>
      </c>
      <c r="CF147" s="3">
        <v>42873</v>
      </c>
      <c r="CI147" s="2">
        <v>2</v>
      </c>
      <c r="CJ147" s="2">
        <v>2</v>
      </c>
      <c r="CK147" s="2" t="s">
        <v>104</v>
      </c>
      <c r="CL147" s="2" t="s">
        <v>87</v>
      </c>
    </row>
    <row r="148" spans="1:90">
      <c r="A148" s="2" t="s">
        <v>88</v>
      </c>
      <c r="B148" s="2" t="s">
        <v>72</v>
      </c>
      <c r="C148" s="2" t="s">
        <v>73</v>
      </c>
      <c r="E148" s="2" t="str">
        <f>"009935802773"</f>
        <v>009935802773</v>
      </c>
      <c r="F148" s="3">
        <v>42870</v>
      </c>
      <c r="G148" s="2">
        <v>201711</v>
      </c>
      <c r="H148" s="2" t="s">
        <v>158</v>
      </c>
      <c r="I148" s="2" t="s">
        <v>159</v>
      </c>
      <c r="J148" s="2" t="s">
        <v>91</v>
      </c>
      <c r="K148" s="2" t="s">
        <v>77</v>
      </c>
      <c r="L148" s="2" t="s">
        <v>327</v>
      </c>
      <c r="M148" s="2" t="s">
        <v>328</v>
      </c>
      <c r="N148" s="2" t="s">
        <v>424</v>
      </c>
      <c r="O148" s="2" t="s">
        <v>95</v>
      </c>
      <c r="P148" s="2" t="str">
        <f t="shared" si="5"/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9.4600000000000009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5.5</v>
      </c>
      <c r="BJ148" s="2">
        <v>5.9</v>
      </c>
      <c r="BK148" s="2">
        <v>6</v>
      </c>
      <c r="BL148" s="2">
        <v>90.51</v>
      </c>
      <c r="BM148" s="2">
        <v>12.67</v>
      </c>
      <c r="BN148" s="2">
        <v>103.18</v>
      </c>
      <c r="BO148" s="2">
        <v>103.18</v>
      </c>
      <c r="BQ148" s="2" t="s">
        <v>245</v>
      </c>
      <c r="BR148" s="2" t="s">
        <v>122</v>
      </c>
      <c r="BS148" s="3">
        <v>42871</v>
      </c>
      <c r="BT148" s="4">
        <v>0.33333333333333331</v>
      </c>
      <c r="BU148" s="2" t="s">
        <v>331</v>
      </c>
      <c r="BV148" s="2" t="s">
        <v>85</v>
      </c>
      <c r="BY148" s="2">
        <v>29415.74</v>
      </c>
      <c r="CC148" s="2" t="s">
        <v>328</v>
      </c>
      <c r="CD148" s="2">
        <v>9700</v>
      </c>
      <c r="CE148" s="2" t="s">
        <v>120</v>
      </c>
      <c r="CF148" s="3">
        <v>42872</v>
      </c>
      <c r="CI148" s="2">
        <v>1</v>
      </c>
      <c r="CJ148" s="2">
        <v>1</v>
      </c>
      <c r="CK148" s="2" t="s">
        <v>161</v>
      </c>
      <c r="CL148" s="2" t="s">
        <v>87</v>
      </c>
    </row>
    <row r="149" spans="1:90">
      <c r="A149" s="2" t="s">
        <v>88</v>
      </c>
      <c r="B149" s="2" t="s">
        <v>72</v>
      </c>
      <c r="C149" s="2" t="s">
        <v>73</v>
      </c>
      <c r="E149" s="2" t="str">
        <f>"009935802772"</f>
        <v>009935802772</v>
      </c>
      <c r="F149" s="3">
        <v>42870</v>
      </c>
      <c r="G149" s="2">
        <v>201711</v>
      </c>
      <c r="H149" s="2" t="s">
        <v>158</v>
      </c>
      <c r="I149" s="2" t="s">
        <v>159</v>
      </c>
      <c r="J149" s="2" t="s">
        <v>91</v>
      </c>
      <c r="K149" s="2" t="s">
        <v>77</v>
      </c>
      <c r="L149" s="2" t="s">
        <v>243</v>
      </c>
      <c r="M149" s="2" t="s">
        <v>244</v>
      </c>
      <c r="N149" s="2" t="s">
        <v>425</v>
      </c>
      <c r="O149" s="2" t="s">
        <v>95</v>
      </c>
      <c r="P149" s="2" t="str">
        <f t="shared" si="5"/>
        <v xml:space="preserve"> 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55.52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4</v>
      </c>
      <c r="BI149" s="2">
        <v>81</v>
      </c>
      <c r="BJ149" s="2">
        <v>15.7</v>
      </c>
      <c r="BK149" s="2">
        <v>81</v>
      </c>
      <c r="BL149" s="2">
        <v>506.86</v>
      </c>
      <c r="BM149" s="2">
        <v>70.959999999999994</v>
      </c>
      <c r="BN149" s="2">
        <v>577.82000000000005</v>
      </c>
      <c r="BO149" s="2">
        <v>577.82000000000005</v>
      </c>
      <c r="BQ149" s="2" t="s">
        <v>245</v>
      </c>
      <c r="BR149" s="2" t="s">
        <v>122</v>
      </c>
      <c r="BS149" s="3">
        <v>42871</v>
      </c>
      <c r="BT149" s="4">
        <v>0.42499999999999999</v>
      </c>
      <c r="BU149" s="2" t="s">
        <v>245</v>
      </c>
      <c r="BV149" s="2" t="s">
        <v>85</v>
      </c>
      <c r="BY149" s="2">
        <v>78443.69</v>
      </c>
      <c r="CC149" s="2" t="s">
        <v>244</v>
      </c>
      <c r="CD149" s="2">
        <v>8600</v>
      </c>
      <c r="CE149" s="2" t="s">
        <v>120</v>
      </c>
      <c r="CF149" s="3">
        <v>42873</v>
      </c>
      <c r="CI149" s="2">
        <v>2</v>
      </c>
      <c r="CJ149" s="2">
        <v>1</v>
      </c>
      <c r="CK149" s="2" t="s">
        <v>196</v>
      </c>
      <c r="CL149" s="2" t="s">
        <v>87</v>
      </c>
    </row>
    <row r="150" spans="1:90">
      <c r="A150" s="2" t="s">
        <v>88</v>
      </c>
      <c r="B150" s="2" t="s">
        <v>72</v>
      </c>
      <c r="C150" s="2" t="s">
        <v>73</v>
      </c>
      <c r="E150" s="2" t="str">
        <f>"009936115940"</f>
        <v>009936115940</v>
      </c>
      <c r="F150" s="3">
        <v>42870</v>
      </c>
      <c r="G150" s="2">
        <v>201711</v>
      </c>
      <c r="H150" s="2" t="s">
        <v>158</v>
      </c>
      <c r="I150" s="2" t="s">
        <v>159</v>
      </c>
      <c r="J150" s="2" t="s">
        <v>91</v>
      </c>
      <c r="K150" s="2" t="s">
        <v>77</v>
      </c>
      <c r="L150" s="2" t="s">
        <v>138</v>
      </c>
      <c r="M150" s="2" t="s">
        <v>139</v>
      </c>
      <c r="N150" s="2" t="s">
        <v>426</v>
      </c>
      <c r="O150" s="2" t="s">
        <v>95</v>
      </c>
      <c r="P150" s="2" t="str">
        <f t="shared" si="5"/>
        <v xml:space="preserve"> 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17.600000000000001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3</v>
      </c>
      <c r="BI150" s="2">
        <v>54.5</v>
      </c>
      <c r="BJ150" s="2">
        <v>17.3</v>
      </c>
      <c r="BK150" s="2">
        <v>55</v>
      </c>
      <c r="BL150" s="2">
        <v>164.05</v>
      </c>
      <c r="BM150" s="2">
        <v>22.97</v>
      </c>
      <c r="BN150" s="2">
        <v>187.02</v>
      </c>
      <c r="BO150" s="2">
        <v>187.02</v>
      </c>
      <c r="BQ150" s="2" t="s">
        <v>140</v>
      </c>
      <c r="BR150" s="2" t="s">
        <v>239</v>
      </c>
      <c r="BS150" s="3">
        <v>42871</v>
      </c>
      <c r="BT150" s="4">
        <v>0.47916666666666669</v>
      </c>
      <c r="BU150" s="2" t="s">
        <v>241</v>
      </c>
      <c r="BV150" s="2" t="s">
        <v>85</v>
      </c>
      <c r="BY150" s="2">
        <v>86421.02</v>
      </c>
      <c r="CC150" s="2" t="s">
        <v>139</v>
      </c>
      <c r="CD150" s="2">
        <v>9301</v>
      </c>
      <c r="CE150" s="2" t="s">
        <v>120</v>
      </c>
      <c r="CF150" s="3">
        <v>42872</v>
      </c>
      <c r="CI150" s="2">
        <v>1</v>
      </c>
      <c r="CJ150" s="2">
        <v>1</v>
      </c>
      <c r="CK150" s="2" t="s">
        <v>142</v>
      </c>
      <c r="CL150" s="2" t="s">
        <v>87</v>
      </c>
    </row>
    <row r="151" spans="1:90">
      <c r="A151" s="2" t="s">
        <v>88</v>
      </c>
      <c r="B151" s="2" t="s">
        <v>72</v>
      </c>
      <c r="C151" s="2" t="s">
        <v>73</v>
      </c>
      <c r="E151" s="2" t="str">
        <f>"069907498229"</f>
        <v>069907498229</v>
      </c>
      <c r="F151" s="3">
        <v>42870</v>
      </c>
      <c r="G151" s="2">
        <v>201711</v>
      </c>
      <c r="H151" s="2" t="s">
        <v>151</v>
      </c>
      <c r="I151" s="2" t="s">
        <v>152</v>
      </c>
      <c r="J151" s="2" t="s">
        <v>91</v>
      </c>
      <c r="K151" s="2" t="s">
        <v>77</v>
      </c>
      <c r="L151" s="2" t="s">
        <v>78</v>
      </c>
      <c r="M151" s="2" t="s">
        <v>79</v>
      </c>
      <c r="N151" s="2" t="s">
        <v>91</v>
      </c>
      <c r="O151" s="2" t="s">
        <v>95</v>
      </c>
      <c r="P151" s="2" t="str">
        <f t="shared" si="5"/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154.19999999999999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3</v>
      </c>
      <c r="BI151" s="2">
        <v>470</v>
      </c>
      <c r="BJ151" s="2">
        <v>214.5</v>
      </c>
      <c r="BK151" s="2">
        <v>470</v>
      </c>
      <c r="BL151" s="2">
        <v>1398.75</v>
      </c>
      <c r="BM151" s="2">
        <v>195.83</v>
      </c>
      <c r="BN151" s="2">
        <v>1594.58</v>
      </c>
      <c r="BO151" s="2">
        <v>1594.58</v>
      </c>
      <c r="BS151" s="3">
        <v>42871</v>
      </c>
      <c r="BT151" s="4">
        <v>0.5</v>
      </c>
      <c r="BU151" s="2" t="s">
        <v>400</v>
      </c>
      <c r="BV151" s="2" t="s">
        <v>85</v>
      </c>
      <c r="BY151" s="2">
        <v>1072440</v>
      </c>
      <c r="CC151" s="2" t="s">
        <v>79</v>
      </c>
      <c r="CD151" s="2">
        <v>2000</v>
      </c>
      <c r="CE151" s="2" t="s">
        <v>120</v>
      </c>
      <c r="CF151" s="3">
        <v>42872</v>
      </c>
      <c r="CI151" s="2">
        <v>1</v>
      </c>
      <c r="CJ151" s="2">
        <v>1</v>
      </c>
      <c r="CK151" s="2" t="s">
        <v>133</v>
      </c>
      <c r="CL151" s="2" t="s">
        <v>87</v>
      </c>
    </row>
    <row r="152" spans="1:90">
      <c r="A152" s="2" t="s">
        <v>88</v>
      </c>
      <c r="B152" s="2" t="s">
        <v>72</v>
      </c>
      <c r="C152" s="2" t="s">
        <v>73</v>
      </c>
      <c r="E152" s="2" t="str">
        <f>"009935998994"</f>
        <v>009935998994</v>
      </c>
      <c r="F152" s="3">
        <v>42870</v>
      </c>
      <c r="G152" s="2">
        <v>201711</v>
      </c>
      <c r="H152" s="2" t="s">
        <v>158</v>
      </c>
      <c r="I152" s="2" t="s">
        <v>159</v>
      </c>
      <c r="J152" s="2" t="s">
        <v>91</v>
      </c>
      <c r="K152" s="2" t="s">
        <v>77</v>
      </c>
      <c r="L152" s="2" t="s">
        <v>176</v>
      </c>
      <c r="M152" s="2" t="s">
        <v>177</v>
      </c>
      <c r="N152" s="2" t="s">
        <v>209</v>
      </c>
      <c r="O152" s="2" t="s">
        <v>95</v>
      </c>
      <c r="P152" s="2" t="str">
        <f t="shared" si="5"/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6.55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3.8</v>
      </c>
      <c r="BJ152" s="2">
        <v>3.8</v>
      </c>
      <c r="BK152" s="2">
        <v>4</v>
      </c>
      <c r="BL152" s="2">
        <v>64.2</v>
      </c>
      <c r="BM152" s="2">
        <v>8.99</v>
      </c>
      <c r="BN152" s="2">
        <v>73.19</v>
      </c>
      <c r="BO152" s="2">
        <v>73.19</v>
      </c>
      <c r="BQ152" s="2" t="s">
        <v>427</v>
      </c>
      <c r="BR152" s="2" t="s">
        <v>428</v>
      </c>
      <c r="BS152" s="3">
        <v>42871</v>
      </c>
      <c r="BT152" s="4">
        <v>0.47569444444444442</v>
      </c>
      <c r="BU152" s="2" t="s">
        <v>429</v>
      </c>
      <c r="BV152" s="2" t="s">
        <v>85</v>
      </c>
      <c r="BY152" s="2">
        <v>19204.66</v>
      </c>
      <c r="CC152" s="2" t="s">
        <v>177</v>
      </c>
      <c r="CD152" s="2">
        <v>4091</v>
      </c>
      <c r="CE152" s="2" t="s">
        <v>120</v>
      </c>
      <c r="CF152" s="3">
        <v>42872</v>
      </c>
      <c r="CI152" s="2">
        <v>1</v>
      </c>
      <c r="CJ152" s="2">
        <v>1</v>
      </c>
      <c r="CK152" s="2" t="s">
        <v>146</v>
      </c>
      <c r="CL152" s="2" t="s">
        <v>87</v>
      </c>
    </row>
    <row r="153" spans="1:90">
      <c r="A153" s="2" t="s">
        <v>71</v>
      </c>
      <c r="B153" s="2" t="s">
        <v>72</v>
      </c>
      <c r="C153" s="2" t="s">
        <v>73</v>
      </c>
      <c r="E153" s="2" t="str">
        <f>"089901259010"</f>
        <v>089901259010</v>
      </c>
      <c r="F153" s="3">
        <v>42832</v>
      </c>
      <c r="G153" s="2">
        <v>201711</v>
      </c>
      <c r="H153" s="2" t="s">
        <v>138</v>
      </c>
      <c r="I153" s="2" t="s">
        <v>139</v>
      </c>
      <c r="J153" s="2" t="s">
        <v>430</v>
      </c>
      <c r="K153" s="2" t="s">
        <v>77</v>
      </c>
      <c r="L153" s="2" t="s">
        <v>78</v>
      </c>
      <c r="M153" s="2" t="s">
        <v>79</v>
      </c>
      <c r="N153" s="2" t="s">
        <v>430</v>
      </c>
      <c r="O153" s="2" t="s">
        <v>95</v>
      </c>
      <c r="P153" s="2" t="str">
        <f t="shared" si="5"/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90.73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7</v>
      </c>
      <c r="BI153" s="2">
        <v>55</v>
      </c>
      <c r="BJ153" s="2">
        <v>295.7</v>
      </c>
      <c r="BK153" s="2">
        <v>296</v>
      </c>
      <c r="BL153" s="2">
        <v>888.1</v>
      </c>
      <c r="BM153" s="2">
        <v>124.33</v>
      </c>
      <c r="BN153" s="2">
        <v>1012.43</v>
      </c>
      <c r="BO153" s="2">
        <v>1012.43</v>
      </c>
      <c r="BS153" s="3">
        <v>42835</v>
      </c>
      <c r="BT153" s="4">
        <v>0.6875</v>
      </c>
      <c r="BU153" s="2" t="s">
        <v>84</v>
      </c>
      <c r="BV153" s="2" t="s">
        <v>85</v>
      </c>
      <c r="BY153" s="2">
        <v>1478400</v>
      </c>
      <c r="CC153" s="2" t="s">
        <v>79</v>
      </c>
      <c r="CD153" s="2">
        <v>2196</v>
      </c>
      <c r="CE153" s="2" t="s">
        <v>120</v>
      </c>
      <c r="CF153" s="3">
        <v>42836</v>
      </c>
      <c r="CI153" s="2">
        <v>0</v>
      </c>
      <c r="CJ153" s="2">
        <v>0</v>
      </c>
      <c r="CK153" s="2" t="s">
        <v>133</v>
      </c>
      <c r="CL153" s="2" t="s">
        <v>87</v>
      </c>
    </row>
    <row r="154" spans="1:90">
      <c r="A154" s="2" t="s">
        <v>88</v>
      </c>
      <c r="B154" s="2" t="s">
        <v>72</v>
      </c>
      <c r="C154" s="2" t="s">
        <v>73</v>
      </c>
      <c r="E154" s="2" t="str">
        <f>"009935903631"</f>
        <v>009935903631</v>
      </c>
      <c r="F154" s="3">
        <v>42870</v>
      </c>
      <c r="G154" s="2">
        <v>201711</v>
      </c>
      <c r="H154" s="2" t="s">
        <v>111</v>
      </c>
      <c r="I154" s="2" t="s">
        <v>112</v>
      </c>
      <c r="J154" s="2" t="s">
        <v>147</v>
      </c>
      <c r="K154" s="2" t="s">
        <v>77</v>
      </c>
      <c r="L154" s="2" t="s">
        <v>78</v>
      </c>
      <c r="M154" s="2" t="s">
        <v>79</v>
      </c>
      <c r="N154" s="2" t="s">
        <v>91</v>
      </c>
      <c r="O154" s="2" t="s">
        <v>95</v>
      </c>
      <c r="P154" s="2" t="str">
        <f t="shared" si="5"/>
        <v xml:space="preserve"> 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25.09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2</v>
      </c>
      <c r="BI154" s="2">
        <v>9</v>
      </c>
      <c r="BJ154" s="2">
        <v>83.2</v>
      </c>
      <c r="BK154" s="2">
        <v>84</v>
      </c>
      <c r="BL154" s="2">
        <v>231.75</v>
      </c>
      <c r="BM154" s="2">
        <v>32.450000000000003</v>
      </c>
      <c r="BN154" s="2">
        <v>264.2</v>
      </c>
      <c r="BO154" s="2">
        <v>264.2</v>
      </c>
      <c r="BQ154" s="2" t="s">
        <v>148</v>
      </c>
      <c r="BR154" s="2" t="s">
        <v>431</v>
      </c>
      <c r="BS154" s="3">
        <v>42871</v>
      </c>
      <c r="BT154" s="4">
        <v>0.49513888888888885</v>
      </c>
      <c r="BU154" s="2" t="s">
        <v>382</v>
      </c>
      <c r="BV154" s="2" t="s">
        <v>85</v>
      </c>
      <c r="BY154" s="2">
        <v>416000</v>
      </c>
      <c r="CA154" s="2" t="s">
        <v>175</v>
      </c>
      <c r="CC154" s="2" t="s">
        <v>79</v>
      </c>
      <c r="CD154" s="2">
        <v>2000</v>
      </c>
      <c r="CE154" s="2" t="s">
        <v>120</v>
      </c>
      <c r="CF154" s="3">
        <v>42872</v>
      </c>
      <c r="CI154" s="2">
        <v>1</v>
      </c>
      <c r="CJ154" s="2">
        <v>1</v>
      </c>
      <c r="CK154" s="2" t="s">
        <v>129</v>
      </c>
      <c r="CL154" s="2" t="s">
        <v>87</v>
      </c>
    </row>
    <row r="155" spans="1:90">
      <c r="A155" s="2" t="s">
        <v>88</v>
      </c>
      <c r="B155" s="2" t="s">
        <v>72</v>
      </c>
      <c r="C155" s="2" t="s">
        <v>73</v>
      </c>
      <c r="E155" s="2" t="str">
        <f>"009936334622"</f>
        <v>009936334622</v>
      </c>
      <c r="F155" s="3">
        <v>42870</v>
      </c>
      <c r="G155" s="2">
        <v>201711</v>
      </c>
      <c r="H155" s="2" t="s">
        <v>166</v>
      </c>
      <c r="I155" s="2" t="s">
        <v>167</v>
      </c>
      <c r="J155" s="2" t="s">
        <v>76</v>
      </c>
      <c r="K155" s="2" t="s">
        <v>77</v>
      </c>
      <c r="L155" s="2" t="s">
        <v>158</v>
      </c>
      <c r="M155" s="2" t="s">
        <v>159</v>
      </c>
      <c r="N155" s="2" t="s">
        <v>91</v>
      </c>
      <c r="O155" s="2" t="s">
        <v>95</v>
      </c>
      <c r="P155" s="2" t="str">
        <f t="shared" si="5"/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20.43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21.5</v>
      </c>
      <c r="BJ155" s="2">
        <v>43.3</v>
      </c>
      <c r="BK155" s="2">
        <v>44</v>
      </c>
      <c r="BL155" s="2">
        <v>189.64</v>
      </c>
      <c r="BM155" s="2">
        <v>26.55</v>
      </c>
      <c r="BN155" s="2">
        <v>216.19</v>
      </c>
      <c r="BO155" s="2">
        <v>216.19</v>
      </c>
      <c r="BQ155" s="2" t="s">
        <v>100</v>
      </c>
      <c r="BR155" s="2" t="s">
        <v>168</v>
      </c>
      <c r="BS155" s="3">
        <v>42871</v>
      </c>
      <c r="BT155" s="4">
        <v>0.49513888888888885</v>
      </c>
      <c r="BU155" s="2" t="s">
        <v>382</v>
      </c>
      <c r="BV155" s="2" t="s">
        <v>85</v>
      </c>
      <c r="BY155" s="2">
        <v>216600</v>
      </c>
      <c r="CA155" s="2" t="s">
        <v>175</v>
      </c>
      <c r="CC155" s="2" t="s">
        <v>159</v>
      </c>
      <c r="CD155" s="2">
        <v>2146</v>
      </c>
      <c r="CE155" s="2" t="s">
        <v>120</v>
      </c>
      <c r="CF155" s="3">
        <v>42872</v>
      </c>
      <c r="CI155" s="2">
        <v>1</v>
      </c>
      <c r="CJ155" s="2">
        <v>1</v>
      </c>
      <c r="CK155" s="2" t="s">
        <v>161</v>
      </c>
      <c r="CL155" s="2" t="s">
        <v>87</v>
      </c>
    </row>
    <row r="156" spans="1:90">
      <c r="A156" s="2" t="s">
        <v>71</v>
      </c>
      <c r="B156" s="2" t="s">
        <v>72</v>
      </c>
      <c r="C156" s="2" t="s">
        <v>73</v>
      </c>
      <c r="E156" s="2" t="str">
        <f>"029907627800"</f>
        <v>029907627800</v>
      </c>
      <c r="F156" s="3">
        <v>42871</v>
      </c>
      <c r="G156" s="2">
        <v>201711</v>
      </c>
      <c r="H156" s="2" t="s">
        <v>176</v>
      </c>
      <c r="I156" s="2" t="s">
        <v>177</v>
      </c>
      <c r="J156" s="2" t="s">
        <v>209</v>
      </c>
      <c r="K156" s="2" t="s">
        <v>77</v>
      </c>
      <c r="L156" s="2" t="s">
        <v>143</v>
      </c>
      <c r="M156" s="2" t="s">
        <v>144</v>
      </c>
      <c r="N156" s="2" t="s">
        <v>432</v>
      </c>
      <c r="O156" s="2" t="s">
        <v>81</v>
      </c>
      <c r="P156" s="2" t="str">
        <f t="shared" si="5"/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6.54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</v>
      </c>
      <c r="BJ156" s="2">
        <v>0.2</v>
      </c>
      <c r="BK156" s="2">
        <v>1</v>
      </c>
      <c r="BL156" s="2">
        <v>59.1</v>
      </c>
      <c r="BM156" s="2">
        <v>8.27</v>
      </c>
      <c r="BN156" s="2">
        <v>67.37</v>
      </c>
      <c r="BO156" s="2">
        <v>67.37</v>
      </c>
      <c r="BQ156" s="2" t="s">
        <v>145</v>
      </c>
      <c r="BR156" s="2" t="s">
        <v>210</v>
      </c>
      <c r="BS156" s="3">
        <v>42873</v>
      </c>
      <c r="BT156" s="4">
        <v>0.70138888888888884</v>
      </c>
      <c r="BU156" s="2" t="s">
        <v>145</v>
      </c>
      <c r="BV156" s="2" t="s">
        <v>87</v>
      </c>
      <c r="BW156" s="2" t="s">
        <v>254</v>
      </c>
      <c r="BX156" s="2" t="s">
        <v>433</v>
      </c>
      <c r="BY156" s="2">
        <v>1200</v>
      </c>
      <c r="BZ156" s="2" t="s">
        <v>27</v>
      </c>
      <c r="CC156" s="2" t="s">
        <v>144</v>
      </c>
      <c r="CD156" s="2">
        <v>2940</v>
      </c>
      <c r="CE156" s="2" t="s">
        <v>120</v>
      </c>
      <c r="CF156" s="3">
        <v>42877</v>
      </c>
      <c r="CI156" s="2">
        <v>1</v>
      </c>
      <c r="CJ156" s="2">
        <v>2</v>
      </c>
      <c r="CK156" s="2">
        <v>24</v>
      </c>
      <c r="CL156" s="2" t="s">
        <v>87</v>
      </c>
    </row>
    <row r="157" spans="1:90">
      <c r="A157" s="2" t="s">
        <v>71</v>
      </c>
      <c r="B157" s="2" t="s">
        <v>72</v>
      </c>
      <c r="C157" s="2" t="s">
        <v>73</v>
      </c>
      <c r="E157" s="2" t="str">
        <f>"029907627791"</f>
        <v>029907627791</v>
      </c>
      <c r="F157" s="3">
        <v>42871</v>
      </c>
      <c r="G157" s="2">
        <v>201711</v>
      </c>
      <c r="H157" s="2" t="s">
        <v>176</v>
      </c>
      <c r="I157" s="2" t="s">
        <v>177</v>
      </c>
      <c r="J157" s="2" t="s">
        <v>209</v>
      </c>
      <c r="K157" s="2" t="s">
        <v>77</v>
      </c>
      <c r="L157" s="2" t="s">
        <v>186</v>
      </c>
      <c r="M157" s="2" t="s">
        <v>106</v>
      </c>
      <c r="N157" s="2" t="s">
        <v>434</v>
      </c>
      <c r="O157" s="2" t="s">
        <v>95</v>
      </c>
      <c r="P157" s="2" t="str">
        <f t="shared" si="5"/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9.5299999999999994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3</v>
      </c>
      <c r="BJ157" s="2">
        <v>2.4</v>
      </c>
      <c r="BK157" s="2">
        <v>3</v>
      </c>
      <c r="BL157" s="2">
        <v>91.17</v>
      </c>
      <c r="BM157" s="2">
        <v>12.76</v>
      </c>
      <c r="BN157" s="2">
        <v>103.93</v>
      </c>
      <c r="BO157" s="2">
        <v>103.93</v>
      </c>
      <c r="BQ157" s="2" t="s">
        <v>435</v>
      </c>
      <c r="BR157" s="2" t="s">
        <v>210</v>
      </c>
      <c r="BS157" s="3">
        <v>42873</v>
      </c>
      <c r="BT157" s="4">
        <v>0.48541666666666666</v>
      </c>
      <c r="BU157" s="2" t="s">
        <v>436</v>
      </c>
      <c r="BV157" s="2" t="s">
        <v>85</v>
      </c>
      <c r="BY157" s="2">
        <v>12000</v>
      </c>
      <c r="CA157" s="2" t="s">
        <v>208</v>
      </c>
      <c r="CC157" s="2" t="s">
        <v>106</v>
      </c>
      <c r="CD157" s="2">
        <v>8000</v>
      </c>
      <c r="CE157" s="2" t="s">
        <v>120</v>
      </c>
      <c r="CF157" s="3">
        <v>42873</v>
      </c>
      <c r="CI157" s="2">
        <v>2</v>
      </c>
      <c r="CJ157" s="2">
        <v>2</v>
      </c>
      <c r="CK157" s="2" t="s">
        <v>104</v>
      </c>
      <c r="CL157" s="2" t="s">
        <v>87</v>
      </c>
    </row>
    <row r="158" spans="1:90">
      <c r="A158" s="2" t="s">
        <v>88</v>
      </c>
      <c r="B158" s="2" t="s">
        <v>72</v>
      </c>
      <c r="C158" s="2" t="s">
        <v>73</v>
      </c>
      <c r="E158" s="2" t="str">
        <f>"069907886376"</f>
        <v>069907886376</v>
      </c>
      <c r="F158" s="3">
        <v>42871</v>
      </c>
      <c r="G158" s="2">
        <v>201711</v>
      </c>
      <c r="H158" s="2" t="s">
        <v>151</v>
      </c>
      <c r="I158" s="2" t="s">
        <v>152</v>
      </c>
      <c r="J158" s="2" t="s">
        <v>91</v>
      </c>
      <c r="K158" s="2" t="s">
        <v>77</v>
      </c>
      <c r="L158" s="2" t="s">
        <v>158</v>
      </c>
      <c r="M158" s="2" t="s">
        <v>159</v>
      </c>
      <c r="N158" s="2" t="s">
        <v>91</v>
      </c>
      <c r="O158" s="2" t="s">
        <v>95</v>
      </c>
      <c r="P158" s="2" t="str">
        <f t="shared" si="5"/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19.920000000000002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30</v>
      </c>
      <c r="BJ158" s="2">
        <v>49.9</v>
      </c>
      <c r="BK158" s="2">
        <v>50</v>
      </c>
      <c r="BL158" s="2">
        <v>185.07</v>
      </c>
      <c r="BM158" s="2">
        <v>25.91</v>
      </c>
      <c r="BN158" s="2">
        <v>210.98</v>
      </c>
      <c r="BO158" s="2">
        <v>210.98</v>
      </c>
      <c r="BQ158" s="2" t="s">
        <v>437</v>
      </c>
      <c r="BS158" s="3">
        <v>42872</v>
      </c>
      <c r="BT158" s="4">
        <v>0.67361111111111116</v>
      </c>
      <c r="BU158" s="2" t="s">
        <v>296</v>
      </c>
      <c r="BV158" s="2" t="s">
        <v>85</v>
      </c>
      <c r="BY158" s="2">
        <v>249600</v>
      </c>
      <c r="CC158" s="2" t="s">
        <v>159</v>
      </c>
      <c r="CD158" s="2">
        <v>2146</v>
      </c>
      <c r="CE158" s="2" t="s">
        <v>120</v>
      </c>
      <c r="CF158" s="3">
        <v>42873</v>
      </c>
      <c r="CI158" s="2">
        <v>1</v>
      </c>
      <c r="CJ158" s="2">
        <v>1</v>
      </c>
      <c r="CK158" s="2" t="s">
        <v>133</v>
      </c>
      <c r="CL158" s="2" t="s">
        <v>87</v>
      </c>
    </row>
    <row r="159" spans="1:90">
      <c r="A159" s="2" t="s">
        <v>88</v>
      </c>
      <c r="B159" s="2" t="s">
        <v>72</v>
      </c>
      <c r="C159" s="2" t="s">
        <v>73</v>
      </c>
      <c r="E159" s="2" t="str">
        <f>"009935957135"</f>
        <v>009935957135</v>
      </c>
      <c r="F159" s="3">
        <v>42871</v>
      </c>
      <c r="G159" s="2">
        <v>201711</v>
      </c>
      <c r="H159" s="2" t="s">
        <v>78</v>
      </c>
      <c r="I159" s="2" t="s">
        <v>79</v>
      </c>
      <c r="J159" s="2" t="s">
        <v>91</v>
      </c>
      <c r="K159" s="2" t="s">
        <v>77</v>
      </c>
      <c r="L159" s="2" t="s">
        <v>111</v>
      </c>
      <c r="M159" s="2" t="s">
        <v>112</v>
      </c>
      <c r="N159" s="2" t="s">
        <v>91</v>
      </c>
      <c r="O159" s="2" t="s">
        <v>81</v>
      </c>
      <c r="P159" s="2" t="str">
        <f t="shared" si="5"/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6.54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0.3</v>
      </c>
      <c r="BK159" s="2">
        <v>1</v>
      </c>
      <c r="BL159" s="2">
        <v>59.1</v>
      </c>
      <c r="BM159" s="2">
        <v>8.27</v>
      </c>
      <c r="BN159" s="2">
        <v>67.37</v>
      </c>
      <c r="BO159" s="2">
        <v>67.37</v>
      </c>
      <c r="BQ159" s="2" t="s">
        <v>121</v>
      </c>
      <c r="BR159" s="2" t="s">
        <v>122</v>
      </c>
      <c r="BS159" s="3">
        <v>42872</v>
      </c>
      <c r="BT159" s="4">
        <v>0.40625</v>
      </c>
      <c r="BU159" s="2" t="s">
        <v>225</v>
      </c>
      <c r="BV159" s="2" t="s">
        <v>85</v>
      </c>
      <c r="BY159" s="2">
        <v>1292</v>
      </c>
      <c r="BZ159" s="2" t="s">
        <v>27</v>
      </c>
      <c r="CC159" s="2" t="s">
        <v>112</v>
      </c>
      <c r="CD159" s="2">
        <v>1034</v>
      </c>
      <c r="CE159" s="2" t="s">
        <v>110</v>
      </c>
      <c r="CF159" s="3">
        <v>42874</v>
      </c>
      <c r="CI159" s="2">
        <v>1</v>
      </c>
      <c r="CJ159" s="2">
        <v>1</v>
      </c>
      <c r="CK159" s="2">
        <v>24</v>
      </c>
      <c r="CL159" s="2" t="s">
        <v>87</v>
      </c>
    </row>
    <row r="160" spans="1:90">
      <c r="A160" s="2" t="s">
        <v>88</v>
      </c>
      <c r="B160" s="2" t="s">
        <v>72</v>
      </c>
      <c r="C160" s="2" t="s">
        <v>73</v>
      </c>
      <c r="E160" s="2" t="str">
        <f>"009935802770"</f>
        <v>009935802770</v>
      </c>
      <c r="F160" s="3">
        <v>42871</v>
      </c>
      <c r="G160" s="2">
        <v>201711</v>
      </c>
      <c r="H160" s="2" t="s">
        <v>78</v>
      </c>
      <c r="I160" s="2" t="s">
        <v>79</v>
      </c>
      <c r="J160" s="2" t="s">
        <v>91</v>
      </c>
      <c r="K160" s="2" t="s">
        <v>77</v>
      </c>
      <c r="L160" s="2" t="s">
        <v>216</v>
      </c>
      <c r="M160" s="2" t="s">
        <v>217</v>
      </c>
      <c r="N160" s="2" t="s">
        <v>91</v>
      </c>
      <c r="O160" s="2" t="s">
        <v>95</v>
      </c>
      <c r="P160" s="2" t="str">
        <f t="shared" si="5"/>
        <v xml:space="preserve"> 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9.5299999999999994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10</v>
      </c>
      <c r="BJ160" s="2">
        <v>12.8</v>
      </c>
      <c r="BK160" s="2">
        <v>13</v>
      </c>
      <c r="BL160" s="2">
        <v>91.17</v>
      </c>
      <c r="BM160" s="2">
        <v>12.76</v>
      </c>
      <c r="BN160" s="2">
        <v>103.93</v>
      </c>
      <c r="BO160" s="2">
        <v>103.93</v>
      </c>
      <c r="BQ160" s="2" t="s">
        <v>438</v>
      </c>
      <c r="BS160" s="3">
        <v>42873</v>
      </c>
      <c r="BT160" s="4">
        <v>0.34861111111111115</v>
      </c>
      <c r="BU160" s="2" t="s">
        <v>219</v>
      </c>
      <c r="BV160" s="2" t="s">
        <v>85</v>
      </c>
      <c r="BY160" s="2">
        <v>63945</v>
      </c>
      <c r="CC160" s="2" t="s">
        <v>217</v>
      </c>
      <c r="CD160" s="2">
        <v>3900</v>
      </c>
      <c r="CE160" s="2" t="s">
        <v>86</v>
      </c>
      <c r="CF160" s="3">
        <v>42877</v>
      </c>
      <c r="CI160" s="2">
        <v>2</v>
      </c>
      <c r="CJ160" s="2">
        <v>2</v>
      </c>
      <c r="CK160" s="2" t="s">
        <v>221</v>
      </c>
      <c r="CL160" s="2" t="s">
        <v>87</v>
      </c>
    </row>
    <row r="161" spans="1:90">
      <c r="A161" s="2" t="s">
        <v>88</v>
      </c>
      <c r="B161" s="2" t="s">
        <v>72</v>
      </c>
      <c r="C161" s="2" t="s">
        <v>73</v>
      </c>
      <c r="E161" s="2" t="str">
        <f>"009935802774"</f>
        <v>009935802774</v>
      </c>
      <c r="F161" s="3">
        <v>42871</v>
      </c>
      <c r="G161" s="2">
        <v>201711</v>
      </c>
      <c r="H161" s="2" t="s">
        <v>78</v>
      </c>
      <c r="I161" s="2" t="s">
        <v>79</v>
      </c>
      <c r="J161" s="2" t="s">
        <v>91</v>
      </c>
      <c r="K161" s="2" t="s">
        <v>77</v>
      </c>
      <c r="L161" s="2" t="s">
        <v>143</v>
      </c>
      <c r="M161" s="2" t="s">
        <v>144</v>
      </c>
      <c r="N161" s="2" t="s">
        <v>91</v>
      </c>
      <c r="O161" s="2" t="s">
        <v>95</v>
      </c>
      <c r="P161" s="2" t="str">
        <f t="shared" si="5"/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7.93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20</v>
      </c>
      <c r="BJ161" s="2">
        <v>3.8</v>
      </c>
      <c r="BK161" s="2">
        <v>20</v>
      </c>
      <c r="BL161" s="2">
        <v>76.680000000000007</v>
      </c>
      <c r="BM161" s="2">
        <v>10.74</v>
      </c>
      <c r="BN161" s="2">
        <v>87.42</v>
      </c>
      <c r="BO161" s="2">
        <v>87.42</v>
      </c>
      <c r="BQ161" s="2" t="s">
        <v>145</v>
      </c>
      <c r="BS161" s="3">
        <v>42873</v>
      </c>
      <c r="BT161" s="4">
        <v>0.70138888888888884</v>
      </c>
      <c r="BU161" s="2" t="s">
        <v>145</v>
      </c>
      <c r="BV161" s="2" t="s">
        <v>85</v>
      </c>
      <c r="BY161" s="2">
        <v>18900</v>
      </c>
      <c r="CC161" s="2" t="s">
        <v>144</v>
      </c>
      <c r="CD161" s="2">
        <v>2940</v>
      </c>
      <c r="CE161" s="2" t="s">
        <v>86</v>
      </c>
      <c r="CF161" s="3">
        <v>42877</v>
      </c>
      <c r="CI161" s="2">
        <v>6</v>
      </c>
      <c r="CJ161" s="2">
        <v>2</v>
      </c>
      <c r="CK161" s="2" t="s">
        <v>146</v>
      </c>
      <c r="CL161" s="2" t="s">
        <v>87</v>
      </c>
    </row>
    <row r="162" spans="1:90">
      <c r="A162" s="2" t="s">
        <v>88</v>
      </c>
      <c r="B162" s="2" t="s">
        <v>72</v>
      </c>
      <c r="C162" s="2" t="s">
        <v>73</v>
      </c>
      <c r="E162" s="2" t="str">
        <f>"009935802771"</f>
        <v>009935802771</v>
      </c>
      <c r="F162" s="3">
        <v>42871</v>
      </c>
      <c r="G162" s="2">
        <v>201711</v>
      </c>
      <c r="H162" s="2" t="s">
        <v>78</v>
      </c>
      <c r="I162" s="2" t="s">
        <v>79</v>
      </c>
      <c r="J162" s="2" t="s">
        <v>91</v>
      </c>
      <c r="K162" s="2" t="s">
        <v>77</v>
      </c>
      <c r="L162" s="2" t="s">
        <v>92</v>
      </c>
      <c r="M162" s="2" t="s">
        <v>93</v>
      </c>
      <c r="N162" s="2" t="s">
        <v>91</v>
      </c>
      <c r="O162" s="2" t="s">
        <v>95</v>
      </c>
      <c r="P162" s="2" t="str">
        <f t="shared" si="5"/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11.35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2</v>
      </c>
      <c r="BJ162" s="2">
        <v>3.8</v>
      </c>
      <c r="BK162" s="2">
        <v>4</v>
      </c>
      <c r="BL162" s="2">
        <v>107.61</v>
      </c>
      <c r="BM162" s="2">
        <v>15.07</v>
      </c>
      <c r="BN162" s="2">
        <v>122.68</v>
      </c>
      <c r="BO162" s="2">
        <v>122.68</v>
      </c>
      <c r="BQ162" s="2" t="s">
        <v>98</v>
      </c>
      <c r="BS162" s="3">
        <v>42873</v>
      </c>
      <c r="BT162" s="4">
        <v>0.33333333333333331</v>
      </c>
      <c r="BU162" s="2" t="s">
        <v>241</v>
      </c>
      <c r="BV162" s="2" t="s">
        <v>85</v>
      </c>
      <c r="BY162" s="2">
        <v>18900</v>
      </c>
      <c r="CC162" s="2" t="s">
        <v>93</v>
      </c>
      <c r="CD162" s="2">
        <v>8800</v>
      </c>
      <c r="CE162" s="2" t="s">
        <v>86</v>
      </c>
      <c r="CF162" s="3">
        <v>42879</v>
      </c>
      <c r="CI162" s="2">
        <v>2</v>
      </c>
      <c r="CJ162" s="2">
        <v>2</v>
      </c>
      <c r="CK162" s="2" t="s">
        <v>196</v>
      </c>
      <c r="CL162" s="2" t="s">
        <v>87</v>
      </c>
    </row>
    <row r="163" spans="1:90">
      <c r="A163" s="2" t="s">
        <v>88</v>
      </c>
      <c r="B163" s="2" t="s">
        <v>72</v>
      </c>
      <c r="C163" s="2" t="s">
        <v>73</v>
      </c>
      <c r="E163" s="2" t="str">
        <f>"009935989489"</f>
        <v>009935989489</v>
      </c>
      <c r="F163" s="3">
        <v>42871</v>
      </c>
      <c r="G163" s="2">
        <v>201711</v>
      </c>
      <c r="H163" s="2" t="s">
        <v>78</v>
      </c>
      <c r="I163" s="2" t="s">
        <v>79</v>
      </c>
      <c r="J163" s="2" t="s">
        <v>91</v>
      </c>
      <c r="K163" s="2" t="s">
        <v>77</v>
      </c>
      <c r="L163" s="2" t="s">
        <v>249</v>
      </c>
      <c r="M163" s="2" t="s">
        <v>250</v>
      </c>
      <c r="N163" s="2" t="s">
        <v>91</v>
      </c>
      <c r="O163" s="2" t="s">
        <v>95</v>
      </c>
      <c r="P163" s="2" t="str">
        <f t="shared" si="5"/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12.8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21</v>
      </c>
      <c r="BJ163" s="2">
        <v>22.6</v>
      </c>
      <c r="BK163" s="2">
        <v>23</v>
      </c>
      <c r="BL163" s="2">
        <v>120.68</v>
      </c>
      <c r="BM163" s="2">
        <v>16.899999999999999</v>
      </c>
      <c r="BN163" s="2">
        <v>137.58000000000001</v>
      </c>
      <c r="BO163" s="2">
        <v>137.58000000000001</v>
      </c>
      <c r="BQ163" s="2" t="s">
        <v>439</v>
      </c>
      <c r="BR163" s="2" t="s">
        <v>122</v>
      </c>
      <c r="BS163" s="3">
        <v>42873</v>
      </c>
      <c r="BT163" s="4">
        <v>0.52083333333333337</v>
      </c>
      <c r="BU163" s="2" t="s">
        <v>287</v>
      </c>
      <c r="BV163" s="2" t="s">
        <v>87</v>
      </c>
      <c r="BW163" s="2" t="s">
        <v>254</v>
      </c>
      <c r="BX163" s="2" t="s">
        <v>255</v>
      </c>
      <c r="BY163" s="2">
        <v>113155</v>
      </c>
      <c r="CC163" s="2" t="s">
        <v>250</v>
      </c>
      <c r="CD163" s="2">
        <v>4252</v>
      </c>
      <c r="CE163" s="2" t="s">
        <v>86</v>
      </c>
      <c r="CF163" s="3">
        <v>42874</v>
      </c>
      <c r="CI163" s="2">
        <v>1</v>
      </c>
      <c r="CJ163" s="2">
        <v>2</v>
      </c>
      <c r="CK163" s="2" t="s">
        <v>221</v>
      </c>
      <c r="CL163" s="2" t="s">
        <v>87</v>
      </c>
    </row>
    <row r="164" spans="1:90">
      <c r="A164" s="2" t="s">
        <v>88</v>
      </c>
      <c r="B164" s="2" t="s">
        <v>72</v>
      </c>
      <c r="C164" s="2" t="s">
        <v>73</v>
      </c>
      <c r="E164" s="2" t="str">
        <f>"009935802769"</f>
        <v>009935802769</v>
      </c>
      <c r="F164" s="3">
        <v>42871</v>
      </c>
      <c r="G164" s="2">
        <v>201711</v>
      </c>
      <c r="H164" s="2" t="s">
        <v>78</v>
      </c>
      <c r="I164" s="2" t="s">
        <v>79</v>
      </c>
      <c r="J164" s="2" t="s">
        <v>91</v>
      </c>
      <c r="K164" s="2" t="s">
        <v>77</v>
      </c>
      <c r="L164" s="2" t="s">
        <v>151</v>
      </c>
      <c r="M164" s="2" t="s">
        <v>152</v>
      </c>
      <c r="N164" s="2" t="s">
        <v>91</v>
      </c>
      <c r="O164" s="2" t="s">
        <v>95</v>
      </c>
      <c r="P164" s="2" t="str">
        <f t="shared" si="5"/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14.28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31.1</v>
      </c>
      <c r="BJ164" s="2">
        <v>42.3</v>
      </c>
      <c r="BK164" s="2">
        <v>43</v>
      </c>
      <c r="BL164" s="2">
        <v>134.09</v>
      </c>
      <c r="BM164" s="2">
        <v>18.77</v>
      </c>
      <c r="BN164" s="2">
        <v>152.86000000000001</v>
      </c>
      <c r="BO164" s="2">
        <v>152.86000000000001</v>
      </c>
      <c r="BQ164" s="2" t="s">
        <v>153</v>
      </c>
      <c r="BS164" s="3">
        <v>42872</v>
      </c>
      <c r="BT164" s="4">
        <v>0.39930555555555558</v>
      </c>
      <c r="BU164" s="2" t="s">
        <v>153</v>
      </c>
      <c r="BV164" s="2" t="s">
        <v>85</v>
      </c>
      <c r="BY164" s="2">
        <v>211612.79999999999</v>
      </c>
      <c r="CC164" s="2" t="s">
        <v>152</v>
      </c>
      <c r="CD164" s="2">
        <v>699</v>
      </c>
      <c r="CE164" s="2" t="s">
        <v>120</v>
      </c>
      <c r="CF164" s="3">
        <v>42873</v>
      </c>
      <c r="CI164" s="2">
        <v>1</v>
      </c>
      <c r="CJ164" s="2">
        <v>1</v>
      </c>
      <c r="CK164" s="2" t="s">
        <v>142</v>
      </c>
      <c r="CL164" s="2" t="s">
        <v>87</v>
      </c>
    </row>
    <row r="165" spans="1:90">
      <c r="A165" s="2" t="s">
        <v>88</v>
      </c>
      <c r="B165" s="2" t="s">
        <v>72</v>
      </c>
      <c r="C165" s="2" t="s">
        <v>73</v>
      </c>
      <c r="E165" s="2" t="str">
        <f>"009935998993"</f>
        <v>009935998993</v>
      </c>
      <c r="F165" s="3">
        <v>42871</v>
      </c>
      <c r="G165" s="2">
        <v>201711</v>
      </c>
      <c r="H165" s="2" t="s">
        <v>78</v>
      </c>
      <c r="I165" s="2" t="s">
        <v>79</v>
      </c>
      <c r="J165" s="2" t="s">
        <v>91</v>
      </c>
      <c r="K165" s="2" t="s">
        <v>77</v>
      </c>
      <c r="L165" s="2" t="s">
        <v>176</v>
      </c>
      <c r="M165" s="2" t="s">
        <v>177</v>
      </c>
      <c r="N165" s="2" t="s">
        <v>91</v>
      </c>
      <c r="O165" s="2" t="s">
        <v>95</v>
      </c>
      <c r="P165" s="2" t="str">
        <f t="shared" si="5"/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39.97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3</v>
      </c>
      <c r="BI165" s="2">
        <v>110.2</v>
      </c>
      <c r="BJ165" s="2">
        <v>135.9</v>
      </c>
      <c r="BK165" s="2">
        <v>136</v>
      </c>
      <c r="BL165" s="2">
        <v>366.24</v>
      </c>
      <c r="BM165" s="2">
        <v>51.27</v>
      </c>
      <c r="BN165" s="2">
        <v>417.51</v>
      </c>
      <c r="BO165" s="2">
        <v>417.51</v>
      </c>
      <c r="BQ165" s="2" t="s">
        <v>178</v>
      </c>
      <c r="BR165" s="2" t="s">
        <v>122</v>
      </c>
      <c r="BS165" s="3">
        <v>42872</v>
      </c>
      <c r="BT165" s="4">
        <v>0.52430555555555558</v>
      </c>
      <c r="BU165" s="2" t="s">
        <v>405</v>
      </c>
      <c r="BV165" s="2" t="s">
        <v>85</v>
      </c>
      <c r="BY165" s="2">
        <v>679473.16</v>
      </c>
      <c r="CC165" s="2" t="s">
        <v>177</v>
      </c>
      <c r="CD165" s="2">
        <v>4091</v>
      </c>
      <c r="CE165" s="2" t="s">
        <v>120</v>
      </c>
      <c r="CF165" s="3">
        <v>42873</v>
      </c>
      <c r="CI165" s="2">
        <v>1</v>
      </c>
      <c r="CJ165" s="2">
        <v>1</v>
      </c>
      <c r="CK165" s="2" t="s">
        <v>146</v>
      </c>
      <c r="CL165" s="2" t="s">
        <v>87</v>
      </c>
    </row>
    <row r="166" spans="1:90">
      <c r="A166" s="2" t="s">
        <v>88</v>
      </c>
      <c r="B166" s="2" t="s">
        <v>72</v>
      </c>
      <c r="C166" s="2" t="s">
        <v>73</v>
      </c>
      <c r="E166" s="2" t="str">
        <f>"009935501360"</f>
        <v>009935501360</v>
      </c>
      <c r="F166" s="3">
        <v>42872</v>
      </c>
      <c r="G166" s="2">
        <v>201711</v>
      </c>
      <c r="H166" s="2" t="s">
        <v>158</v>
      </c>
      <c r="I166" s="2" t="s">
        <v>159</v>
      </c>
      <c r="J166" s="2" t="s">
        <v>91</v>
      </c>
      <c r="K166" s="2" t="s">
        <v>77</v>
      </c>
      <c r="L166" s="2" t="s">
        <v>138</v>
      </c>
      <c r="M166" s="2" t="s">
        <v>139</v>
      </c>
      <c r="N166" s="2" t="s">
        <v>426</v>
      </c>
      <c r="O166" s="2" t="s">
        <v>81</v>
      </c>
      <c r="P166" s="2" t="str">
        <f>"LCK                           "</f>
        <v xml:space="preserve">LCK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4.66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</v>
      </c>
      <c r="BJ166" s="2">
        <v>0.3</v>
      </c>
      <c r="BK166" s="2">
        <v>1</v>
      </c>
      <c r="BL166" s="2">
        <v>42.1</v>
      </c>
      <c r="BM166" s="2">
        <v>5.89</v>
      </c>
      <c r="BN166" s="2">
        <v>47.99</v>
      </c>
      <c r="BO166" s="2">
        <v>47.99</v>
      </c>
      <c r="BQ166" s="2" t="s">
        <v>140</v>
      </c>
      <c r="BR166" s="2" t="s">
        <v>122</v>
      </c>
      <c r="BS166" s="3">
        <v>42873</v>
      </c>
      <c r="BT166" s="4">
        <v>0.40972222222222227</v>
      </c>
      <c r="BU166" s="2" t="s">
        <v>440</v>
      </c>
      <c r="BV166" s="2" t="s">
        <v>85</v>
      </c>
      <c r="BY166" s="2">
        <v>1292</v>
      </c>
      <c r="BZ166" s="2" t="s">
        <v>27</v>
      </c>
      <c r="CA166" s="2" t="s">
        <v>175</v>
      </c>
      <c r="CC166" s="2" t="s">
        <v>139</v>
      </c>
      <c r="CD166" s="2">
        <v>9300</v>
      </c>
      <c r="CE166" s="2" t="s">
        <v>316</v>
      </c>
      <c r="CF166" s="3">
        <v>42874</v>
      </c>
      <c r="CI166" s="2">
        <v>1</v>
      </c>
      <c r="CJ166" s="2">
        <v>1</v>
      </c>
      <c r="CK166" s="2">
        <v>21</v>
      </c>
      <c r="CL166" s="2" t="s">
        <v>87</v>
      </c>
    </row>
    <row r="167" spans="1:90">
      <c r="A167" s="2" t="s">
        <v>88</v>
      </c>
      <c r="B167" s="2" t="s">
        <v>72</v>
      </c>
      <c r="C167" s="2" t="s">
        <v>73</v>
      </c>
      <c r="E167" s="2" t="str">
        <f>"009936115624"</f>
        <v>009936115624</v>
      </c>
      <c r="F167" s="3">
        <v>42867</v>
      </c>
      <c r="G167" s="2">
        <v>201711</v>
      </c>
      <c r="H167" s="2" t="s">
        <v>158</v>
      </c>
      <c r="I167" s="2" t="s">
        <v>159</v>
      </c>
      <c r="J167" s="2" t="s">
        <v>91</v>
      </c>
      <c r="K167" s="2" t="s">
        <v>77</v>
      </c>
      <c r="L167" s="2" t="s">
        <v>89</v>
      </c>
      <c r="M167" s="2" t="s">
        <v>90</v>
      </c>
      <c r="N167" s="2" t="s">
        <v>441</v>
      </c>
      <c r="O167" s="2" t="s">
        <v>81</v>
      </c>
      <c r="P167" s="2" t="str">
        <f>"LOCKS                         "</f>
        <v xml:space="preserve">LOCKS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4.66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0.3</v>
      </c>
      <c r="BK167" s="2">
        <v>1</v>
      </c>
      <c r="BL167" s="2">
        <v>42.1</v>
      </c>
      <c r="BM167" s="2">
        <v>5.89</v>
      </c>
      <c r="BN167" s="2">
        <v>47.99</v>
      </c>
      <c r="BO167" s="2">
        <v>47.99</v>
      </c>
      <c r="BQ167" s="2" t="s">
        <v>97</v>
      </c>
      <c r="BR167" s="2" t="s">
        <v>408</v>
      </c>
      <c r="BS167" s="3">
        <v>42870</v>
      </c>
      <c r="BT167" s="4">
        <v>0.4201388888888889</v>
      </c>
      <c r="BU167" s="2" t="s">
        <v>214</v>
      </c>
      <c r="BV167" s="2" t="s">
        <v>85</v>
      </c>
      <c r="BY167" s="2">
        <v>1292</v>
      </c>
      <c r="BZ167" s="2" t="s">
        <v>27</v>
      </c>
      <c r="CA167" s="2" t="s">
        <v>215</v>
      </c>
      <c r="CC167" s="2" t="s">
        <v>90</v>
      </c>
      <c r="CD167" s="2">
        <v>6055</v>
      </c>
      <c r="CE167" s="2" t="s">
        <v>120</v>
      </c>
      <c r="CF167" s="3">
        <v>42870</v>
      </c>
      <c r="CI167" s="2">
        <v>1</v>
      </c>
      <c r="CJ167" s="2">
        <v>1</v>
      </c>
      <c r="CK167" s="2">
        <v>21</v>
      </c>
      <c r="CL167" s="2" t="s">
        <v>87</v>
      </c>
    </row>
    <row r="168" spans="1:90">
      <c r="A168" s="2" t="s">
        <v>88</v>
      </c>
      <c r="B168" s="2" t="s">
        <v>72</v>
      </c>
      <c r="C168" s="2" t="s">
        <v>73</v>
      </c>
      <c r="E168" s="2" t="str">
        <f>"039902464681"</f>
        <v>039902464681</v>
      </c>
      <c r="F168" s="3">
        <v>42872</v>
      </c>
      <c r="G168" s="2">
        <v>201711</v>
      </c>
      <c r="H168" s="2" t="s">
        <v>189</v>
      </c>
      <c r="I168" s="2" t="s">
        <v>98</v>
      </c>
      <c r="J168" s="2" t="s">
        <v>91</v>
      </c>
      <c r="K168" s="2" t="s">
        <v>77</v>
      </c>
      <c r="L168" s="2" t="s">
        <v>78</v>
      </c>
      <c r="M168" s="2" t="s">
        <v>79</v>
      </c>
      <c r="N168" s="2" t="s">
        <v>91</v>
      </c>
      <c r="O168" s="2" t="s">
        <v>442</v>
      </c>
      <c r="P168" s="2" t="str">
        <f>"                              "</f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8.73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1</v>
      </c>
      <c r="BJ168" s="2">
        <v>0.2</v>
      </c>
      <c r="BK168" s="2">
        <v>1</v>
      </c>
      <c r="BL168" s="2">
        <v>78.930000000000007</v>
      </c>
      <c r="BM168" s="2">
        <v>11.05</v>
      </c>
      <c r="BN168" s="2">
        <v>89.98</v>
      </c>
      <c r="BO168" s="2">
        <v>89.98</v>
      </c>
      <c r="BQ168" s="2" t="s">
        <v>443</v>
      </c>
      <c r="BR168" s="2" t="s">
        <v>195</v>
      </c>
      <c r="BS168" s="3">
        <v>42873</v>
      </c>
      <c r="BT168" s="4">
        <v>0.35069444444444442</v>
      </c>
      <c r="BU168" s="2" t="s">
        <v>98</v>
      </c>
      <c r="BV168" s="2" t="s">
        <v>85</v>
      </c>
      <c r="BY168" s="2">
        <v>1200</v>
      </c>
      <c r="BZ168" s="2" t="s">
        <v>27</v>
      </c>
      <c r="CA168" s="2" t="s">
        <v>444</v>
      </c>
      <c r="CC168" s="2" t="s">
        <v>79</v>
      </c>
      <c r="CD168" s="2">
        <v>2090</v>
      </c>
      <c r="CE168" s="2" t="s">
        <v>120</v>
      </c>
      <c r="CF168" s="3">
        <v>42873</v>
      </c>
      <c r="CI168" s="2">
        <v>1</v>
      </c>
      <c r="CJ168" s="2">
        <v>1</v>
      </c>
      <c r="CK168" s="2">
        <v>31</v>
      </c>
      <c r="CL168" s="2" t="s">
        <v>87</v>
      </c>
    </row>
    <row r="169" spans="1:90">
      <c r="A169" s="2" t="s">
        <v>88</v>
      </c>
      <c r="B169" s="2" t="s">
        <v>72</v>
      </c>
      <c r="C169" s="2" t="s">
        <v>73</v>
      </c>
      <c r="E169" s="2" t="str">
        <f>"009935552876"</f>
        <v>009935552876</v>
      </c>
      <c r="F169" s="3">
        <v>42867</v>
      </c>
      <c r="G169" s="2">
        <v>201711</v>
      </c>
      <c r="H169" s="2" t="s">
        <v>78</v>
      </c>
      <c r="I169" s="2" t="s">
        <v>79</v>
      </c>
      <c r="J169" s="2" t="s">
        <v>91</v>
      </c>
      <c r="K169" s="2" t="s">
        <v>77</v>
      </c>
      <c r="L169" s="2" t="s">
        <v>105</v>
      </c>
      <c r="M169" s="2" t="s">
        <v>106</v>
      </c>
      <c r="N169" s="2" t="s">
        <v>358</v>
      </c>
      <c r="O169" s="2" t="s">
        <v>81</v>
      </c>
      <c r="P169" s="2" t="str">
        <f>"LOCKS                         "</f>
        <v xml:space="preserve">LOCKS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4.66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0.3</v>
      </c>
      <c r="BK169" s="2">
        <v>1</v>
      </c>
      <c r="BL169" s="2">
        <v>42.1</v>
      </c>
      <c r="BM169" s="2">
        <v>5.89</v>
      </c>
      <c r="BN169" s="2">
        <v>47.99</v>
      </c>
      <c r="BO169" s="2">
        <v>47.99</v>
      </c>
      <c r="BQ169" s="2" t="s">
        <v>109</v>
      </c>
      <c r="BR169" s="2" t="s">
        <v>445</v>
      </c>
      <c r="BS169" s="3">
        <v>42870</v>
      </c>
      <c r="BT169" s="4">
        <v>0.41666666666666669</v>
      </c>
      <c r="BU169" s="2" t="s">
        <v>446</v>
      </c>
      <c r="BV169" s="2" t="s">
        <v>85</v>
      </c>
      <c r="BY169" s="2">
        <v>1292</v>
      </c>
      <c r="BZ169" s="2" t="s">
        <v>27</v>
      </c>
      <c r="CC169" s="2" t="s">
        <v>106</v>
      </c>
      <c r="CD169" s="2">
        <v>7700</v>
      </c>
      <c r="CE169" s="2" t="s">
        <v>120</v>
      </c>
      <c r="CF169" s="3">
        <v>42871</v>
      </c>
      <c r="CI169" s="2">
        <v>1</v>
      </c>
      <c r="CJ169" s="2">
        <v>1</v>
      </c>
      <c r="CK169" s="2">
        <v>21</v>
      </c>
      <c r="CL169" s="2" t="s">
        <v>87</v>
      </c>
    </row>
    <row r="170" spans="1:90">
      <c r="A170" s="2" t="s">
        <v>88</v>
      </c>
      <c r="B170" s="2" t="s">
        <v>72</v>
      </c>
      <c r="C170" s="2" t="s">
        <v>73</v>
      </c>
      <c r="E170" s="2" t="str">
        <f>"039902587415"</f>
        <v>039902587415</v>
      </c>
      <c r="F170" s="3">
        <v>42872</v>
      </c>
      <c r="G170" s="2">
        <v>201711</v>
      </c>
      <c r="H170" s="2" t="s">
        <v>189</v>
      </c>
      <c r="I170" s="2" t="s">
        <v>98</v>
      </c>
      <c r="J170" s="2" t="s">
        <v>91</v>
      </c>
      <c r="K170" s="2" t="s">
        <v>77</v>
      </c>
      <c r="L170" s="2" t="s">
        <v>105</v>
      </c>
      <c r="M170" s="2" t="s">
        <v>106</v>
      </c>
      <c r="N170" s="2" t="s">
        <v>91</v>
      </c>
      <c r="O170" s="2" t="s">
        <v>81</v>
      </c>
      <c r="P170" s="2" t="str">
        <f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4.66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</v>
      </c>
      <c r="BJ170" s="2">
        <v>0.2</v>
      </c>
      <c r="BK170" s="2">
        <v>1</v>
      </c>
      <c r="BL170" s="2">
        <v>42.1</v>
      </c>
      <c r="BM170" s="2">
        <v>5.89</v>
      </c>
      <c r="BN170" s="2">
        <v>47.99</v>
      </c>
      <c r="BO170" s="2">
        <v>47.99</v>
      </c>
      <c r="BQ170" s="2" t="s">
        <v>447</v>
      </c>
      <c r="BR170" s="2" t="s">
        <v>190</v>
      </c>
      <c r="BS170" s="3">
        <v>42873</v>
      </c>
      <c r="BT170" s="4">
        <v>0.36944444444444446</v>
      </c>
      <c r="BU170" s="2" t="s">
        <v>446</v>
      </c>
      <c r="BV170" s="2" t="s">
        <v>85</v>
      </c>
      <c r="BY170" s="2">
        <v>1200</v>
      </c>
      <c r="BZ170" s="2" t="s">
        <v>27</v>
      </c>
      <c r="CC170" s="2" t="s">
        <v>106</v>
      </c>
      <c r="CD170" s="2">
        <v>7700</v>
      </c>
      <c r="CE170" s="2" t="s">
        <v>120</v>
      </c>
      <c r="CF170" s="3">
        <v>42874</v>
      </c>
      <c r="CI170" s="2">
        <v>1</v>
      </c>
      <c r="CJ170" s="2">
        <v>1</v>
      </c>
      <c r="CK170" s="2">
        <v>21</v>
      </c>
      <c r="CL170" s="2" t="s">
        <v>87</v>
      </c>
    </row>
    <row r="171" spans="1:90">
      <c r="A171" s="2" t="s">
        <v>88</v>
      </c>
      <c r="B171" s="2" t="s">
        <v>72</v>
      </c>
      <c r="C171" s="2" t="s">
        <v>73</v>
      </c>
      <c r="E171" s="2" t="str">
        <f>"009935802777"</f>
        <v>009935802777</v>
      </c>
      <c r="F171" s="3">
        <v>42867</v>
      </c>
      <c r="G171" s="2">
        <v>201711</v>
      </c>
      <c r="H171" s="2" t="s">
        <v>78</v>
      </c>
      <c r="I171" s="2" t="s">
        <v>79</v>
      </c>
      <c r="J171" s="2" t="s">
        <v>91</v>
      </c>
      <c r="K171" s="2" t="s">
        <v>77</v>
      </c>
      <c r="L171" s="2" t="s">
        <v>189</v>
      </c>
      <c r="M171" s="2" t="s">
        <v>98</v>
      </c>
      <c r="N171" s="2" t="s">
        <v>448</v>
      </c>
      <c r="O171" s="2" t="s">
        <v>81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4.66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1</v>
      </c>
      <c r="BJ171" s="2">
        <v>0.3</v>
      </c>
      <c r="BK171" s="2">
        <v>1</v>
      </c>
      <c r="BL171" s="2">
        <v>42.1</v>
      </c>
      <c r="BM171" s="2">
        <v>5.89</v>
      </c>
      <c r="BN171" s="2">
        <v>47.99</v>
      </c>
      <c r="BO171" s="2">
        <v>47.99</v>
      </c>
      <c r="BQ171" s="2" t="s">
        <v>449</v>
      </c>
      <c r="BR171" s="2" t="s">
        <v>253</v>
      </c>
      <c r="BS171" s="3">
        <v>42872</v>
      </c>
      <c r="BT171" s="4">
        <v>0.42291666666666666</v>
      </c>
      <c r="BU171" s="2" t="s">
        <v>190</v>
      </c>
      <c r="BV171" s="2" t="s">
        <v>87</v>
      </c>
      <c r="BW171" s="2" t="s">
        <v>229</v>
      </c>
      <c r="BX171" s="2" t="s">
        <v>415</v>
      </c>
      <c r="BY171" s="2">
        <v>1292</v>
      </c>
      <c r="BZ171" s="2" t="s">
        <v>27</v>
      </c>
      <c r="CC171" s="2" t="s">
        <v>98</v>
      </c>
      <c r="CD171" s="2">
        <v>6530</v>
      </c>
      <c r="CE171" s="2" t="s">
        <v>120</v>
      </c>
      <c r="CF171" s="3">
        <v>42873</v>
      </c>
      <c r="CI171" s="2">
        <v>1</v>
      </c>
      <c r="CJ171" s="2">
        <v>3</v>
      </c>
      <c r="CK171" s="2">
        <v>21</v>
      </c>
      <c r="CL171" s="2" t="s">
        <v>87</v>
      </c>
    </row>
    <row r="172" spans="1:90">
      <c r="A172" s="2" t="s">
        <v>71</v>
      </c>
      <c r="B172" s="2" t="s">
        <v>72</v>
      </c>
      <c r="C172" s="2" t="s">
        <v>73</v>
      </c>
      <c r="E172" s="2" t="str">
        <f>"029907627792"</f>
        <v>029907627792</v>
      </c>
      <c r="F172" s="3">
        <v>42872</v>
      </c>
      <c r="G172" s="2">
        <v>201711</v>
      </c>
      <c r="H172" s="2" t="s">
        <v>176</v>
      </c>
      <c r="I172" s="2" t="s">
        <v>177</v>
      </c>
      <c r="J172" s="2" t="s">
        <v>209</v>
      </c>
      <c r="K172" s="2" t="s">
        <v>77</v>
      </c>
      <c r="L172" s="2" t="s">
        <v>158</v>
      </c>
      <c r="M172" s="2" t="s">
        <v>159</v>
      </c>
      <c r="N172" s="2" t="s">
        <v>91</v>
      </c>
      <c r="O172" s="2" t="s">
        <v>81</v>
      </c>
      <c r="P172" s="2" t="str">
        <f>"                              "</f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4.66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2</v>
      </c>
      <c r="BJ172" s="2">
        <v>1.2</v>
      </c>
      <c r="BK172" s="2">
        <v>2</v>
      </c>
      <c r="BL172" s="2">
        <v>42.1</v>
      </c>
      <c r="BM172" s="2">
        <v>5.89</v>
      </c>
      <c r="BN172" s="2">
        <v>47.99</v>
      </c>
      <c r="BO172" s="2">
        <v>47.99</v>
      </c>
      <c r="BQ172" s="2" t="s">
        <v>450</v>
      </c>
      <c r="BR172" s="2" t="s">
        <v>210</v>
      </c>
      <c r="BS172" s="3">
        <v>42873</v>
      </c>
      <c r="BT172" s="4">
        <v>0.35069444444444442</v>
      </c>
      <c r="BU172" s="2" t="s">
        <v>98</v>
      </c>
      <c r="BV172" s="2" t="s">
        <v>85</v>
      </c>
      <c r="BY172" s="2">
        <v>6000</v>
      </c>
      <c r="BZ172" s="2" t="s">
        <v>27</v>
      </c>
      <c r="CA172" s="2" t="s">
        <v>444</v>
      </c>
      <c r="CC172" s="2" t="s">
        <v>159</v>
      </c>
      <c r="CD172" s="2">
        <v>2146</v>
      </c>
      <c r="CE172" s="2" t="s">
        <v>120</v>
      </c>
      <c r="CF172" s="3">
        <v>42873</v>
      </c>
      <c r="CI172" s="2">
        <v>1</v>
      </c>
      <c r="CJ172" s="2">
        <v>1</v>
      </c>
      <c r="CK172" s="2">
        <v>21</v>
      </c>
      <c r="CL172" s="2" t="s">
        <v>87</v>
      </c>
    </row>
    <row r="173" spans="1:90">
      <c r="A173" s="2" t="s">
        <v>88</v>
      </c>
      <c r="B173" s="2" t="s">
        <v>72</v>
      </c>
      <c r="C173" s="2" t="s">
        <v>73</v>
      </c>
      <c r="E173" s="2" t="str">
        <f>"039902464680"</f>
        <v>039902464680</v>
      </c>
      <c r="F173" s="3">
        <v>42872</v>
      </c>
      <c r="G173" s="2">
        <v>201711</v>
      </c>
      <c r="H173" s="2" t="s">
        <v>189</v>
      </c>
      <c r="I173" s="2" t="s">
        <v>98</v>
      </c>
      <c r="J173" s="2" t="s">
        <v>91</v>
      </c>
      <c r="K173" s="2" t="s">
        <v>77</v>
      </c>
      <c r="L173" s="2" t="s">
        <v>78</v>
      </c>
      <c r="M173" s="2" t="s">
        <v>79</v>
      </c>
      <c r="N173" s="2" t="s">
        <v>91</v>
      </c>
      <c r="O173" s="2" t="s">
        <v>95</v>
      </c>
      <c r="P173" s="2" t="str">
        <f>"                              "</f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28.75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20.3</v>
      </c>
      <c r="BJ173" s="2">
        <v>40.1</v>
      </c>
      <c r="BK173" s="2">
        <v>41</v>
      </c>
      <c r="BL173" s="2">
        <v>264.89</v>
      </c>
      <c r="BM173" s="2">
        <v>37.08</v>
      </c>
      <c r="BN173" s="2">
        <v>301.97000000000003</v>
      </c>
      <c r="BO173" s="2">
        <v>301.97000000000003</v>
      </c>
      <c r="BQ173" s="2" t="s">
        <v>148</v>
      </c>
      <c r="BR173" s="2" t="s">
        <v>195</v>
      </c>
      <c r="BS173" s="3">
        <v>42877</v>
      </c>
      <c r="BT173" s="4">
        <v>0.48958333333333331</v>
      </c>
      <c r="BU173" s="2" t="s">
        <v>98</v>
      </c>
      <c r="BY173" s="2">
        <v>200640</v>
      </c>
      <c r="CC173" s="2" t="s">
        <v>79</v>
      </c>
      <c r="CD173" s="2">
        <v>2090</v>
      </c>
      <c r="CE173" s="2" t="s">
        <v>120</v>
      </c>
      <c r="CF173" s="3">
        <v>42878</v>
      </c>
      <c r="CI173" s="2">
        <v>0</v>
      </c>
      <c r="CJ173" s="2">
        <v>0</v>
      </c>
      <c r="CK173" s="2" t="s">
        <v>196</v>
      </c>
      <c r="CL173" s="2" t="s">
        <v>87</v>
      </c>
    </row>
    <row r="174" spans="1:90">
      <c r="A174" s="2" t="s">
        <v>88</v>
      </c>
      <c r="B174" s="2" t="s">
        <v>72</v>
      </c>
      <c r="C174" s="2" t="s">
        <v>73</v>
      </c>
      <c r="E174" s="2" t="str">
        <f>"009935802765"</f>
        <v>009935802765</v>
      </c>
      <c r="F174" s="3">
        <v>42872</v>
      </c>
      <c r="G174" s="2">
        <v>201711</v>
      </c>
      <c r="H174" s="2" t="s">
        <v>78</v>
      </c>
      <c r="I174" s="2" t="s">
        <v>79</v>
      </c>
      <c r="J174" s="2" t="s">
        <v>91</v>
      </c>
      <c r="K174" s="2" t="s">
        <v>77</v>
      </c>
      <c r="L174" s="2" t="s">
        <v>151</v>
      </c>
      <c r="M174" s="2" t="s">
        <v>152</v>
      </c>
      <c r="N174" s="2" t="s">
        <v>451</v>
      </c>
      <c r="O174" s="2" t="s">
        <v>95</v>
      </c>
      <c r="P174" s="2" t="str">
        <f>"N                             "</f>
        <v xml:space="preserve">N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37.76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3</v>
      </c>
      <c r="BI174" s="2">
        <v>45</v>
      </c>
      <c r="BJ174" s="2">
        <v>127.2</v>
      </c>
      <c r="BK174" s="2">
        <v>128</v>
      </c>
      <c r="BL174" s="2">
        <v>346.27</v>
      </c>
      <c r="BM174" s="2">
        <v>48.48</v>
      </c>
      <c r="BN174" s="2">
        <v>394.75</v>
      </c>
      <c r="BO174" s="2">
        <v>394.75</v>
      </c>
      <c r="BQ174" s="2" t="s">
        <v>153</v>
      </c>
      <c r="BR174" s="2" t="s">
        <v>122</v>
      </c>
      <c r="BS174" s="3">
        <v>42873</v>
      </c>
      <c r="BT174" s="4">
        <v>0.33333333333333331</v>
      </c>
      <c r="BU174" s="2" t="s">
        <v>247</v>
      </c>
      <c r="BV174" s="2" t="s">
        <v>85</v>
      </c>
      <c r="BY174" s="2">
        <v>468000</v>
      </c>
      <c r="CC174" s="2" t="s">
        <v>152</v>
      </c>
      <c r="CD174" s="2">
        <v>700</v>
      </c>
      <c r="CE174" s="2" t="s">
        <v>452</v>
      </c>
      <c r="CF174" s="3">
        <v>42874</v>
      </c>
      <c r="CI174" s="2">
        <v>1</v>
      </c>
      <c r="CJ174" s="2">
        <v>1</v>
      </c>
      <c r="CK174" s="2" t="s">
        <v>142</v>
      </c>
      <c r="CL174" s="2" t="s">
        <v>87</v>
      </c>
    </row>
    <row r="175" spans="1:90">
      <c r="A175" s="2" t="s">
        <v>88</v>
      </c>
      <c r="B175" s="2" t="s">
        <v>72</v>
      </c>
      <c r="C175" s="2" t="s">
        <v>73</v>
      </c>
      <c r="E175" s="2" t="str">
        <f>"009936002710"</f>
        <v>009936002710</v>
      </c>
      <c r="F175" s="3">
        <v>42872</v>
      </c>
      <c r="G175" s="2">
        <v>201711</v>
      </c>
      <c r="H175" s="2" t="s">
        <v>158</v>
      </c>
      <c r="I175" s="2" t="s">
        <v>159</v>
      </c>
      <c r="J175" s="2" t="s">
        <v>91</v>
      </c>
      <c r="K175" s="2" t="s">
        <v>77</v>
      </c>
      <c r="L175" s="2" t="s">
        <v>176</v>
      </c>
      <c r="M175" s="2" t="s">
        <v>177</v>
      </c>
      <c r="N175" s="2" t="s">
        <v>209</v>
      </c>
      <c r="O175" s="2" t="s">
        <v>81</v>
      </c>
      <c r="P175" s="2" t="str">
        <f>"LCK                           "</f>
        <v xml:space="preserve">LCK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4.66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0.3</v>
      </c>
      <c r="BK175" s="2">
        <v>1</v>
      </c>
      <c r="BL175" s="2">
        <v>42.1</v>
      </c>
      <c r="BM175" s="2">
        <v>5.89</v>
      </c>
      <c r="BN175" s="2">
        <v>47.99</v>
      </c>
      <c r="BO175" s="2">
        <v>47.99</v>
      </c>
      <c r="BQ175" s="2" t="s">
        <v>178</v>
      </c>
      <c r="BR175" s="2" t="s">
        <v>122</v>
      </c>
      <c r="BS175" s="3">
        <v>42873</v>
      </c>
      <c r="BT175" s="4">
        <v>0.51736111111111105</v>
      </c>
      <c r="BU175" s="2" t="s">
        <v>453</v>
      </c>
      <c r="BV175" s="2" t="s">
        <v>87</v>
      </c>
      <c r="BW175" s="2" t="s">
        <v>163</v>
      </c>
      <c r="BX175" s="2" t="s">
        <v>255</v>
      </c>
      <c r="BY175" s="2">
        <v>1292</v>
      </c>
      <c r="BZ175" s="2" t="s">
        <v>27</v>
      </c>
      <c r="CC175" s="2" t="s">
        <v>177</v>
      </c>
      <c r="CD175" s="2">
        <v>4091</v>
      </c>
      <c r="CE175" s="2" t="s">
        <v>316</v>
      </c>
      <c r="CF175" s="3">
        <v>42874</v>
      </c>
      <c r="CI175" s="2">
        <v>1</v>
      </c>
      <c r="CJ175" s="2">
        <v>1</v>
      </c>
      <c r="CK175" s="2">
        <v>21</v>
      </c>
      <c r="CL175" s="2" t="s">
        <v>87</v>
      </c>
    </row>
    <row r="176" spans="1:90">
      <c r="A176" s="2" t="s">
        <v>88</v>
      </c>
      <c r="B176" s="2" t="s">
        <v>72</v>
      </c>
      <c r="C176" s="2" t="s">
        <v>73</v>
      </c>
      <c r="E176" s="2" t="str">
        <f>"009935802766"</f>
        <v>009935802766</v>
      </c>
      <c r="F176" s="3">
        <v>42872</v>
      </c>
      <c r="G176" s="2">
        <v>201711</v>
      </c>
      <c r="H176" s="2" t="s">
        <v>158</v>
      </c>
      <c r="I176" s="2" t="s">
        <v>159</v>
      </c>
      <c r="J176" s="2" t="s">
        <v>91</v>
      </c>
      <c r="K176" s="2" t="s">
        <v>77</v>
      </c>
      <c r="L176" s="2" t="s">
        <v>124</v>
      </c>
      <c r="M176" s="2" t="s">
        <v>125</v>
      </c>
      <c r="N176" s="2" t="s">
        <v>126</v>
      </c>
      <c r="O176" s="2" t="s">
        <v>95</v>
      </c>
      <c r="P176" s="2" t="str">
        <f>"STORES                        "</f>
        <v xml:space="preserve">STORES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18.32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25</v>
      </c>
      <c r="BJ176" s="2">
        <v>45</v>
      </c>
      <c r="BK176" s="2">
        <v>45</v>
      </c>
      <c r="BL176" s="2">
        <v>170.62</v>
      </c>
      <c r="BM176" s="2">
        <v>23.89</v>
      </c>
      <c r="BN176" s="2">
        <v>194.51</v>
      </c>
      <c r="BO176" s="2">
        <v>194.51</v>
      </c>
      <c r="BQ176" s="2" t="s">
        <v>128</v>
      </c>
      <c r="BR176" s="2" t="s">
        <v>330</v>
      </c>
      <c r="BS176" s="3">
        <v>42873</v>
      </c>
      <c r="BT176" s="4">
        <v>0.3263888888888889</v>
      </c>
      <c r="BU176" s="2" t="s">
        <v>246</v>
      </c>
      <c r="BV176" s="2" t="s">
        <v>85</v>
      </c>
      <c r="BY176" s="2">
        <v>224808</v>
      </c>
      <c r="CC176" s="2" t="s">
        <v>125</v>
      </c>
      <c r="CD176" s="2">
        <v>299</v>
      </c>
      <c r="CE176" s="2" t="s">
        <v>86</v>
      </c>
      <c r="CF176" s="3">
        <v>42877</v>
      </c>
      <c r="CI176" s="2">
        <v>1</v>
      </c>
      <c r="CJ176" s="2">
        <v>1</v>
      </c>
      <c r="CK176" s="2" t="s">
        <v>133</v>
      </c>
      <c r="CL176" s="2" t="s">
        <v>87</v>
      </c>
    </row>
    <row r="177" spans="1:90">
      <c r="A177" s="2" t="s">
        <v>88</v>
      </c>
      <c r="B177" s="2" t="s">
        <v>72</v>
      </c>
      <c r="C177" s="2" t="s">
        <v>73</v>
      </c>
      <c r="E177" s="2" t="str">
        <f>"009935802768"</f>
        <v>009935802768</v>
      </c>
      <c r="F177" s="3">
        <v>42872</v>
      </c>
      <c r="G177" s="2">
        <v>201711</v>
      </c>
      <c r="H177" s="2" t="s">
        <v>158</v>
      </c>
      <c r="I177" s="2" t="s">
        <v>159</v>
      </c>
      <c r="J177" s="2" t="s">
        <v>91</v>
      </c>
      <c r="K177" s="2" t="s">
        <v>77</v>
      </c>
      <c r="L177" s="2" t="s">
        <v>327</v>
      </c>
      <c r="M177" s="2" t="s">
        <v>328</v>
      </c>
      <c r="N177" s="2" t="s">
        <v>454</v>
      </c>
      <c r="O177" s="2" t="s">
        <v>95</v>
      </c>
      <c r="P177" s="2" t="str">
        <f>"STORES                        "</f>
        <v xml:space="preserve">STORES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36.31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3</v>
      </c>
      <c r="BI177" s="2">
        <v>83.1</v>
      </c>
      <c r="BJ177" s="2">
        <v>85.8</v>
      </c>
      <c r="BK177" s="2">
        <v>86</v>
      </c>
      <c r="BL177" s="2">
        <v>333.2</v>
      </c>
      <c r="BM177" s="2">
        <v>46.65</v>
      </c>
      <c r="BN177" s="2">
        <v>379.85</v>
      </c>
      <c r="BO177" s="2">
        <v>379.85</v>
      </c>
      <c r="BQ177" s="2" t="s">
        <v>245</v>
      </c>
      <c r="BR177" s="2" t="s">
        <v>330</v>
      </c>
      <c r="BS177" s="3">
        <v>42877</v>
      </c>
      <c r="BT177" s="4">
        <v>0.51388888888888895</v>
      </c>
      <c r="BU177" s="2" t="s">
        <v>331</v>
      </c>
      <c r="BV177" s="2" t="s">
        <v>87</v>
      </c>
      <c r="BW177" s="2" t="s">
        <v>314</v>
      </c>
      <c r="BX177" s="2" t="s">
        <v>455</v>
      </c>
      <c r="BY177" s="2">
        <v>428800.31</v>
      </c>
      <c r="CA177" s="2" t="s">
        <v>456</v>
      </c>
      <c r="CC177" s="2" t="s">
        <v>328</v>
      </c>
      <c r="CD177" s="2">
        <v>9700</v>
      </c>
      <c r="CE177" s="2" t="s">
        <v>120</v>
      </c>
      <c r="CF177" s="3">
        <v>42877</v>
      </c>
      <c r="CI177" s="2">
        <v>1</v>
      </c>
      <c r="CJ177" s="2">
        <v>3</v>
      </c>
      <c r="CK177" s="2" t="s">
        <v>161</v>
      </c>
      <c r="CL177" s="2" t="s">
        <v>87</v>
      </c>
    </row>
    <row r="178" spans="1:90">
      <c r="A178" s="2" t="s">
        <v>88</v>
      </c>
      <c r="B178" s="2" t="s">
        <v>72</v>
      </c>
      <c r="C178" s="2" t="s">
        <v>73</v>
      </c>
      <c r="E178" s="2" t="str">
        <f>"009935957021"</f>
        <v>009935957021</v>
      </c>
      <c r="F178" s="3">
        <v>42872</v>
      </c>
      <c r="G178" s="2">
        <v>201711</v>
      </c>
      <c r="H178" s="2" t="s">
        <v>158</v>
      </c>
      <c r="I178" s="2" t="s">
        <v>159</v>
      </c>
      <c r="J178" s="2" t="s">
        <v>91</v>
      </c>
      <c r="K178" s="2" t="s">
        <v>77</v>
      </c>
      <c r="L178" s="2" t="s">
        <v>192</v>
      </c>
      <c r="M178" s="2" t="s">
        <v>193</v>
      </c>
      <c r="N178" s="2" t="s">
        <v>317</v>
      </c>
      <c r="O178" s="2" t="s">
        <v>95</v>
      </c>
      <c r="P178" s="2" t="str">
        <f>"                              "</f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11.35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2</v>
      </c>
      <c r="BJ178" s="2">
        <v>6.5</v>
      </c>
      <c r="BK178" s="2">
        <v>7</v>
      </c>
      <c r="BL178" s="2">
        <v>107.61</v>
      </c>
      <c r="BM178" s="2">
        <v>15.07</v>
      </c>
      <c r="BN178" s="2">
        <v>122.68</v>
      </c>
      <c r="BO178" s="2">
        <v>122.68</v>
      </c>
      <c r="BQ178" s="2" t="s">
        <v>457</v>
      </c>
      <c r="BR178" s="2" t="s">
        <v>122</v>
      </c>
      <c r="BS178" s="3">
        <v>42873</v>
      </c>
      <c r="BT178" s="4">
        <v>0.41666666666666669</v>
      </c>
      <c r="BU178" s="2" t="s">
        <v>194</v>
      </c>
      <c r="BY178" s="2">
        <v>32604</v>
      </c>
      <c r="CC178" s="2" t="s">
        <v>193</v>
      </c>
      <c r="CD178" s="2">
        <v>450</v>
      </c>
      <c r="CE178" s="2" t="s">
        <v>86</v>
      </c>
      <c r="CF178" s="3">
        <v>42874</v>
      </c>
      <c r="CI178" s="2">
        <v>0</v>
      </c>
      <c r="CJ178" s="2">
        <v>0</v>
      </c>
      <c r="CK178" s="2" t="s">
        <v>196</v>
      </c>
      <c r="CL178" s="2" t="s">
        <v>87</v>
      </c>
    </row>
    <row r="179" spans="1:90">
      <c r="A179" s="2" t="s">
        <v>71</v>
      </c>
      <c r="B179" s="2" t="s">
        <v>72</v>
      </c>
      <c r="C179" s="2" t="s">
        <v>73</v>
      </c>
      <c r="E179" s="2" t="str">
        <f>"009936361168"</f>
        <v>009936361168</v>
      </c>
      <c r="F179" s="3">
        <v>42872</v>
      </c>
      <c r="G179" s="2">
        <v>201711</v>
      </c>
      <c r="H179" s="2" t="s">
        <v>130</v>
      </c>
      <c r="I179" s="2" t="s">
        <v>131</v>
      </c>
      <c r="J179" s="2" t="s">
        <v>91</v>
      </c>
      <c r="K179" s="2" t="s">
        <v>77</v>
      </c>
      <c r="L179" s="2" t="s">
        <v>78</v>
      </c>
      <c r="M179" s="2" t="s">
        <v>79</v>
      </c>
      <c r="N179" s="2" t="s">
        <v>91</v>
      </c>
      <c r="O179" s="2" t="s">
        <v>95</v>
      </c>
      <c r="P179" s="2" t="str">
        <f>"MERULEN                       "</f>
        <v xml:space="preserve">MERULEN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12.25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20</v>
      </c>
      <c r="BJ179" s="2">
        <v>25.3</v>
      </c>
      <c r="BK179" s="2">
        <v>26</v>
      </c>
      <c r="BL179" s="2">
        <v>115.72</v>
      </c>
      <c r="BM179" s="2">
        <v>16.2</v>
      </c>
      <c r="BN179" s="2">
        <v>131.91999999999999</v>
      </c>
      <c r="BO179" s="2">
        <v>131.91999999999999</v>
      </c>
      <c r="BQ179" s="2" t="s">
        <v>127</v>
      </c>
      <c r="BR179" s="2" t="s">
        <v>458</v>
      </c>
      <c r="BS179" s="3">
        <v>42873</v>
      </c>
      <c r="BT179" s="4">
        <v>0.49305555555555558</v>
      </c>
      <c r="BU179" s="2" t="s">
        <v>148</v>
      </c>
      <c r="BV179" s="2" t="s">
        <v>85</v>
      </c>
      <c r="BY179" s="2">
        <v>126464</v>
      </c>
      <c r="CC179" s="2" t="s">
        <v>79</v>
      </c>
      <c r="CD179" s="2">
        <v>2000</v>
      </c>
      <c r="CE179" s="2" t="s">
        <v>120</v>
      </c>
      <c r="CF179" s="3">
        <v>42874</v>
      </c>
      <c r="CI179" s="2">
        <v>1</v>
      </c>
      <c r="CJ179" s="2">
        <v>1</v>
      </c>
      <c r="CK179" s="2" t="s">
        <v>133</v>
      </c>
      <c r="CL179" s="2" t="s">
        <v>87</v>
      </c>
    </row>
    <row r="180" spans="1:90">
      <c r="A180" s="2" t="s">
        <v>88</v>
      </c>
      <c r="B180" s="2" t="s">
        <v>72</v>
      </c>
      <c r="C180" s="2" t="s">
        <v>73</v>
      </c>
      <c r="E180" s="2" t="str">
        <f>"069907498230"</f>
        <v>069907498230</v>
      </c>
      <c r="F180" s="3">
        <v>42872</v>
      </c>
      <c r="G180" s="2">
        <v>201711</v>
      </c>
      <c r="H180" s="2" t="s">
        <v>151</v>
      </c>
      <c r="I180" s="2" t="s">
        <v>152</v>
      </c>
      <c r="J180" s="2" t="s">
        <v>91</v>
      </c>
      <c r="K180" s="2" t="s">
        <v>77</v>
      </c>
      <c r="L180" s="2" t="s">
        <v>78</v>
      </c>
      <c r="M180" s="2" t="s">
        <v>79</v>
      </c>
      <c r="N180" s="2" t="s">
        <v>91</v>
      </c>
      <c r="O180" s="2" t="s">
        <v>95</v>
      </c>
      <c r="P180" s="2" t="str">
        <f>"                              "</f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58.29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2</v>
      </c>
      <c r="BI180" s="2">
        <v>170</v>
      </c>
      <c r="BJ180" s="2">
        <v>104</v>
      </c>
      <c r="BK180" s="2">
        <v>170</v>
      </c>
      <c r="BL180" s="2">
        <v>531.84</v>
      </c>
      <c r="BM180" s="2">
        <v>74.459999999999994</v>
      </c>
      <c r="BN180" s="2">
        <v>606.29999999999995</v>
      </c>
      <c r="BO180" s="2">
        <v>606.29999999999995</v>
      </c>
      <c r="BS180" s="3">
        <v>42873</v>
      </c>
      <c r="BT180" s="4">
        <v>0.52430555555555558</v>
      </c>
      <c r="BU180" s="2" t="s">
        <v>400</v>
      </c>
      <c r="BV180" s="2" t="s">
        <v>85</v>
      </c>
      <c r="BY180" s="2">
        <v>520160</v>
      </c>
      <c r="CC180" s="2" t="s">
        <v>79</v>
      </c>
      <c r="CD180" s="2">
        <v>2000</v>
      </c>
      <c r="CE180" s="2" t="s">
        <v>120</v>
      </c>
      <c r="CF180" s="3">
        <v>42874</v>
      </c>
      <c r="CI180" s="2">
        <v>1</v>
      </c>
      <c r="CJ180" s="2">
        <v>1</v>
      </c>
      <c r="CK180" s="2" t="s">
        <v>133</v>
      </c>
      <c r="CL180" s="2" t="s">
        <v>87</v>
      </c>
    </row>
    <row r="181" spans="1:90">
      <c r="A181" s="2" t="s">
        <v>88</v>
      </c>
      <c r="B181" s="2" t="s">
        <v>72</v>
      </c>
      <c r="C181" s="2" t="s">
        <v>73</v>
      </c>
      <c r="E181" s="2" t="str">
        <f>"009935998992"</f>
        <v>009935998992</v>
      </c>
      <c r="F181" s="3">
        <v>42872</v>
      </c>
      <c r="G181" s="2">
        <v>201711</v>
      </c>
      <c r="H181" s="2" t="s">
        <v>158</v>
      </c>
      <c r="I181" s="2" t="s">
        <v>159</v>
      </c>
      <c r="J181" s="2" t="s">
        <v>76</v>
      </c>
      <c r="K181" s="2" t="s">
        <v>77</v>
      </c>
      <c r="L181" s="2" t="s">
        <v>176</v>
      </c>
      <c r="M181" s="2" t="s">
        <v>177</v>
      </c>
      <c r="N181" s="2" t="s">
        <v>209</v>
      </c>
      <c r="O181" s="2" t="s">
        <v>95</v>
      </c>
      <c r="P181" s="2" t="str">
        <f>"STORES                        "</f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9.0399999999999991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18</v>
      </c>
      <c r="BJ181" s="2">
        <v>23.6</v>
      </c>
      <c r="BK181" s="2">
        <v>24</v>
      </c>
      <c r="BL181" s="2">
        <v>86.67</v>
      </c>
      <c r="BM181" s="2">
        <v>12.13</v>
      </c>
      <c r="BN181" s="2">
        <v>98.8</v>
      </c>
      <c r="BO181" s="2">
        <v>98.8</v>
      </c>
      <c r="BQ181" s="2" t="s">
        <v>178</v>
      </c>
      <c r="BR181" s="2" t="s">
        <v>122</v>
      </c>
      <c r="BS181" s="3">
        <v>42873</v>
      </c>
      <c r="BT181" s="4">
        <v>0.51736111111111105</v>
      </c>
      <c r="BU181" s="2" t="s">
        <v>453</v>
      </c>
      <c r="BV181" s="2" t="s">
        <v>85</v>
      </c>
      <c r="BY181" s="2">
        <v>118054.8</v>
      </c>
      <c r="CC181" s="2" t="s">
        <v>177</v>
      </c>
      <c r="CD181" s="2">
        <v>4091</v>
      </c>
      <c r="CE181" s="2" t="s">
        <v>120</v>
      </c>
      <c r="CF181" s="3">
        <v>42874</v>
      </c>
      <c r="CI181" s="2">
        <v>1</v>
      </c>
      <c r="CJ181" s="2">
        <v>1</v>
      </c>
      <c r="CK181" s="2" t="s">
        <v>146</v>
      </c>
      <c r="CL181" s="2" t="s">
        <v>87</v>
      </c>
    </row>
    <row r="182" spans="1:90">
      <c r="A182" s="2" t="s">
        <v>88</v>
      </c>
      <c r="B182" s="2" t="s">
        <v>72</v>
      </c>
      <c r="C182" s="2" t="s">
        <v>73</v>
      </c>
      <c r="E182" s="2" t="str">
        <f>"029907613745"</f>
        <v>029907613745</v>
      </c>
      <c r="F182" s="3">
        <v>42872</v>
      </c>
      <c r="G182" s="2">
        <v>201711</v>
      </c>
      <c r="H182" s="2" t="s">
        <v>176</v>
      </c>
      <c r="I182" s="2" t="s">
        <v>177</v>
      </c>
      <c r="J182" s="2" t="s">
        <v>209</v>
      </c>
      <c r="K182" s="2" t="s">
        <v>77</v>
      </c>
      <c r="L182" s="2" t="s">
        <v>158</v>
      </c>
      <c r="M182" s="2" t="s">
        <v>159</v>
      </c>
      <c r="N182" s="2" t="s">
        <v>459</v>
      </c>
      <c r="O182" s="2" t="s">
        <v>81</v>
      </c>
      <c r="P182" s="2" t="str">
        <f>"1705340642                    "</f>
        <v xml:space="preserve">1705340642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5.82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2.2999999999999998</v>
      </c>
      <c r="BJ182" s="2">
        <v>1.4</v>
      </c>
      <c r="BK182" s="2">
        <v>2.5</v>
      </c>
      <c r="BL182" s="2">
        <v>52.62</v>
      </c>
      <c r="BM182" s="2">
        <v>7.37</v>
      </c>
      <c r="BN182" s="2">
        <v>59.99</v>
      </c>
      <c r="BO182" s="2">
        <v>59.99</v>
      </c>
      <c r="BQ182" s="2" t="s">
        <v>248</v>
      </c>
      <c r="BR182" s="2" t="s">
        <v>210</v>
      </c>
      <c r="BS182" s="3">
        <v>42873</v>
      </c>
      <c r="BT182" s="4">
        <v>0.38194444444444442</v>
      </c>
      <c r="BU182" s="2" t="s">
        <v>223</v>
      </c>
      <c r="BV182" s="2" t="s">
        <v>85</v>
      </c>
      <c r="BY182" s="2">
        <v>7200</v>
      </c>
      <c r="BZ182" s="2" t="s">
        <v>27</v>
      </c>
      <c r="CA182" s="2" t="s">
        <v>444</v>
      </c>
      <c r="CC182" s="2" t="s">
        <v>159</v>
      </c>
      <c r="CD182" s="2">
        <v>2146</v>
      </c>
      <c r="CE182" s="2" t="s">
        <v>120</v>
      </c>
      <c r="CF182" s="3">
        <v>42873</v>
      </c>
      <c r="CI182" s="2">
        <v>1</v>
      </c>
      <c r="CJ182" s="2">
        <v>1</v>
      </c>
      <c r="CK182" s="2">
        <v>21</v>
      </c>
      <c r="CL182" s="2" t="s">
        <v>87</v>
      </c>
    </row>
    <row r="183" spans="1:90">
      <c r="A183" s="2" t="s">
        <v>71</v>
      </c>
      <c r="B183" s="2" t="s">
        <v>72</v>
      </c>
      <c r="C183" s="2" t="s">
        <v>73</v>
      </c>
      <c r="E183" s="2" t="str">
        <f>"089901329374"</f>
        <v>089901329374</v>
      </c>
      <c r="F183" s="3">
        <v>42873</v>
      </c>
      <c r="G183" s="2">
        <v>201711</v>
      </c>
      <c r="H183" s="2" t="s">
        <v>180</v>
      </c>
      <c r="I183" s="2" t="s">
        <v>181</v>
      </c>
      <c r="J183" s="2" t="s">
        <v>76</v>
      </c>
      <c r="K183" s="2" t="s">
        <v>77</v>
      </c>
      <c r="L183" s="2" t="s">
        <v>78</v>
      </c>
      <c r="M183" s="2" t="s">
        <v>79</v>
      </c>
      <c r="N183" s="2" t="s">
        <v>460</v>
      </c>
      <c r="O183" s="2" t="s">
        <v>95</v>
      </c>
      <c r="P183" s="2" t="str">
        <f>"                              "</f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8.73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1.2</v>
      </c>
      <c r="BK183" s="2">
        <v>2</v>
      </c>
      <c r="BL183" s="2">
        <v>83.93</v>
      </c>
      <c r="BM183" s="2">
        <v>11.75</v>
      </c>
      <c r="BN183" s="2">
        <v>95.68</v>
      </c>
      <c r="BO183" s="2">
        <v>95.68</v>
      </c>
      <c r="BQ183" s="2" t="s">
        <v>386</v>
      </c>
      <c r="BR183" s="2" t="s">
        <v>184</v>
      </c>
      <c r="BS183" s="3">
        <v>42874</v>
      </c>
      <c r="BT183" s="4">
        <v>0.35069444444444442</v>
      </c>
      <c r="BU183" s="2" t="s">
        <v>98</v>
      </c>
      <c r="BV183" s="2" t="s">
        <v>85</v>
      </c>
      <c r="BY183" s="2">
        <v>6000</v>
      </c>
      <c r="CA183" s="2" t="s">
        <v>444</v>
      </c>
      <c r="CC183" s="2" t="s">
        <v>79</v>
      </c>
      <c r="CD183" s="2">
        <v>2000</v>
      </c>
      <c r="CE183" s="2" t="s">
        <v>120</v>
      </c>
      <c r="CF183" s="3">
        <v>42874</v>
      </c>
      <c r="CI183" s="2">
        <v>1</v>
      </c>
      <c r="CJ183" s="2">
        <v>1</v>
      </c>
      <c r="CK183" s="2" t="s">
        <v>185</v>
      </c>
      <c r="CL183" s="2" t="s">
        <v>87</v>
      </c>
    </row>
    <row r="184" spans="1:90">
      <c r="A184" s="2" t="s">
        <v>71</v>
      </c>
      <c r="B184" s="2" t="s">
        <v>72</v>
      </c>
      <c r="C184" s="2" t="s">
        <v>73</v>
      </c>
      <c r="E184" s="2" t="str">
        <f>"029907782022"</f>
        <v>029907782022</v>
      </c>
      <c r="F184" s="3">
        <v>42873</v>
      </c>
      <c r="G184" s="2">
        <v>201711</v>
      </c>
      <c r="H184" s="2" t="s">
        <v>216</v>
      </c>
      <c r="I184" s="2" t="s">
        <v>217</v>
      </c>
      <c r="J184" s="2" t="s">
        <v>461</v>
      </c>
      <c r="K184" s="2" t="s">
        <v>77</v>
      </c>
      <c r="L184" s="2" t="s">
        <v>105</v>
      </c>
      <c r="M184" s="2" t="s">
        <v>106</v>
      </c>
      <c r="N184" s="2" t="s">
        <v>462</v>
      </c>
      <c r="O184" s="2" t="s">
        <v>81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4.66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42.1</v>
      </c>
      <c r="BM184" s="2">
        <v>5.89</v>
      </c>
      <c r="BN184" s="2">
        <v>47.99</v>
      </c>
      <c r="BO184" s="2">
        <v>47.99</v>
      </c>
      <c r="BQ184" s="2" t="s">
        <v>463</v>
      </c>
      <c r="BS184" s="3">
        <v>42874</v>
      </c>
      <c r="BT184" s="4">
        <v>0.41666666666666669</v>
      </c>
      <c r="BU184" s="2" t="s">
        <v>446</v>
      </c>
      <c r="BV184" s="2" t="s">
        <v>85</v>
      </c>
      <c r="BY184" s="2">
        <v>1200</v>
      </c>
      <c r="BZ184" s="2" t="s">
        <v>27</v>
      </c>
      <c r="CC184" s="2" t="s">
        <v>106</v>
      </c>
      <c r="CD184" s="2">
        <v>8000</v>
      </c>
      <c r="CE184" s="2" t="s">
        <v>120</v>
      </c>
      <c r="CF184" s="3">
        <v>42877</v>
      </c>
      <c r="CI184" s="2">
        <v>1</v>
      </c>
      <c r="CJ184" s="2">
        <v>1</v>
      </c>
      <c r="CK184" s="2">
        <v>21</v>
      </c>
      <c r="CL184" s="2" t="s">
        <v>87</v>
      </c>
    </row>
    <row r="185" spans="1:90">
      <c r="A185" s="2" t="s">
        <v>88</v>
      </c>
      <c r="B185" s="2" t="s">
        <v>72</v>
      </c>
      <c r="C185" s="2" t="s">
        <v>73</v>
      </c>
      <c r="E185" s="2" t="str">
        <f>"009935552875"</f>
        <v>009935552875</v>
      </c>
      <c r="F185" s="3">
        <v>42863</v>
      </c>
      <c r="G185" s="2">
        <v>201711</v>
      </c>
      <c r="H185" s="2" t="s">
        <v>158</v>
      </c>
      <c r="I185" s="2" t="s">
        <v>159</v>
      </c>
      <c r="J185" s="2" t="s">
        <v>91</v>
      </c>
      <c r="K185" s="2" t="s">
        <v>77</v>
      </c>
      <c r="L185" s="2" t="s">
        <v>105</v>
      </c>
      <c r="M185" s="2" t="s">
        <v>106</v>
      </c>
      <c r="N185" s="2" t="s">
        <v>353</v>
      </c>
      <c r="O185" s="2" t="s">
        <v>81</v>
      </c>
      <c r="P185" s="2" t="str">
        <f>"LOCKS                         "</f>
        <v xml:space="preserve">LOCKS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9.32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4</v>
      </c>
      <c r="BK185" s="2">
        <v>4</v>
      </c>
      <c r="BL185" s="2">
        <v>84.2</v>
      </c>
      <c r="BM185" s="2">
        <v>11.79</v>
      </c>
      <c r="BN185" s="2">
        <v>95.99</v>
      </c>
      <c r="BO185" s="2">
        <v>95.99</v>
      </c>
      <c r="BQ185" s="2" t="s">
        <v>109</v>
      </c>
      <c r="BR185" s="2" t="s">
        <v>464</v>
      </c>
      <c r="BS185" s="3">
        <v>42865</v>
      </c>
      <c r="BT185" s="4">
        <v>0.38750000000000001</v>
      </c>
      <c r="BU185" s="2" t="s">
        <v>360</v>
      </c>
      <c r="BV185" s="2" t="s">
        <v>87</v>
      </c>
      <c r="BW185" s="2" t="s">
        <v>163</v>
      </c>
      <c r="BX185" s="2" t="s">
        <v>361</v>
      </c>
      <c r="BY185" s="2">
        <v>20160</v>
      </c>
      <c r="BZ185" s="2" t="s">
        <v>27</v>
      </c>
      <c r="CC185" s="2" t="s">
        <v>106</v>
      </c>
      <c r="CD185" s="2">
        <v>7705</v>
      </c>
      <c r="CE185" s="2" t="s">
        <v>120</v>
      </c>
      <c r="CF185" s="3">
        <v>42866</v>
      </c>
      <c r="CI185" s="2">
        <v>1</v>
      </c>
      <c r="CJ185" s="2">
        <v>2</v>
      </c>
      <c r="CK185" s="2">
        <v>21</v>
      </c>
      <c r="CL185" s="2" t="s">
        <v>87</v>
      </c>
    </row>
    <row r="186" spans="1:90">
      <c r="A186" s="2" t="s">
        <v>88</v>
      </c>
      <c r="B186" s="2" t="s">
        <v>72</v>
      </c>
      <c r="C186" s="2" t="s">
        <v>73</v>
      </c>
      <c r="E186" s="2" t="str">
        <f>"009935636060"</f>
        <v>009935636060</v>
      </c>
      <c r="F186" s="3">
        <v>42873</v>
      </c>
      <c r="G186" s="2">
        <v>201711</v>
      </c>
      <c r="H186" s="2" t="s">
        <v>158</v>
      </c>
      <c r="I186" s="2" t="s">
        <v>159</v>
      </c>
      <c r="J186" s="2" t="s">
        <v>91</v>
      </c>
      <c r="K186" s="2" t="s">
        <v>77</v>
      </c>
      <c r="L186" s="2" t="s">
        <v>189</v>
      </c>
      <c r="M186" s="2" t="s">
        <v>98</v>
      </c>
      <c r="N186" s="2" t="s">
        <v>76</v>
      </c>
      <c r="O186" s="2" t="s">
        <v>81</v>
      </c>
      <c r="P186" s="2" t="str">
        <f>"LOCKS                         "</f>
        <v xml:space="preserve">LOCKS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12.81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1.5</v>
      </c>
      <c r="BJ186" s="2">
        <v>5.5</v>
      </c>
      <c r="BK186" s="2">
        <v>5.5</v>
      </c>
      <c r="BL186" s="2">
        <v>115.77</v>
      </c>
      <c r="BM186" s="2">
        <v>16.21</v>
      </c>
      <c r="BN186" s="2">
        <v>131.97999999999999</v>
      </c>
      <c r="BO186" s="2">
        <v>131.97999999999999</v>
      </c>
      <c r="BQ186" s="2" t="s">
        <v>465</v>
      </c>
      <c r="BS186" s="3">
        <v>42881</v>
      </c>
      <c r="BT186" s="4">
        <v>0.33333333333333331</v>
      </c>
      <c r="BU186" s="2" t="s">
        <v>466</v>
      </c>
      <c r="BV186" s="2" t="s">
        <v>87</v>
      </c>
      <c r="BW186" s="2" t="s">
        <v>229</v>
      </c>
      <c r="BX186" s="2" t="s">
        <v>230</v>
      </c>
      <c r="BY186" s="2">
        <v>27537.3</v>
      </c>
      <c r="BZ186" s="2" t="s">
        <v>27</v>
      </c>
      <c r="CC186" s="2" t="s">
        <v>98</v>
      </c>
      <c r="CD186" s="2">
        <v>6530</v>
      </c>
      <c r="CE186" s="2" t="s">
        <v>120</v>
      </c>
      <c r="CF186" s="3">
        <v>42885</v>
      </c>
      <c r="CI186" s="2">
        <v>1</v>
      </c>
      <c r="CJ186" s="2">
        <v>6</v>
      </c>
      <c r="CK186" s="2">
        <v>21</v>
      </c>
      <c r="CL186" s="2" t="s">
        <v>87</v>
      </c>
    </row>
    <row r="187" spans="1:90">
      <c r="A187" s="2" t="s">
        <v>88</v>
      </c>
      <c r="B187" s="2" t="s">
        <v>72</v>
      </c>
      <c r="C187" s="2" t="s">
        <v>73</v>
      </c>
      <c r="E187" s="2" t="str">
        <f>"009936002709"</f>
        <v>009936002709</v>
      </c>
      <c r="F187" s="3">
        <v>42873</v>
      </c>
      <c r="G187" s="2">
        <v>201711</v>
      </c>
      <c r="H187" s="2" t="s">
        <v>158</v>
      </c>
      <c r="I187" s="2" t="s">
        <v>159</v>
      </c>
      <c r="J187" s="2" t="s">
        <v>91</v>
      </c>
      <c r="K187" s="2" t="s">
        <v>77</v>
      </c>
      <c r="L187" s="2" t="s">
        <v>176</v>
      </c>
      <c r="M187" s="2" t="s">
        <v>177</v>
      </c>
      <c r="N187" s="2" t="s">
        <v>467</v>
      </c>
      <c r="O187" s="2" t="s">
        <v>81</v>
      </c>
      <c r="P187" s="2" t="str">
        <f>"LOCK                          "</f>
        <v xml:space="preserve">LOCK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6.99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0.6</v>
      </c>
      <c r="BJ187" s="2">
        <v>2.7</v>
      </c>
      <c r="BK187" s="2">
        <v>3</v>
      </c>
      <c r="BL187" s="2">
        <v>63.15</v>
      </c>
      <c r="BM187" s="2">
        <v>8.84</v>
      </c>
      <c r="BN187" s="2">
        <v>71.989999999999995</v>
      </c>
      <c r="BO187" s="2">
        <v>71.989999999999995</v>
      </c>
      <c r="BQ187" s="2" t="s">
        <v>178</v>
      </c>
      <c r="BR187" s="2" t="s">
        <v>122</v>
      </c>
      <c r="BS187" s="3">
        <v>42874</v>
      </c>
      <c r="BT187" s="4">
        <v>0.39583333333333331</v>
      </c>
      <c r="BU187" s="2" t="s">
        <v>283</v>
      </c>
      <c r="BV187" s="2" t="s">
        <v>85</v>
      </c>
      <c r="BY187" s="2">
        <v>13641.76</v>
      </c>
      <c r="BZ187" s="2" t="s">
        <v>27</v>
      </c>
      <c r="CC187" s="2" t="s">
        <v>177</v>
      </c>
      <c r="CD187" s="2">
        <v>4091</v>
      </c>
      <c r="CE187" s="2" t="s">
        <v>120</v>
      </c>
      <c r="CF187" s="3">
        <v>42877</v>
      </c>
      <c r="CI187" s="2">
        <v>1</v>
      </c>
      <c r="CJ187" s="2">
        <v>1</v>
      </c>
      <c r="CK187" s="2">
        <v>21</v>
      </c>
      <c r="CL187" s="2" t="s">
        <v>87</v>
      </c>
    </row>
    <row r="188" spans="1:90">
      <c r="A188" s="2" t="s">
        <v>88</v>
      </c>
      <c r="B188" s="2" t="s">
        <v>72</v>
      </c>
      <c r="C188" s="2" t="s">
        <v>73</v>
      </c>
      <c r="E188" s="2" t="str">
        <f>"009936115944"</f>
        <v>009936115944</v>
      </c>
      <c r="F188" s="3">
        <v>42873</v>
      </c>
      <c r="G188" s="2">
        <v>201711</v>
      </c>
      <c r="H188" s="2" t="s">
        <v>158</v>
      </c>
      <c r="I188" s="2" t="s">
        <v>159</v>
      </c>
      <c r="J188" s="2" t="s">
        <v>76</v>
      </c>
      <c r="K188" s="2" t="s">
        <v>77</v>
      </c>
      <c r="L188" s="2" t="s">
        <v>138</v>
      </c>
      <c r="M188" s="2" t="s">
        <v>139</v>
      </c>
      <c r="N188" s="2" t="s">
        <v>468</v>
      </c>
      <c r="O188" s="2" t="s">
        <v>95</v>
      </c>
      <c r="P188" s="2" t="str">
        <f>"STRES                         "</f>
        <v xml:space="preserve">STRES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6.83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5.7</v>
      </c>
      <c r="BJ188" s="2">
        <v>15.4</v>
      </c>
      <c r="BK188" s="2">
        <v>16</v>
      </c>
      <c r="BL188" s="2">
        <v>66.7</v>
      </c>
      <c r="BM188" s="2">
        <v>9.34</v>
      </c>
      <c r="BN188" s="2">
        <v>76.040000000000006</v>
      </c>
      <c r="BO188" s="2">
        <v>76.040000000000006</v>
      </c>
      <c r="BQ188" s="2" t="s">
        <v>140</v>
      </c>
      <c r="BR188" s="2" t="s">
        <v>122</v>
      </c>
      <c r="BS188" s="3">
        <v>42874</v>
      </c>
      <c r="BT188" s="4">
        <v>0.42708333333333331</v>
      </c>
      <c r="BU188" s="2" t="s">
        <v>369</v>
      </c>
      <c r="BV188" s="2" t="s">
        <v>85</v>
      </c>
      <c r="BY188" s="2">
        <v>76833.72</v>
      </c>
      <c r="CC188" s="2" t="s">
        <v>139</v>
      </c>
      <c r="CD188" s="2">
        <v>9301</v>
      </c>
      <c r="CE188" s="2" t="s">
        <v>120</v>
      </c>
      <c r="CF188" s="3">
        <v>42877</v>
      </c>
      <c r="CI188" s="2">
        <v>1</v>
      </c>
      <c r="CJ188" s="2">
        <v>1</v>
      </c>
      <c r="CK188" s="2" t="s">
        <v>142</v>
      </c>
      <c r="CL188" s="2" t="s">
        <v>87</v>
      </c>
    </row>
    <row r="189" spans="1:90">
      <c r="A189" s="2" t="s">
        <v>88</v>
      </c>
      <c r="B189" s="2" t="s">
        <v>72</v>
      </c>
      <c r="C189" s="2" t="s">
        <v>73</v>
      </c>
      <c r="E189" s="2" t="str">
        <f>"009935802764"</f>
        <v>009935802764</v>
      </c>
      <c r="F189" s="3">
        <v>42873</v>
      </c>
      <c r="G189" s="2">
        <v>201711</v>
      </c>
      <c r="H189" s="2" t="s">
        <v>158</v>
      </c>
      <c r="I189" s="2" t="s">
        <v>159</v>
      </c>
      <c r="J189" s="2" t="s">
        <v>91</v>
      </c>
      <c r="K189" s="2" t="s">
        <v>77</v>
      </c>
      <c r="L189" s="2" t="s">
        <v>130</v>
      </c>
      <c r="M189" s="2" t="s">
        <v>131</v>
      </c>
      <c r="N189" s="2" t="s">
        <v>469</v>
      </c>
      <c r="O189" s="2" t="s">
        <v>95</v>
      </c>
      <c r="P189" s="2" t="str">
        <f>"STORES                        "</f>
        <v xml:space="preserve">STORES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17.78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21.8</v>
      </c>
      <c r="BJ189" s="2">
        <v>36.1</v>
      </c>
      <c r="BK189" s="2">
        <v>37</v>
      </c>
      <c r="BL189" s="2">
        <v>165.71</v>
      </c>
      <c r="BM189" s="2">
        <v>23.2</v>
      </c>
      <c r="BN189" s="2">
        <v>188.91</v>
      </c>
      <c r="BO189" s="2">
        <v>188.91</v>
      </c>
      <c r="BQ189" s="2" t="s">
        <v>470</v>
      </c>
      <c r="BR189" s="2" t="s">
        <v>312</v>
      </c>
      <c r="BS189" s="2" t="s">
        <v>471</v>
      </c>
      <c r="BY189" s="2">
        <v>180720.54</v>
      </c>
      <c r="CC189" s="2" t="s">
        <v>131</v>
      </c>
      <c r="CD189" s="2">
        <v>3201</v>
      </c>
      <c r="CE189" s="2" t="s">
        <v>120</v>
      </c>
      <c r="CI189" s="2">
        <v>1</v>
      </c>
      <c r="CJ189" s="2" t="s">
        <v>471</v>
      </c>
      <c r="CK189" s="2" t="s">
        <v>161</v>
      </c>
      <c r="CL189" s="2" t="s">
        <v>87</v>
      </c>
    </row>
    <row r="190" spans="1:90">
      <c r="A190" s="2" t="s">
        <v>88</v>
      </c>
      <c r="B190" s="2" t="s">
        <v>72</v>
      </c>
      <c r="C190" s="2" t="s">
        <v>73</v>
      </c>
      <c r="E190" s="2" t="str">
        <f>"009935552900"</f>
        <v>009935552900</v>
      </c>
      <c r="F190" s="3">
        <v>42873</v>
      </c>
      <c r="G190" s="2">
        <v>201711</v>
      </c>
      <c r="H190" s="2" t="s">
        <v>158</v>
      </c>
      <c r="I190" s="2" t="s">
        <v>159</v>
      </c>
      <c r="J190" s="2" t="s">
        <v>91</v>
      </c>
      <c r="K190" s="2" t="s">
        <v>77</v>
      </c>
      <c r="L190" s="2" t="s">
        <v>105</v>
      </c>
      <c r="M190" s="2" t="s">
        <v>106</v>
      </c>
      <c r="N190" s="2" t="s">
        <v>472</v>
      </c>
      <c r="O190" s="2" t="s">
        <v>81</v>
      </c>
      <c r="P190" s="2" t="str">
        <f>"LOCKS                         "</f>
        <v xml:space="preserve">LOCKS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4.66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0.6</v>
      </c>
      <c r="BJ190" s="2">
        <v>1.6</v>
      </c>
      <c r="BK190" s="2">
        <v>2</v>
      </c>
      <c r="BL190" s="2">
        <v>42.1</v>
      </c>
      <c r="BM190" s="2">
        <v>5.89</v>
      </c>
      <c r="BN190" s="2">
        <v>47.99</v>
      </c>
      <c r="BO190" s="2">
        <v>47.99</v>
      </c>
      <c r="BQ190" s="2" t="s">
        <v>109</v>
      </c>
      <c r="BR190" s="2" t="s">
        <v>464</v>
      </c>
      <c r="BS190" s="3">
        <v>42874</v>
      </c>
      <c r="BT190" s="4">
        <v>0.41666666666666669</v>
      </c>
      <c r="BU190" s="2" t="s">
        <v>446</v>
      </c>
      <c r="BV190" s="2" t="s">
        <v>85</v>
      </c>
      <c r="BY190" s="2">
        <v>7804.77</v>
      </c>
      <c r="CC190" s="2" t="s">
        <v>106</v>
      </c>
      <c r="CD190" s="2">
        <v>7700</v>
      </c>
      <c r="CE190" s="2" t="s">
        <v>120</v>
      </c>
      <c r="CF190" s="3">
        <v>42877</v>
      </c>
      <c r="CI190" s="2">
        <v>1</v>
      </c>
      <c r="CJ190" s="2">
        <v>1</v>
      </c>
      <c r="CK190" s="2">
        <v>21</v>
      </c>
      <c r="CL190" s="2" t="s">
        <v>87</v>
      </c>
    </row>
    <row r="191" spans="1:90">
      <c r="A191" s="2" t="s">
        <v>71</v>
      </c>
      <c r="B191" s="2" t="s">
        <v>72</v>
      </c>
      <c r="C191" s="2" t="s">
        <v>73</v>
      </c>
      <c r="E191" s="2" t="str">
        <f>"029907767889"</f>
        <v>029907767889</v>
      </c>
      <c r="F191" s="3">
        <v>42874</v>
      </c>
      <c r="G191" s="2">
        <v>201711</v>
      </c>
      <c r="H191" s="2" t="s">
        <v>216</v>
      </c>
      <c r="I191" s="2" t="s">
        <v>217</v>
      </c>
      <c r="J191" s="2" t="s">
        <v>218</v>
      </c>
      <c r="K191" s="2" t="s">
        <v>77</v>
      </c>
      <c r="L191" s="2" t="s">
        <v>158</v>
      </c>
      <c r="M191" s="2" t="s">
        <v>159</v>
      </c>
      <c r="N191" s="2" t="s">
        <v>218</v>
      </c>
      <c r="O191" s="2" t="s">
        <v>95</v>
      </c>
      <c r="P191" s="2" t="str">
        <f>"                              "</f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9.5299999999999994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8</v>
      </c>
      <c r="BJ191" s="2">
        <v>2.4</v>
      </c>
      <c r="BK191" s="2">
        <v>8</v>
      </c>
      <c r="BL191" s="2">
        <v>91.17</v>
      </c>
      <c r="BM191" s="2">
        <v>12.76</v>
      </c>
      <c r="BN191" s="2">
        <v>103.93</v>
      </c>
      <c r="BO191" s="2">
        <v>103.93</v>
      </c>
      <c r="BS191" s="3">
        <v>42877</v>
      </c>
      <c r="BT191" s="4">
        <v>0.48958333333333331</v>
      </c>
      <c r="BU191" s="2" t="s">
        <v>364</v>
      </c>
      <c r="BV191" s="2" t="s">
        <v>85</v>
      </c>
      <c r="BY191" s="2">
        <v>12000</v>
      </c>
      <c r="CC191" s="2" t="s">
        <v>159</v>
      </c>
      <c r="CD191" s="2">
        <v>2146</v>
      </c>
      <c r="CE191" s="2" t="s">
        <v>473</v>
      </c>
      <c r="CF191" s="3">
        <v>42878</v>
      </c>
      <c r="CI191" s="2">
        <v>2</v>
      </c>
      <c r="CJ191" s="2">
        <v>1</v>
      </c>
      <c r="CK191" s="2" t="s">
        <v>221</v>
      </c>
      <c r="CL191" s="2" t="s">
        <v>87</v>
      </c>
    </row>
    <row r="192" spans="1:90">
      <c r="A192" s="2" t="s">
        <v>71</v>
      </c>
      <c r="B192" s="2" t="s">
        <v>72</v>
      </c>
      <c r="C192" s="2" t="s">
        <v>73</v>
      </c>
      <c r="E192" s="2" t="str">
        <f>"029907613743"</f>
        <v>029907613743</v>
      </c>
      <c r="F192" s="3">
        <v>42874</v>
      </c>
      <c r="G192" s="2">
        <v>201711</v>
      </c>
      <c r="H192" s="2" t="s">
        <v>176</v>
      </c>
      <c r="I192" s="2" t="s">
        <v>177</v>
      </c>
      <c r="J192" s="2" t="s">
        <v>209</v>
      </c>
      <c r="K192" s="2" t="s">
        <v>77</v>
      </c>
      <c r="L192" s="2" t="s">
        <v>158</v>
      </c>
      <c r="M192" s="2" t="s">
        <v>159</v>
      </c>
      <c r="N192" s="2" t="s">
        <v>459</v>
      </c>
      <c r="O192" s="2" t="s">
        <v>81</v>
      </c>
      <c r="P192" s="2" t="str">
        <f>"                              "</f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4.66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1</v>
      </c>
      <c r="BJ192" s="2">
        <v>0.2</v>
      </c>
      <c r="BK192" s="2">
        <v>1</v>
      </c>
      <c r="BL192" s="2">
        <v>42.1</v>
      </c>
      <c r="BM192" s="2">
        <v>5.89</v>
      </c>
      <c r="BN192" s="2">
        <v>47.99</v>
      </c>
      <c r="BO192" s="2">
        <v>47.99</v>
      </c>
      <c r="BQ192" s="2" t="s">
        <v>172</v>
      </c>
      <c r="BR192" s="2" t="s">
        <v>210</v>
      </c>
      <c r="BS192" s="3">
        <v>42877</v>
      </c>
      <c r="BT192" s="4">
        <v>0.43263888888888885</v>
      </c>
      <c r="BU192" s="2" t="s">
        <v>223</v>
      </c>
      <c r="BV192" s="2" t="s">
        <v>85</v>
      </c>
      <c r="BY192" s="2">
        <v>1200</v>
      </c>
      <c r="BZ192" s="2" t="s">
        <v>27</v>
      </c>
      <c r="CA192" s="2" t="s">
        <v>444</v>
      </c>
      <c r="CC192" s="2" t="s">
        <v>159</v>
      </c>
      <c r="CD192" s="2">
        <v>2146</v>
      </c>
      <c r="CE192" s="2" t="s">
        <v>120</v>
      </c>
      <c r="CF192" s="3">
        <v>42877</v>
      </c>
      <c r="CI192" s="2">
        <v>1</v>
      </c>
      <c r="CJ192" s="2">
        <v>1</v>
      </c>
      <c r="CK192" s="2">
        <v>21</v>
      </c>
      <c r="CL192" s="2" t="s">
        <v>87</v>
      </c>
    </row>
    <row r="193" spans="1:90">
      <c r="A193" s="2" t="s">
        <v>88</v>
      </c>
      <c r="B193" s="2" t="s">
        <v>72</v>
      </c>
      <c r="C193" s="2" t="s">
        <v>73</v>
      </c>
      <c r="E193" s="2" t="str">
        <f>"009935613990"</f>
        <v>009935613990</v>
      </c>
      <c r="F193" s="3">
        <v>42874</v>
      </c>
      <c r="G193" s="2">
        <v>201711</v>
      </c>
      <c r="H193" s="2" t="s">
        <v>158</v>
      </c>
      <c r="I193" s="2" t="s">
        <v>159</v>
      </c>
      <c r="J193" s="2" t="s">
        <v>91</v>
      </c>
      <c r="K193" s="2" t="s">
        <v>77</v>
      </c>
      <c r="L193" s="2" t="s">
        <v>273</v>
      </c>
      <c r="M193" s="2" t="s">
        <v>274</v>
      </c>
      <c r="N193" s="2" t="s">
        <v>275</v>
      </c>
      <c r="O193" s="2" t="s">
        <v>81</v>
      </c>
      <c r="P193" s="2" t="str">
        <f t="shared" ref="P193:P201" si="6">"N                             "</f>
        <v xml:space="preserve">N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9.02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</v>
      </c>
      <c r="BJ193" s="2">
        <v>0.3</v>
      </c>
      <c r="BK193" s="2">
        <v>1</v>
      </c>
      <c r="BL193" s="2">
        <v>81.56</v>
      </c>
      <c r="BM193" s="2">
        <v>11.42</v>
      </c>
      <c r="BN193" s="2">
        <v>92.98</v>
      </c>
      <c r="BO193" s="2">
        <v>92.98</v>
      </c>
      <c r="BQ193" s="2" t="s">
        <v>145</v>
      </c>
      <c r="BR193" s="2" t="s">
        <v>474</v>
      </c>
      <c r="BS193" s="3">
        <v>42878</v>
      </c>
      <c r="BT193" s="4">
        <v>0.39513888888888887</v>
      </c>
      <c r="BU193" s="2" t="s">
        <v>145</v>
      </c>
      <c r="BV193" s="2" t="s">
        <v>85</v>
      </c>
      <c r="BY193" s="2">
        <v>1292</v>
      </c>
      <c r="BZ193" s="2" t="s">
        <v>27</v>
      </c>
      <c r="CC193" s="2" t="s">
        <v>274</v>
      </c>
      <c r="CD193" s="2">
        <v>3370</v>
      </c>
      <c r="CE193" s="2" t="s">
        <v>475</v>
      </c>
      <c r="CF193" s="3">
        <v>42880</v>
      </c>
      <c r="CI193" s="2">
        <v>3</v>
      </c>
      <c r="CJ193" s="2">
        <v>2</v>
      </c>
      <c r="CK193" s="2">
        <v>23</v>
      </c>
      <c r="CL193" s="2" t="s">
        <v>87</v>
      </c>
    </row>
    <row r="194" spans="1:90">
      <c r="A194" s="2" t="s">
        <v>88</v>
      </c>
      <c r="B194" s="2" t="s">
        <v>72</v>
      </c>
      <c r="C194" s="2" t="s">
        <v>73</v>
      </c>
      <c r="E194" s="2" t="str">
        <f>"009934949891"</f>
        <v>009934949891</v>
      </c>
      <c r="F194" s="3">
        <v>42874</v>
      </c>
      <c r="G194" s="2">
        <v>201711</v>
      </c>
      <c r="H194" s="2" t="s">
        <v>158</v>
      </c>
      <c r="I194" s="2" t="s">
        <v>159</v>
      </c>
      <c r="J194" s="2" t="s">
        <v>91</v>
      </c>
      <c r="K194" s="2" t="s">
        <v>77</v>
      </c>
      <c r="L194" s="2" t="s">
        <v>151</v>
      </c>
      <c r="M194" s="2" t="s">
        <v>152</v>
      </c>
      <c r="N194" s="2" t="s">
        <v>91</v>
      </c>
      <c r="O194" s="2" t="s">
        <v>81</v>
      </c>
      <c r="P194" s="2" t="str">
        <f t="shared" si="6"/>
        <v xml:space="preserve">N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4.66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</v>
      </c>
      <c r="BJ194" s="2">
        <v>0.3</v>
      </c>
      <c r="BK194" s="2">
        <v>1</v>
      </c>
      <c r="BL194" s="2">
        <v>42.1</v>
      </c>
      <c r="BM194" s="2">
        <v>5.89</v>
      </c>
      <c r="BN194" s="2">
        <v>47.99</v>
      </c>
      <c r="BO194" s="2">
        <v>47.99</v>
      </c>
      <c r="BQ194" s="2" t="s">
        <v>153</v>
      </c>
      <c r="BR194" s="2" t="s">
        <v>476</v>
      </c>
      <c r="BS194" s="3">
        <v>42877</v>
      </c>
      <c r="BT194" s="4">
        <v>0.39652777777777781</v>
      </c>
      <c r="BU194" s="2" t="s">
        <v>365</v>
      </c>
      <c r="BV194" s="2" t="s">
        <v>85</v>
      </c>
      <c r="BY194" s="2">
        <v>1292</v>
      </c>
      <c r="BZ194" s="2" t="s">
        <v>27</v>
      </c>
      <c r="CC194" s="2" t="s">
        <v>152</v>
      </c>
      <c r="CD194" s="2">
        <v>699</v>
      </c>
      <c r="CE194" s="2" t="s">
        <v>475</v>
      </c>
      <c r="CF194" s="3">
        <v>42878</v>
      </c>
      <c r="CI194" s="2">
        <v>1</v>
      </c>
      <c r="CJ194" s="2">
        <v>1</v>
      </c>
      <c r="CK194" s="2">
        <v>21</v>
      </c>
      <c r="CL194" s="2" t="s">
        <v>87</v>
      </c>
    </row>
    <row r="195" spans="1:90">
      <c r="A195" s="2" t="s">
        <v>88</v>
      </c>
      <c r="B195" s="2" t="s">
        <v>72</v>
      </c>
      <c r="C195" s="2" t="s">
        <v>73</v>
      </c>
      <c r="E195" s="2" t="str">
        <f>"009935613989"</f>
        <v>009935613989</v>
      </c>
      <c r="F195" s="3">
        <v>42874</v>
      </c>
      <c r="G195" s="2">
        <v>201711</v>
      </c>
      <c r="H195" s="2" t="s">
        <v>78</v>
      </c>
      <c r="I195" s="2" t="s">
        <v>79</v>
      </c>
      <c r="J195" s="2" t="s">
        <v>91</v>
      </c>
      <c r="K195" s="2" t="s">
        <v>77</v>
      </c>
      <c r="L195" s="2" t="s">
        <v>124</v>
      </c>
      <c r="M195" s="2" t="s">
        <v>125</v>
      </c>
      <c r="N195" s="2" t="s">
        <v>477</v>
      </c>
      <c r="O195" s="2" t="s">
        <v>81</v>
      </c>
      <c r="P195" s="2" t="str">
        <f t="shared" si="6"/>
        <v xml:space="preserve">N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6.54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</v>
      </c>
      <c r="BJ195" s="2">
        <v>0.3</v>
      </c>
      <c r="BK195" s="2">
        <v>1</v>
      </c>
      <c r="BL195" s="2">
        <v>59.1</v>
      </c>
      <c r="BM195" s="2">
        <v>8.27</v>
      </c>
      <c r="BN195" s="2">
        <v>67.37</v>
      </c>
      <c r="BO195" s="2">
        <v>67.37</v>
      </c>
      <c r="BQ195" s="2" t="s">
        <v>237</v>
      </c>
      <c r="BR195" s="2" t="s">
        <v>478</v>
      </c>
      <c r="BS195" s="3">
        <v>42877</v>
      </c>
      <c r="BT195" s="4">
        <v>0.34027777777777773</v>
      </c>
      <c r="BU195" s="2" t="s">
        <v>246</v>
      </c>
      <c r="BV195" s="2" t="s">
        <v>85</v>
      </c>
      <c r="BY195" s="2">
        <v>1292</v>
      </c>
      <c r="BZ195" s="2" t="s">
        <v>27</v>
      </c>
      <c r="CC195" s="2" t="s">
        <v>125</v>
      </c>
      <c r="CD195" s="2">
        <v>299</v>
      </c>
      <c r="CE195" s="2" t="s">
        <v>110</v>
      </c>
      <c r="CF195" s="3">
        <v>42879</v>
      </c>
      <c r="CI195" s="2">
        <v>1</v>
      </c>
      <c r="CJ195" s="2">
        <v>1</v>
      </c>
      <c r="CK195" s="2">
        <v>24</v>
      </c>
      <c r="CL195" s="2" t="s">
        <v>87</v>
      </c>
    </row>
    <row r="196" spans="1:90">
      <c r="A196" s="2" t="s">
        <v>88</v>
      </c>
      <c r="B196" s="2" t="s">
        <v>72</v>
      </c>
      <c r="C196" s="2" t="s">
        <v>73</v>
      </c>
      <c r="E196" s="2" t="str">
        <f>"009935802763"</f>
        <v>009935802763</v>
      </c>
      <c r="F196" s="3">
        <v>42874</v>
      </c>
      <c r="G196" s="2">
        <v>201711</v>
      </c>
      <c r="H196" s="2" t="s">
        <v>78</v>
      </c>
      <c r="I196" s="2" t="s">
        <v>79</v>
      </c>
      <c r="J196" s="2" t="s">
        <v>91</v>
      </c>
      <c r="K196" s="2" t="s">
        <v>77</v>
      </c>
      <c r="L196" s="2" t="s">
        <v>151</v>
      </c>
      <c r="M196" s="2" t="s">
        <v>152</v>
      </c>
      <c r="N196" s="2" t="s">
        <v>391</v>
      </c>
      <c r="O196" s="2" t="s">
        <v>95</v>
      </c>
      <c r="P196" s="2" t="str">
        <f t="shared" si="6"/>
        <v xml:space="preserve">N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44.94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5</v>
      </c>
      <c r="BI196" s="2">
        <v>154</v>
      </c>
      <c r="BJ196" s="2">
        <v>93.2</v>
      </c>
      <c r="BK196" s="2">
        <v>154</v>
      </c>
      <c r="BL196" s="2">
        <v>411.17</v>
      </c>
      <c r="BM196" s="2">
        <v>57.56</v>
      </c>
      <c r="BN196" s="2">
        <v>468.73</v>
      </c>
      <c r="BO196" s="2">
        <v>468.73</v>
      </c>
      <c r="BQ196" s="2" t="s">
        <v>153</v>
      </c>
      <c r="BR196" s="2" t="s">
        <v>330</v>
      </c>
      <c r="BS196" s="3">
        <v>42877</v>
      </c>
      <c r="BT196" s="4">
        <v>0.50138888888888888</v>
      </c>
      <c r="BU196" s="2" t="s">
        <v>365</v>
      </c>
      <c r="BV196" s="2" t="s">
        <v>85</v>
      </c>
      <c r="BY196" s="2">
        <v>466156</v>
      </c>
      <c r="CC196" s="2" t="s">
        <v>152</v>
      </c>
      <c r="CD196" s="2">
        <v>699</v>
      </c>
      <c r="CE196" s="2" t="s">
        <v>86</v>
      </c>
      <c r="CF196" s="3">
        <v>42879</v>
      </c>
      <c r="CI196" s="2">
        <v>1</v>
      </c>
      <c r="CJ196" s="2">
        <v>1</v>
      </c>
      <c r="CK196" s="2" t="s">
        <v>142</v>
      </c>
      <c r="CL196" s="2" t="s">
        <v>87</v>
      </c>
    </row>
    <row r="197" spans="1:90">
      <c r="A197" s="2" t="s">
        <v>88</v>
      </c>
      <c r="B197" s="2" t="s">
        <v>72</v>
      </c>
      <c r="C197" s="2" t="s">
        <v>73</v>
      </c>
      <c r="E197" s="2" t="str">
        <f>"009935957093"</f>
        <v>009935957093</v>
      </c>
      <c r="F197" s="3">
        <v>42874</v>
      </c>
      <c r="G197" s="2">
        <v>201711</v>
      </c>
      <c r="H197" s="2" t="s">
        <v>78</v>
      </c>
      <c r="I197" s="2" t="s">
        <v>79</v>
      </c>
      <c r="J197" s="2" t="s">
        <v>91</v>
      </c>
      <c r="K197" s="2" t="s">
        <v>77</v>
      </c>
      <c r="L197" s="2" t="s">
        <v>111</v>
      </c>
      <c r="M197" s="2" t="s">
        <v>112</v>
      </c>
      <c r="N197" s="2" t="s">
        <v>147</v>
      </c>
      <c r="O197" s="2" t="s">
        <v>95</v>
      </c>
      <c r="P197" s="2" t="str">
        <f t="shared" si="6"/>
        <v xml:space="preserve">N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23.76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4</v>
      </c>
      <c r="BI197" s="2">
        <v>58</v>
      </c>
      <c r="BJ197" s="2">
        <v>61.9</v>
      </c>
      <c r="BK197" s="2">
        <v>62</v>
      </c>
      <c r="BL197" s="2">
        <v>219.75</v>
      </c>
      <c r="BM197" s="2">
        <v>30.77</v>
      </c>
      <c r="BN197" s="2">
        <v>250.52</v>
      </c>
      <c r="BO197" s="2">
        <v>250.52</v>
      </c>
      <c r="BQ197" s="2" t="s">
        <v>121</v>
      </c>
      <c r="BR197" s="2" t="s">
        <v>239</v>
      </c>
      <c r="BS197" s="3">
        <v>42877</v>
      </c>
      <c r="BT197" s="4">
        <v>0.4375</v>
      </c>
      <c r="BU197" s="2" t="s">
        <v>225</v>
      </c>
      <c r="BV197" s="2" t="s">
        <v>85</v>
      </c>
      <c r="BY197" s="2">
        <v>277772</v>
      </c>
      <c r="CC197" s="2" t="s">
        <v>112</v>
      </c>
      <c r="CD197" s="2">
        <v>1034</v>
      </c>
      <c r="CE197" s="2" t="s">
        <v>86</v>
      </c>
      <c r="CF197" s="3">
        <v>42878</v>
      </c>
      <c r="CI197" s="2">
        <v>1</v>
      </c>
      <c r="CJ197" s="2">
        <v>1</v>
      </c>
      <c r="CK197" s="2" t="s">
        <v>133</v>
      </c>
      <c r="CL197" s="2" t="s">
        <v>87</v>
      </c>
    </row>
    <row r="198" spans="1:90">
      <c r="A198" s="2" t="s">
        <v>88</v>
      </c>
      <c r="B198" s="2" t="s">
        <v>72</v>
      </c>
      <c r="C198" s="2" t="s">
        <v>73</v>
      </c>
      <c r="E198" s="2" t="str">
        <f>"009936078418"</f>
        <v>009936078418</v>
      </c>
      <c r="F198" s="3">
        <v>42874</v>
      </c>
      <c r="G198" s="2">
        <v>201711</v>
      </c>
      <c r="H198" s="2" t="s">
        <v>158</v>
      </c>
      <c r="I198" s="2" t="s">
        <v>159</v>
      </c>
      <c r="J198" s="2" t="s">
        <v>91</v>
      </c>
      <c r="K198" s="2" t="s">
        <v>77</v>
      </c>
      <c r="L198" s="2" t="s">
        <v>186</v>
      </c>
      <c r="M198" s="2" t="s">
        <v>106</v>
      </c>
      <c r="N198" s="2" t="s">
        <v>358</v>
      </c>
      <c r="O198" s="2" t="s">
        <v>95</v>
      </c>
      <c r="P198" s="2" t="str">
        <f t="shared" si="6"/>
        <v xml:space="preserve">N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162.55000000000001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11</v>
      </c>
      <c r="BI198" s="2">
        <v>313</v>
      </c>
      <c r="BJ198" s="2">
        <v>389.8</v>
      </c>
      <c r="BK198" s="2">
        <v>390</v>
      </c>
      <c r="BL198" s="2">
        <v>1474.19</v>
      </c>
      <c r="BM198" s="2">
        <v>206.39</v>
      </c>
      <c r="BN198" s="2">
        <v>1680.58</v>
      </c>
      <c r="BO198" s="2">
        <v>1680.58</v>
      </c>
      <c r="BQ198" s="2" t="s">
        <v>109</v>
      </c>
      <c r="BR198" s="2" t="s">
        <v>479</v>
      </c>
      <c r="BS198" s="3">
        <v>42878</v>
      </c>
      <c r="BT198" s="4">
        <v>0.66597222222222219</v>
      </c>
      <c r="BU198" s="2" t="s">
        <v>480</v>
      </c>
      <c r="BV198" s="2" t="s">
        <v>85</v>
      </c>
      <c r="BY198" s="2">
        <v>806468</v>
      </c>
      <c r="CA198" s="2" t="s">
        <v>481</v>
      </c>
      <c r="CC198" s="2" t="s">
        <v>106</v>
      </c>
      <c r="CD198" s="2">
        <v>7700</v>
      </c>
      <c r="CE198" s="2" t="s">
        <v>86</v>
      </c>
      <c r="CF198" s="3">
        <v>42877</v>
      </c>
      <c r="CI198" s="2">
        <v>2</v>
      </c>
      <c r="CJ198" s="2">
        <v>2</v>
      </c>
      <c r="CK198" s="2" t="s">
        <v>104</v>
      </c>
      <c r="CL198" s="2" t="s">
        <v>87</v>
      </c>
    </row>
    <row r="199" spans="1:90">
      <c r="A199" s="2" t="s">
        <v>88</v>
      </c>
      <c r="B199" s="2" t="s">
        <v>72</v>
      </c>
      <c r="C199" s="2" t="s">
        <v>73</v>
      </c>
      <c r="E199" s="2" t="str">
        <f>"009935802762"</f>
        <v>009935802762</v>
      </c>
      <c r="F199" s="3">
        <v>42874</v>
      </c>
      <c r="G199" s="2">
        <v>201711</v>
      </c>
      <c r="H199" s="2" t="s">
        <v>78</v>
      </c>
      <c r="I199" s="2" t="s">
        <v>79</v>
      </c>
      <c r="J199" s="2" t="s">
        <v>91</v>
      </c>
      <c r="K199" s="2" t="s">
        <v>77</v>
      </c>
      <c r="L199" s="2" t="s">
        <v>197</v>
      </c>
      <c r="M199" s="2" t="s">
        <v>198</v>
      </c>
      <c r="N199" s="2" t="s">
        <v>272</v>
      </c>
      <c r="O199" s="2" t="s">
        <v>95</v>
      </c>
      <c r="P199" s="2" t="str">
        <f t="shared" si="6"/>
        <v xml:space="preserve">N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6.55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2</v>
      </c>
      <c r="BJ199" s="2">
        <v>5.2</v>
      </c>
      <c r="BK199" s="2">
        <v>6</v>
      </c>
      <c r="BL199" s="2">
        <v>64.2</v>
      </c>
      <c r="BM199" s="2">
        <v>8.99</v>
      </c>
      <c r="BN199" s="2">
        <v>73.19</v>
      </c>
      <c r="BO199" s="2">
        <v>73.19</v>
      </c>
      <c r="BQ199" s="2" t="s">
        <v>256</v>
      </c>
      <c r="BR199" s="2" t="s">
        <v>312</v>
      </c>
      <c r="BS199" s="3">
        <v>42877</v>
      </c>
      <c r="BT199" s="4">
        <v>0.33333333333333331</v>
      </c>
      <c r="BU199" s="2" t="s">
        <v>200</v>
      </c>
      <c r="BV199" s="2" t="s">
        <v>85</v>
      </c>
      <c r="BY199" s="2">
        <v>25792</v>
      </c>
      <c r="CC199" s="2" t="s">
        <v>198</v>
      </c>
      <c r="CD199" s="2">
        <v>2570</v>
      </c>
      <c r="CE199" s="2" t="s">
        <v>86</v>
      </c>
      <c r="CF199" s="3">
        <v>42879</v>
      </c>
      <c r="CI199" s="2">
        <v>1</v>
      </c>
      <c r="CJ199" s="2">
        <v>1</v>
      </c>
      <c r="CK199" s="2" t="s">
        <v>142</v>
      </c>
      <c r="CL199" s="2" t="s">
        <v>87</v>
      </c>
    </row>
    <row r="200" spans="1:90">
      <c r="A200" s="2" t="s">
        <v>88</v>
      </c>
      <c r="B200" s="2" t="s">
        <v>72</v>
      </c>
      <c r="C200" s="2" t="s">
        <v>73</v>
      </c>
      <c r="E200" s="2" t="str">
        <f>"009936115945"</f>
        <v>009936115945</v>
      </c>
      <c r="F200" s="3">
        <v>42874</v>
      </c>
      <c r="G200" s="2">
        <v>201711</v>
      </c>
      <c r="H200" s="2" t="s">
        <v>78</v>
      </c>
      <c r="I200" s="2" t="s">
        <v>79</v>
      </c>
      <c r="J200" s="2" t="s">
        <v>91</v>
      </c>
      <c r="K200" s="2" t="s">
        <v>77</v>
      </c>
      <c r="L200" s="2" t="s">
        <v>138</v>
      </c>
      <c r="M200" s="2" t="s">
        <v>139</v>
      </c>
      <c r="N200" s="2" t="s">
        <v>426</v>
      </c>
      <c r="O200" s="2" t="s">
        <v>95</v>
      </c>
      <c r="P200" s="2" t="str">
        <f t="shared" si="6"/>
        <v xml:space="preserve">N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6.55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2.2000000000000002</v>
      </c>
      <c r="BJ200" s="2">
        <v>3.8</v>
      </c>
      <c r="BK200" s="2">
        <v>4</v>
      </c>
      <c r="BL200" s="2">
        <v>64.2</v>
      </c>
      <c r="BM200" s="2">
        <v>8.99</v>
      </c>
      <c r="BN200" s="2">
        <v>73.19</v>
      </c>
      <c r="BO200" s="2">
        <v>73.19</v>
      </c>
      <c r="BQ200" s="2" t="s">
        <v>140</v>
      </c>
      <c r="BR200" s="2" t="s">
        <v>239</v>
      </c>
      <c r="BS200" s="3">
        <v>42877</v>
      </c>
      <c r="BT200" s="4">
        <v>0.40972222222222227</v>
      </c>
      <c r="BU200" s="2" t="s">
        <v>482</v>
      </c>
      <c r="BV200" s="2" t="s">
        <v>85</v>
      </c>
      <c r="BY200" s="2">
        <v>18789.57</v>
      </c>
      <c r="CC200" s="2" t="s">
        <v>139</v>
      </c>
      <c r="CD200" s="2">
        <v>9301</v>
      </c>
      <c r="CE200" s="2" t="s">
        <v>120</v>
      </c>
      <c r="CF200" s="3">
        <v>42878</v>
      </c>
      <c r="CI200" s="2">
        <v>1</v>
      </c>
      <c r="CJ200" s="2">
        <v>1</v>
      </c>
      <c r="CK200" s="2" t="s">
        <v>142</v>
      </c>
      <c r="CL200" s="2" t="s">
        <v>87</v>
      </c>
    </row>
    <row r="201" spans="1:90">
      <c r="A201" s="2" t="s">
        <v>88</v>
      </c>
      <c r="B201" s="2" t="s">
        <v>72</v>
      </c>
      <c r="C201" s="2" t="s">
        <v>73</v>
      </c>
      <c r="E201" s="2" t="str">
        <f>"009936115724"</f>
        <v>009936115724</v>
      </c>
      <c r="F201" s="3">
        <v>42874</v>
      </c>
      <c r="G201" s="2">
        <v>201711</v>
      </c>
      <c r="H201" s="2" t="s">
        <v>158</v>
      </c>
      <c r="I201" s="2" t="s">
        <v>159</v>
      </c>
      <c r="J201" s="2" t="s">
        <v>91</v>
      </c>
      <c r="K201" s="2" t="s">
        <v>77</v>
      </c>
      <c r="L201" s="2" t="s">
        <v>89</v>
      </c>
      <c r="M201" s="2" t="s">
        <v>90</v>
      </c>
      <c r="N201" s="2" t="s">
        <v>441</v>
      </c>
      <c r="O201" s="2" t="s">
        <v>95</v>
      </c>
      <c r="P201" s="2" t="str">
        <f t="shared" si="6"/>
        <v xml:space="preserve">N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11.17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6.4</v>
      </c>
      <c r="BJ201" s="2">
        <v>18.600000000000001</v>
      </c>
      <c r="BK201" s="2">
        <v>19</v>
      </c>
      <c r="BL201" s="2">
        <v>105.93</v>
      </c>
      <c r="BM201" s="2">
        <v>14.83</v>
      </c>
      <c r="BN201" s="2">
        <v>120.76</v>
      </c>
      <c r="BO201" s="2">
        <v>120.76</v>
      </c>
      <c r="BQ201" s="2" t="s">
        <v>97</v>
      </c>
      <c r="BR201" s="2" t="s">
        <v>479</v>
      </c>
      <c r="BS201" s="3">
        <v>42877</v>
      </c>
      <c r="BT201" s="4">
        <v>0.44791666666666669</v>
      </c>
      <c r="BU201" s="2" t="s">
        <v>483</v>
      </c>
      <c r="BV201" s="2" t="s">
        <v>85</v>
      </c>
      <c r="BY201" s="2">
        <v>92841.76</v>
      </c>
      <c r="CC201" s="2" t="s">
        <v>90</v>
      </c>
      <c r="CD201" s="2">
        <v>6045</v>
      </c>
      <c r="CE201" s="2" t="s">
        <v>120</v>
      </c>
      <c r="CF201" s="3">
        <v>42878</v>
      </c>
      <c r="CI201" s="2">
        <v>2</v>
      </c>
      <c r="CJ201" s="2">
        <v>1</v>
      </c>
      <c r="CK201" s="2" t="s">
        <v>104</v>
      </c>
      <c r="CL201" s="2" t="s">
        <v>87</v>
      </c>
    </row>
    <row r="202" spans="1:90">
      <c r="A202" s="2" t="s">
        <v>71</v>
      </c>
      <c r="B202" s="2" t="s">
        <v>72</v>
      </c>
      <c r="C202" s="2" t="s">
        <v>73</v>
      </c>
      <c r="E202" s="2" t="str">
        <f>"039902658211"</f>
        <v>039902658211</v>
      </c>
      <c r="F202" s="3">
        <v>42874</v>
      </c>
      <c r="G202" s="2">
        <v>201711</v>
      </c>
      <c r="H202" s="2" t="s">
        <v>138</v>
      </c>
      <c r="I202" s="2" t="s">
        <v>139</v>
      </c>
      <c r="J202" s="2" t="s">
        <v>91</v>
      </c>
      <c r="K202" s="2" t="s">
        <v>77</v>
      </c>
      <c r="L202" s="2" t="s">
        <v>180</v>
      </c>
      <c r="M202" s="2" t="s">
        <v>181</v>
      </c>
      <c r="N202" s="2" t="s">
        <v>91</v>
      </c>
      <c r="O202" s="2" t="s">
        <v>95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10.73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2</v>
      </c>
      <c r="BI202" s="2">
        <v>25</v>
      </c>
      <c r="BJ202" s="2">
        <v>25.6</v>
      </c>
      <c r="BK202" s="2">
        <v>26</v>
      </c>
      <c r="BL202" s="2">
        <v>101.97</v>
      </c>
      <c r="BM202" s="2">
        <v>14.28</v>
      </c>
      <c r="BN202" s="2">
        <v>116.25</v>
      </c>
      <c r="BO202" s="2">
        <v>116.25</v>
      </c>
      <c r="BQ202" s="2" t="s">
        <v>184</v>
      </c>
      <c r="BR202" s="2" t="s">
        <v>268</v>
      </c>
      <c r="BS202" s="3">
        <v>42877</v>
      </c>
      <c r="BT202" s="4">
        <v>0.375</v>
      </c>
      <c r="BU202" s="2" t="s">
        <v>184</v>
      </c>
      <c r="BV202" s="2" t="s">
        <v>85</v>
      </c>
      <c r="BY202" s="2">
        <v>64000</v>
      </c>
      <c r="CC202" s="2" t="s">
        <v>181</v>
      </c>
      <c r="CD202" s="2">
        <v>9460</v>
      </c>
      <c r="CE202" s="2" t="s">
        <v>271</v>
      </c>
      <c r="CF202" s="3">
        <v>42880</v>
      </c>
      <c r="CI202" s="2">
        <v>1</v>
      </c>
      <c r="CJ202" s="2">
        <v>1</v>
      </c>
      <c r="CK202" s="2" t="s">
        <v>129</v>
      </c>
      <c r="CL202" s="2" t="s">
        <v>87</v>
      </c>
    </row>
    <row r="203" spans="1:90">
      <c r="A203" s="2" t="s">
        <v>88</v>
      </c>
      <c r="B203" s="2" t="s">
        <v>72</v>
      </c>
      <c r="C203" s="2" t="s">
        <v>73</v>
      </c>
      <c r="E203" s="2" t="str">
        <f>"019910366949"</f>
        <v>019910366949</v>
      </c>
      <c r="F203" s="3">
        <v>42877</v>
      </c>
      <c r="G203" s="2">
        <v>201711</v>
      </c>
      <c r="H203" s="2" t="s">
        <v>105</v>
      </c>
      <c r="I203" s="2" t="s">
        <v>106</v>
      </c>
      <c r="J203" s="2" t="s">
        <v>91</v>
      </c>
      <c r="K203" s="2" t="s">
        <v>77</v>
      </c>
      <c r="L203" s="2" t="s">
        <v>158</v>
      </c>
      <c r="M203" s="2" t="s">
        <v>159</v>
      </c>
      <c r="N203" s="2" t="s">
        <v>91</v>
      </c>
      <c r="O203" s="2" t="s">
        <v>81</v>
      </c>
      <c r="P203" s="2" t="str">
        <f>"CPT1705390721                 "</f>
        <v xml:space="preserve">CPT1705390721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4.66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0.2</v>
      </c>
      <c r="BK203" s="2">
        <v>1</v>
      </c>
      <c r="BL203" s="2">
        <v>42.1</v>
      </c>
      <c r="BM203" s="2">
        <v>5.89</v>
      </c>
      <c r="BN203" s="2">
        <v>47.99</v>
      </c>
      <c r="BO203" s="2">
        <v>47.99</v>
      </c>
      <c r="BQ203" s="2" t="s">
        <v>100</v>
      </c>
      <c r="BR203" s="2" t="s">
        <v>109</v>
      </c>
      <c r="BS203" s="3">
        <v>42878</v>
      </c>
      <c r="BT203" s="4">
        <v>0.35416666666666669</v>
      </c>
      <c r="BU203" s="2" t="s">
        <v>98</v>
      </c>
      <c r="BV203" s="2" t="s">
        <v>85</v>
      </c>
      <c r="BY203" s="2">
        <v>1200</v>
      </c>
      <c r="BZ203" s="2" t="s">
        <v>27</v>
      </c>
      <c r="CA203" s="2" t="s">
        <v>444</v>
      </c>
      <c r="CC203" s="2" t="s">
        <v>159</v>
      </c>
      <c r="CD203" s="2">
        <v>2146</v>
      </c>
      <c r="CE203" s="2" t="s">
        <v>484</v>
      </c>
      <c r="CF203" s="3">
        <v>42878</v>
      </c>
      <c r="CI203" s="2">
        <v>1</v>
      </c>
      <c r="CJ203" s="2">
        <v>1</v>
      </c>
      <c r="CK203" s="2">
        <v>21</v>
      </c>
      <c r="CL203" s="2" t="s">
        <v>87</v>
      </c>
    </row>
    <row r="204" spans="1:90">
      <c r="A204" s="2" t="s">
        <v>88</v>
      </c>
      <c r="B204" s="2" t="s">
        <v>72</v>
      </c>
      <c r="C204" s="2" t="s">
        <v>73</v>
      </c>
      <c r="E204" s="2" t="str">
        <f>"009936282495"</f>
        <v>009936282495</v>
      </c>
      <c r="F204" s="3">
        <v>42877</v>
      </c>
      <c r="G204" s="2">
        <v>201711</v>
      </c>
      <c r="H204" s="2" t="s">
        <v>124</v>
      </c>
      <c r="I204" s="2" t="s">
        <v>125</v>
      </c>
      <c r="J204" s="2" t="s">
        <v>126</v>
      </c>
      <c r="K204" s="2" t="s">
        <v>77</v>
      </c>
      <c r="L204" s="2" t="s">
        <v>78</v>
      </c>
      <c r="M204" s="2" t="s">
        <v>79</v>
      </c>
      <c r="N204" s="2" t="s">
        <v>76</v>
      </c>
      <c r="O204" s="2" t="s">
        <v>95</v>
      </c>
      <c r="P204" s="2" t="str">
        <f>"PARTS                         "</f>
        <v xml:space="preserve">PARTS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8.01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0.2</v>
      </c>
      <c r="BK204" s="2">
        <v>1</v>
      </c>
      <c r="BL204" s="2">
        <v>77.36</v>
      </c>
      <c r="BM204" s="2">
        <v>10.83</v>
      </c>
      <c r="BN204" s="2">
        <v>88.19</v>
      </c>
      <c r="BO204" s="2">
        <v>88.19</v>
      </c>
      <c r="BQ204" s="2" t="s">
        <v>485</v>
      </c>
      <c r="BR204" s="2" t="s">
        <v>128</v>
      </c>
      <c r="BS204" s="3">
        <v>42878</v>
      </c>
      <c r="BT204" s="4">
        <v>0.44444444444444442</v>
      </c>
      <c r="BU204" s="2" t="s">
        <v>364</v>
      </c>
      <c r="BV204" s="2" t="s">
        <v>85</v>
      </c>
      <c r="BY204" s="2">
        <v>1200</v>
      </c>
      <c r="CC204" s="2" t="s">
        <v>79</v>
      </c>
      <c r="CD204" s="2">
        <v>2000</v>
      </c>
      <c r="CE204" s="2" t="s">
        <v>120</v>
      </c>
      <c r="CF204" s="3">
        <v>42879</v>
      </c>
      <c r="CI204" s="2">
        <v>1</v>
      </c>
      <c r="CJ204" s="2">
        <v>1</v>
      </c>
      <c r="CK204" s="2" t="s">
        <v>129</v>
      </c>
      <c r="CL204" s="2" t="s">
        <v>87</v>
      </c>
    </row>
    <row r="205" spans="1:90">
      <c r="A205" s="2" t="s">
        <v>88</v>
      </c>
      <c r="B205" s="2" t="s">
        <v>72</v>
      </c>
      <c r="C205" s="2" t="s">
        <v>73</v>
      </c>
      <c r="E205" s="2" t="str">
        <f>"009936282493"</f>
        <v>009936282493</v>
      </c>
      <c r="F205" s="3">
        <v>42877</v>
      </c>
      <c r="G205" s="2">
        <v>201711</v>
      </c>
      <c r="H205" s="2" t="s">
        <v>124</v>
      </c>
      <c r="I205" s="2" t="s">
        <v>125</v>
      </c>
      <c r="J205" s="2" t="s">
        <v>126</v>
      </c>
      <c r="K205" s="2" t="s">
        <v>77</v>
      </c>
      <c r="L205" s="2" t="s">
        <v>78</v>
      </c>
      <c r="M205" s="2" t="s">
        <v>79</v>
      </c>
      <c r="N205" s="2" t="s">
        <v>486</v>
      </c>
      <c r="O205" s="2" t="s">
        <v>95</v>
      </c>
      <c r="P205" s="2" t="str">
        <f>"PARTS                         "</f>
        <v xml:space="preserve">PARTS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14.94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37.1</v>
      </c>
      <c r="BJ205" s="2">
        <v>42.2</v>
      </c>
      <c r="BK205" s="2">
        <v>43</v>
      </c>
      <c r="BL205" s="2">
        <v>140.01</v>
      </c>
      <c r="BM205" s="2">
        <v>19.600000000000001</v>
      </c>
      <c r="BN205" s="2">
        <v>159.61000000000001</v>
      </c>
      <c r="BO205" s="2">
        <v>159.61000000000001</v>
      </c>
      <c r="BQ205" s="2" t="s">
        <v>127</v>
      </c>
      <c r="BR205" s="2" t="s">
        <v>128</v>
      </c>
      <c r="BS205" s="3">
        <v>42878</v>
      </c>
      <c r="BT205" s="4">
        <v>0.44444444444444442</v>
      </c>
      <c r="BU205" s="2" t="s">
        <v>364</v>
      </c>
      <c r="BV205" s="2" t="s">
        <v>85</v>
      </c>
      <c r="BY205" s="2">
        <v>211200</v>
      </c>
      <c r="CC205" s="2" t="s">
        <v>79</v>
      </c>
      <c r="CD205" s="2">
        <v>2000</v>
      </c>
      <c r="CE205" s="2" t="s">
        <v>120</v>
      </c>
      <c r="CF205" s="3">
        <v>42879</v>
      </c>
      <c r="CI205" s="2">
        <v>1</v>
      </c>
      <c r="CJ205" s="2">
        <v>1</v>
      </c>
      <c r="CK205" s="2" t="s">
        <v>129</v>
      </c>
      <c r="CL205" s="2" t="s">
        <v>87</v>
      </c>
    </row>
    <row r="206" spans="1:90">
      <c r="A206" s="2" t="s">
        <v>88</v>
      </c>
      <c r="B206" s="2" t="s">
        <v>72</v>
      </c>
      <c r="C206" s="2" t="s">
        <v>73</v>
      </c>
      <c r="E206" s="2" t="str">
        <f>"009936282494"</f>
        <v>009936282494</v>
      </c>
      <c r="F206" s="3">
        <v>42877</v>
      </c>
      <c r="G206" s="2">
        <v>201711</v>
      </c>
      <c r="H206" s="2" t="s">
        <v>124</v>
      </c>
      <c r="I206" s="2" t="s">
        <v>125</v>
      </c>
      <c r="J206" s="2" t="s">
        <v>126</v>
      </c>
      <c r="K206" s="2" t="s">
        <v>77</v>
      </c>
      <c r="L206" s="2" t="s">
        <v>78</v>
      </c>
      <c r="M206" s="2" t="s">
        <v>79</v>
      </c>
      <c r="N206" s="2" t="s">
        <v>76</v>
      </c>
      <c r="O206" s="2" t="s">
        <v>95</v>
      </c>
      <c r="P206" s="2" t="str">
        <f>"PARTS                         "</f>
        <v xml:space="preserve">PARTS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8.01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0.2</v>
      </c>
      <c r="BK206" s="2">
        <v>1</v>
      </c>
      <c r="BL206" s="2">
        <v>77.36</v>
      </c>
      <c r="BM206" s="2">
        <v>10.83</v>
      </c>
      <c r="BN206" s="2">
        <v>88.19</v>
      </c>
      <c r="BO206" s="2">
        <v>88.19</v>
      </c>
      <c r="BQ206" s="2" t="s">
        <v>487</v>
      </c>
      <c r="BR206" s="2" t="s">
        <v>128</v>
      </c>
      <c r="BS206" s="3">
        <v>42878</v>
      </c>
      <c r="BT206" s="4">
        <v>0.44444444444444442</v>
      </c>
      <c r="BU206" s="2" t="s">
        <v>98</v>
      </c>
      <c r="BV206" s="2" t="s">
        <v>85</v>
      </c>
      <c r="BY206" s="2">
        <v>1200</v>
      </c>
      <c r="CC206" s="2" t="s">
        <v>79</v>
      </c>
      <c r="CD206" s="2">
        <v>2000</v>
      </c>
      <c r="CE206" s="2" t="s">
        <v>120</v>
      </c>
      <c r="CF206" s="3">
        <v>42879</v>
      </c>
      <c r="CI206" s="2">
        <v>1</v>
      </c>
      <c r="CJ206" s="2">
        <v>1</v>
      </c>
      <c r="CK206" s="2" t="s">
        <v>129</v>
      </c>
      <c r="CL206" s="2" t="s">
        <v>87</v>
      </c>
    </row>
    <row r="207" spans="1:90">
      <c r="A207" s="2" t="s">
        <v>71</v>
      </c>
      <c r="B207" s="2" t="s">
        <v>72</v>
      </c>
      <c r="C207" s="2" t="s">
        <v>73</v>
      </c>
      <c r="E207" s="2" t="str">
        <f>"039902658213"</f>
        <v>039902658213</v>
      </c>
      <c r="F207" s="3">
        <v>42877</v>
      </c>
      <c r="G207" s="2">
        <v>201711</v>
      </c>
      <c r="H207" s="2" t="s">
        <v>138</v>
      </c>
      <c r="I207" s="2" t="s">
        <v>139</v>
      </c>
      <c r="J207" s="2" t="s">
        <v>76</v>
      </c>
      <c r="K207" s="2" t="s">
        <v>77</v>
      </c>
      <c r="L207" s="2" t="s">
        <v>180</v>
      </c>
      <c r="M207" s="2" t="s">
        <v>181</v>
      </c>
      <c r="N207" s="2" t="s">
        <v>91</v>
      </c>
      <c r="O207" s="2" t="s">
        <v>95</v>
      </c>
      <c r="P207" s="2" t="str">
        <f>"                              "</f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8.01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15</v>
      </c>
      <c r="BJ207" s="2">
        <v>4.8</v>
      </c>
      <c r="BK207" s="2">
        <v>15</v>
      </c>
      <c r="BL207" s="2">
        <v>77.36</v>
      </c>
      <c r="BM207" s="2">
        <v>10.83</v>
      </c>
      <c r="BN207" s="2">
        <v>88.19</v>
      </c>
      <c r="BO207" s="2">
        <v>88.19</v>
      </c>
      <c r="BQ207" s="2" t="s">
        <v>488</v>
      </c>
      <c r="BR207" s="2" t="s">
        <v>140</v>
      </c>
      <c r="BS207" s="3">
        <v>42878</v>
      </c>
      <c r="BT207" s="4">
        <v>0.4375</v>
      </c>
      <c r="BU207" s="2" t="s">
        <v>184</v>
      </c>
      <c r="BV207" s="2" t="s">
        <v>85</v>
      </c>
      <c r="BY207" s="2">
        <v>24000</v>
      </c>
      <c r="CC207" s="2" t="s">
        <v>181</v>
      </c>
      <c r="CD207" s="2">
        <v>9460</v>
      </c>
      <c r="CE207" s="2" t="s">
        <v>489</v>
      </c>
      <c r="CF207" s="3">
        <v>42880</v>
      </c>
      <c r="CI207" s="2">
        <v>1</v>
      </c>
      <c r="CJ207" s="2">
        <v>1</v>
      </c>
      <c r="CK207" s="2" t="s">
        <v>129</v>
      </c>
      <c r="CL207" s="2" t="s">
        <v>87</v>
      </c>
    </row>
    <row r="208" spans="1:90">
      <c r="A208" s="2" t="s">
        <v>88</v>
      </c>
      <c r="B208" s="2" t="s">
        <v>72</v>
      </c>
      <c r="C208" s="2" t="s">
        <v>73</v>
      </c>
      <c r="E208" s="2" t="str">
        <f>"009934949885"</f>
        <v>009934949885</v>
      </c>
      <c r="F208" s="3">
        <v>42877</v>
      </c>
      <c r="G208" s="2">
        <v>201711</v>
      </c>
      <c r="H208" s="2" t="s">
        <v>78</v>
      </c>
      <c r="I208" s="2" t="s">
        <v>79</v>
      </c>
      <c r="J208" s="2" t="s">
        <v>91</v>
      </c>
      <c r="K208" s="2" t="s">
        <v>77</v>
      </c>
      <c r="L208" s="2" t="s">
        <v>151</v>
      </c>
      <c r="M208" s="2" t="s">
        <v>152</v>
      </c>
      <c r="N208" s="2" t="s">
        <v>91</v>
      </c>
      <c r="O208" s="2" t="s">
        <v>81</v>
      </c>
      <c r="P208" s="2" t="str">
        <f>"N                             "</f>
        <v xml:space="preserve">N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4.66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0.1</v>
      </c>
      <c r="BJ208" s="2">
        <v>1.3</v>
      </c>
      <c r="BK208" s="2">
        <v>1.5</v>
      </c>
      <c r="BL208" s="2">
        <v>42.1</v>
      </c>
      <c r="BM208" s="2">
        <v>5.89</v>
      </c>
      <c r="BN208" s="2">
        <v>47.99</v>
      </c>
      <c r="BO208" s="2">
        <v>47.99</v>
      </c>
      <c r="BQ208" s="2" t="s">
        <v>153</v>
      </c>
      <c r="BR208" s="2" t="s">
        <v>476</v>
      </c>
      <c r="BS208" s="3">
        <v>42878</v>
      </c>
      <c r="BT208" s="4">
        <v>0.4375</v>
      </c>
      <c r="BU208" s="2" t="s">
        <v>490</v>
      </c>
      <c r="BV208" s="2" t="s">
        <v>85</v>
      </c>
      <c r="BY208" s="2">
        <v>6498.8</v>
      </c>
      <c r="BZ208" s="2" t="s">
        <v>27</v>
      </c>
      <c r="CC208" s="2" t="s">
        <v>152</v>
      </c>
      <c r="CD208" s="2">
        <v>699</v>
      </c>
      <c r="CE208" s="2" t="s">
        <v>120</v>
      </c>
      <c r="CF208" s="3">
        <v>42879</v>
      </c>
      <c r="CI208" s="2">
        <v>1</v>
      </c>
      <c r="CJ208" s="2">
        <v>1</v>
      </c>
      <c r="CK208" s="2">
        <v>21</v>
      </c>
      <c r="CL208" s="2" t="s">
        <v>87</v>
      </c>
    </row>
    <row r="209" spans="1:90">
      <c r="A209" s="2" t="s">
        <v>88</v>
      </c>
      <c r="B209" s="2" t="s">
        <v>72</v>
      </c>
      <c r="C209" s="2" t="s">
        <v>73</v>
      </c>
      <c r="E209" s="2" t="str">
        <f>"009935957311"</f>
        <v>009935957311</v>
      </c>
      <c r="F209" s="3">
        <v>42877</v>
      </c>
      <c r="G209" s="2">
        <v>201711</v>
      </c>
      <c r="H209" s="2" t="s">
        <v>158</v>
      </c>
      <c r="I209" s="2" t="s">
        <v>159</v>
      </c>
      <c r="J209" s="2" t="s">
        <v>91</v>
      </c>
      <c r="K209" s="2" t="s">
        <v>77</v>
      </c>
      <c r="L209" s="2" t="s">
        <v>289</v>
      </c>
      <c r="M209" s="2" t="s">
        <v>290</v>
      </c>
      <c r="N209" s="2" t="s">
        <v>491</v>
      </c>
      <c r="O209" s="2" t="s">
        <v>81</v>
      </c>
      <c r="P209" s="2" t="str">
        <f>"N                             "</f>
        <v xml:space="preserve">N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155.74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2</v>
      </c>
      <c r="BI209" s="2">
        <v>20.7</v>
      </c>
      <c r="BJ209" s="2">
        <v>37.9</v>
      </c>
      <c r="BK209" s="2">
        <v>38</v>
      </c>
      <c r="BL209" s="2">
        <v>1407.64</v>
      </c>
      <c r="BM209" s="2">
        <v>197.07</v>
      </c>
      <c r="BN209" s="2">
        <v>1604.71</v>
      </c>
      <c r="BO209" s="2">
        <v>1604.71</v>
      </c>
      <c r="BQ209" s="2" t="s">
        <v>292</v>
      </c>
      <c r="BR209" s="2" t="s">
        <v>239</v>
      </c>
      <c r="BS209" s="3">
        <v>42878</v>
      </c>
      <c r="BT209" s="4">
        <v>0.66666666666666663</v>
      </c>
      <c r="BU209" s="2" t="s">
        <v>292</v>
      </c>
      <c r="BV209" s="2" t="s">
        <v>85</v>
      </c>
      <c r="BY209" s="2">
        <v>189308.98</v>
      </c>
      <c r="BZ209" s="2" t="s">
        <v>27</v>
      </c>
      <c r="CC209" s="2" t="s">
        <v>290</v>
      </c>
      <c r="CD209" s="2">
        <v>8530</v>
      </c>
      <c r="CE209" s="2" t="s">
        <v>120</v>
      </c>
      <c r="CF209" s="3">
        <v>42880</v>
      </c>
      <c r="CI209" s="2">
        <v>3</v>
      </c>
      <c r="CJ209" s="2">
        <v>1</v>
      </c>
      <c r="CK209" s="2">
        <v>23</v>
      </c>
      <c r="CL209" s="2" t="s">
        <v>87</v>
      </c>
    </row>
    <row r="210" spans="1:90">
      <c r="A210" s="2" t="s">
        <v>88</v>
      </c>
      <c r="B210" s="2" t="s">
        <v>72</v>
      </c>
      <c r="C210" s="2" t="s">
        <v>73</v>
      </c>
      <c r="E210" s="2" t="str">
        <f>"009935957136"</f>
        <v>009935957136</v>
      </c>
      <c r="F210" s="3">
        <v>42877</v>
      </c>
      <c r="G210" s="2">
        <v>201711</v>
      </c>
      <c r="H210" s="2" t="s">
        <v>78</v>
      </c>
      <c r="I210" s="2" t="s">
        <v>79</v>
      </c>
      <c r="J210" s="2" t="s">
        <v>91</v>
      </c>
      <c r="K210" s="2" t="s">
        <v>77</v>
      </c>
      <c r="L210" s="2" t="s">
        <v>111</v>
      </c>
      <c r="M210" s="2" t="s">
        <v>112</v>
      </c>
      <c r="N210" s="2" t="s">
        <v>147</v>
      </c>
      <c r="O210" s="2" t="s">
        <v>81</v>
      </c>
      <c r="P210" s="2" t="str">
        <f>"N                             "</f>
        <v xml:space="preserve">N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25.75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7.6</v>
      </c>
      <c r="BJ210" s="2">
        <v>3.6</v>
      </c>
      <c r="BK210" s="2">
        <v>8</v>
      </c>
      <c r="BL210" s="2">
        <v>232.75</v>
      </c>
      <c r="BM210" s="2">
        <v>32.590000000000003</v>
      </c>
      <c r="BN210" s="2">
        <v>265.33999999999997</v>
      </c>
      <c r="BO210" s="2">
        <v>265.33999999999997</v>
      </c>
      <c r="BQ210" s="2" t="s">
        <v>121</v>
      </c>
      <c r="BR210" s="2" t="s">
        <v>492</v>
      </c>
      <c r="BS210" s="3">
        <v>42878</v>
      </c>
      <c r="BT210" s="4">
        <v>0.4375</v>
      </c>
      <c r="BU210" s="2" t="s">
        <v>225</v>
      </c>
      <c r="BV210" s="2" t="s">
        <v>85</v>
      </c>
      <c r="BY210" s="2">
        <v>17858.88</v>
      </c>
      <c r="BZ210" s="2" t="s">
        <v>27</v>
      </c>
      <c r="CC210" s="2" t="s">
        <v>112</v>
      </c>
      <c r="CD210" s="2">
        <v>1034</v>
      </c>
      <c r="CE210" s="2" t="s">
        <v>120</v>
      </c>
      <c r="CF210" s="3">
        <v>42879</v>
      </c>
      <c r="CI210" s="2">
        <v>1</v>
      </c>
      <c r="CJ210" s="2">
        <v>1</v>
      </c>
      <c r="CK210" s="2">
        <v>24</v>
      </c>
      <c r="CL210" s="2" t="s">
        <v>87</v>
      </c>
    </row>
    <row r="211" spans="1:90">
      <c r="A211" s="2" t="s">
        <v>71</v>
      </c>
      <c r="B211" s="2" t="s">
        <v>72</v>
      </c>
      <c r="C211" s="2" t="s">
        <v>73</v>
      </c>
      <c r="E211" s="2" t="str">
        <f>"009936366795"</f>
        <v>009936366795</v>
      </c>
      <c r="F211" s="3">
        <v>42877</v>
      </c>
      <c r="G211" s="2">
        <v>201711</v>
      </c>
      <c r="H211" s="2" t="s">
        <v>156</v>
      </c>
      <c r="I211" s="2" t="s">
        <v>157</v>
      </c>
      <c r="J211" s="2" t="s">
        <v>493</v>
      </c>
      <c r="K211" s="2" t="s">
        <v>77</v>
      </c>
      <c r="L211" s="2" t="s">
        <v>158</v>
      </c>
      <c r="M211" s="2" t="s">
        <v>159</v>
      </c>
      <c r="N211" s="2" t="s">
        <v>493</v>
      </c>
      <c r="O211" s="2" t="s">
        <v>95</v>
      </c>
      <c r="P211" s="2" t="str">
        <f>"                              "</f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26.86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7</v>
      </c>
      <c r="BI211" s="2">
        <v>57.1</v>
      </c>
      <c r="BJ211" s="2">
        <v>60.9</v>
      </c>
      <c r="BK211" s="2">
        <v>61</v>
      </c>
      <c r="BL211" s="2">
        <v>247.75</v>
      </c>
      <c r="BM211" s="2">
        <v>34.69</v>
      </c>
      <c r="BN211" s="2">
        <v>282.44</v>
      </c>
      <c r="BO211" s="2">
        <v>282.44</v>
      </c>
      <c r="BQ211" s="2" t="s">
        <v>383</v>
      </c>
      <c r="BR211" s="2" t="s">
        <v>494</v>
      </c>
      <c r="BS211" s="3">
        <v>42878</v>
      </c>
      <c r="BT211" s="4">
        <v>0.44444444444444442</v>
      </c>
      <c r="BU211" s="2" t="s">
        <v>98</v>
      </c>
      <c r="BV211" s="2" t="s">
        <v>85</v>
      </c>
      <c r="BY211" s="2">
        <v>304467.34000000003</v>
      </c>
      <c r="CC211" s="2" t="s">
        <v>159</v>
      </c>
      <c r="CD211" s="2">
        <v>2146</v>
      </c>
      <c r="CE211" s="2" t="s">
        <v>120</v>
      </c>
      <c r="CF211" s="3">
        <v>42879</v>
      </c>
      <c r="CI211" s="2">
        <v>1</v>
      </c>
      <c r="CJ211" s="2">
        <v>1</v>
      </c>
      <c r="CK211" s="2" t="s">
        <v>161</v>
      </c>
      <c r="CL211" s="2" t="s">
        <v>87</v>
      </c>
    </row>
    <row r="212" spans="1:90">
      <c r="A212" s="2" t="s">
        <v>88</v>
      </c>
      <c r="B212" s="2" t="s">
        <v>72</v>
      </c>
      <c r="C212" s="2" t="s">
        <v>73</v>
      </c>
      <c r="E212" s="2" t="str">
        <f>"009935802756"</f>
        <v>009935802756</v>
      </c>
      <c r="F212" s="3">
        <v>42877</v>
      </c>
      <c r="G212" s="2">
        <v>201711</v>
      </c>
      <c r="H212" s="2" t="s">
        <v>158</v>
      </c>
      <c r="I212" s="2" t="s">
        <v>159</v>
      </c>
      <c r="J212" s="2" t="s">
        <v>91</v>
      </c>
      <c r="K212" s="2" t="s">
        <v>77</v>
      </c>
      <c r="L212" s="2" t="s">
        <v>124</v>
      </c>
      <c r="M212" s="2" t="s">
        <v>125</v>
      </c>
      <c r="N212" s="2" t="s">
        <v>477</v>
      </c>
      <c r="O212" s="2" t="s">
        <v>95</v>
      </c>
      <c r="P212" s="2" t="str">
        <f>"N                             "</f>
        <v xml:space="preserve">N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14.17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2</v>
      </c>
      <c r="BI212" s="2">
        <v>22.9</v>
      </c>
      <c r="BJ212" s="2">
        <v>31.1</v>
      </c>
      <c r="BK212" s="2">
        <v>32</v>
      </c>
      <c r="BL212" s="2">
        <v>133.06</v>
      </c>
      <c r="BM212" s="2">
        <v>18.63</v>
      </c>
      <c r="BN212" s="2">
        <v>151.69</v>
      </c>
      <c r="BO212" s="2">
        <v>151.69</v>
      </c>
      <c r="BQ212" s="2" t="s">
        <v>246</v>
      </c>
      <c r="BR212" s="2" t="s">
        <v>122</v>
      </c>
      <c r="BS212" s="3">
        <v>42878</v>
      </c>
      <c r="BT212" s="4">
        <v>0.38819444444444445</v>
      </c>
      <c r="BU212" s="2" t="s">
        <v>246</v>
      </c>
      <c r="BV212" s="2" t="s">
        <v>85</v>
      </c>
      <c r="BY212" s="2">
        <v>155608.59</v>
      </c>
      <c r="CC212" s="2" t="s">
        <v>125</v>
      </c>
      <c r="CD212" s="2">
        <v>299</v>
      </c>
      <c r="CE212" s="2" t="s">
        <v>120</v>
      </c>
      <c r="CF212" s="3">
        <v>42880</v>
      </c>
      <c r="CI212" s="2">
        <v>1</v>
      </c>
      <c r="CJ212" s="2">
        <v>1</v>
      </c>
      <c r="CK212" s="2" t="s">
        <v>133</v>
      </c>
      <c r="CL212" s="2" t="s">
        <v>87</v>
      </c>
    </row>
    <row r="213" spans="1:90">
      <c r="A213" s="2" t="s">
        <v>88</v>
      </c>
      <c r="B213" s="2" t="s">
        <v>72</v>
      </c>
      <c r="C213" s="2" t="s">
        <v>73</v>
      </c>
      <c r="E213" s="2" t="str">
        <f>"009935802757"</f>
        <v>009935802757</v>
      </c>
      <c r="F213" s="3">
        <v>42877</v>
      </c>
      <c r="G213" s="2">
        <v>201711</v>
      </c>
      <c r="H213" s="2" t="s">
        <v>78</v>
      </c>
      <c r="I213" s="2" t="s">
        <v>79</v>
      </c>
      <c r="J213" s="2" t="s">
        <v>91</v>
      </c>
      <c r="K213" s="2" t="s">
        <v>77</v>
      </c>
      <c r="L213" s="2" t="s">
        <v>151</v>
      </c>
      <c r="M213" s="2" t="s">
        <v>152</v>
      </c>
      <c r="N213" s="2" t="s">
        <v>495</v>
      </c>
      <c r="O213" s="2" t="s">
        <v>95</v>
      </c>
      <c r="P213" s="2" t="str">
        <f>"N                             "</f>
        <v xml:space="preserve">N  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8.48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19</v>
      </c>
      <c r="BJ213" s="2">
        <v>21.4</v>
      </c>
      <c r="BK213" s="2">
        <v>22</v>
      </c>
      <c r="BL213" s="2">
        <v>81.67</v>
      </c>
      <c r="BM213" s="2">
        <v>11.43</v>
      </c>
      <c r="BN213" s="2">
        <v>93.1</v>
      </c>
      <c r="BO213" s="2">
        <v>93.1</v>
      </c>
      <c r="BQ213" s="2" t="s">
        <v>153</v>
      </c>
      <c r="BR213" s="2" t="s">
        <v>122</v>
      </c>
      <c r="BS213" s="3">
        <v>42878</v>
      </c>
      <c r="BT213" s="4">
        <v>0.4375</v>
      </c>
      <c r="BU213" s="2" t="s">
        <v>490</v>
      </c>
      <c r="BV213" s="2" t="s">
        <v>85</v>
      </c>
      <c r="BY213" s="2">
        <v>107100</v>
      </c>
      <c r="CC213" s="2" t="s">
        <v>152</v>
      </c>
      <c r="CD213" s="2">
        <v>699</v>
      </c>
      <c r="CE213" s="2" t="s">
        <v>271</v>
      </c>
      <c r="CF213" s="3">
        <v>42879</v>
      </c>
      <c r="CI213" s="2">
        <v>1</v>
      </c>
      <c r="CJ213" s="2">
        <v>1</v>
      </c>
      <c r="CK213" s="2" t="s">
        <v>142</v>
      </c>
      <c r="CL213" s="2" t="s">
        <v>87</v>
      </c>
    </row>
    <row r="214" spans="1:90">
      <c r="A214" s="2" t="s">
        <v>88</v>
      </c>
      <c r="B214" s="2" t="s">
        <v>72</v>
      </c>
      <c r="C214" s="2" t="s">
        <v>73</v>
      </c>
      <c r="E214" s="2" t="str">
        <f>"009935802759"</f>
        <v>009935802759</v>
      </c>
      <c r="F214" s="3">
        <v>42877</v>
      </c>
      <c r="G214" s="2">
        <v>201711</v>
      </c>
      <c r="H214" s="2" t="s">
        <v>78</v>
      </c>
      <c r="I214" s="2" t="s">
        <v>79</v>
      </c>
      <c r="J214" s="2" t="s">
        <v>91</v>
      </c>
      <c r="K214" s="2" t="s">
        <v>77</v>
      </c>
      <c r="L214" s="2" t="s">
        <v>189</v>
      </c>
      <c r="M214" s="2" t="s">
        <v>98</v>
      </c>
      <c r="N214" s="2" t="s">
        <v>413</v>
      </c>
      <c r="O214" s="2" t="s">
        <v>95</v>
      </c>
      <c r="P214" s="2" t="str">
        <f>"N                             "</f>
        <v xml:space="preserve">N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11.35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2.8</v>
      </c>
      <c r="BJ214" s="2">
        <v>6.7</v>
      </c>
      <c r="BK214" s="2">
        <v>7</v>
      </c>
      <c r="BL214" s="2">
        <v>107.61</v>
      </c>
      <c r="BM214" s="2">
        <v>15.07</v>
      </c>
      <c r="BN214" s="2">
        <v>122.68</v>
      </c>
      <c r="BO214" s="2">
        <v>122.68</v>
      </c>
      <c r="BQ214" s="2" t="s">
        <v>190</v>
      </c>
      <c r="BR214" s="2" t="s">
        <v>330</v>
      </c>
      <c r="BS214" s="3">
        <v>42881</v>
      </c>
      <c r="BT214" s="4">
        <v>0.33333333333333331</v>
      </c>
      <c r="BU214" s="2" t="s">
        <v>496</v>
      </c>
      <c r="BW214" s="2" t="s">
        <v>229</v>
      </c>
      <c r="BX214" s="2" t="s">
        <v>230</v>
      </c>
      <c r="BY214" s="2">
        <v>33349.68</v>
      </c>
      <c r="CC214" s="2" t="s">
        <v>98</v>
      </c>
      <c r="CD214" s="2">
        <v>6529</v>
      </c>
      <c r="CE214" s="2" t="s">
        <v>120</v>
      </c>
      <c r="CF214" s="3">
        <v>42885</v>
      </c>
      <c r="CI214" s="2">
        <v>0</v>
      </c>
      <c r="CJ214" s="2">
        <v>0</v>
      </c>
      <c r="CK214" s="2" t="s">
        <v>99</v>
      </c>
      <c r="CL214" s="2" t="s">
        <v>87</v>
      </c>
    </row>
    <row r="215" spans="1:90">
      <c r="A215" s="2" t="s">
        <v>88</v>
      </c>
      <c r="B215" s="2" t="s">
        <v>72</v>
      </c>
      <c r="C215" s="2" t="s">
        <v>73</v>
      </c>
      <c r="E215" s="2" t="str">
        <f>"009935903632"</f>
        <v>009935903632</v>
      </c>
      <c r="F215" s="3">
        <v>42877</v>
      </c>
      <c r="G215" s="2">
        <v>201711</v>
      </c>
      <c r="H215" s="2" t="s">
        <v>111</v>
      </c>
      <c r="I215" s="2" t="s">
        <v>112</v>
      </c>
      <c r="J215" s="2" t="s">
        <v>147</v>
      </c>
      <c r="K215" s="2" t="s">
        <v>77</v>
      </c>
      <c r="L215" s="2" t="s">
        <v>158</v>
      </c>
      <c r="M215" s="2" t="s">
        <v>159</v>
      </c>
      <c r="N215" s="2" t="s">
        <v>91</v>
      </c>
      <c r="O215" s="2" t="s">
        <v>95</v>
      </c>
      <c r="P215" s="2" t="str">
        <f>"                              "</f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8.01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</v>
      </c>
      <c r="BJ215" s="2">
        <v>0.2</v>
      </c>
      <c r="BK215" s="2">
        <v>1</v>
      </c>
      <c r="BL215" s="2">
        <v>77.36</v>
      </c>
      <c r="BM215" s="2">
        <v>10.83</v>
      </c>
      <c r="BN215" s="2">
        <v>88.19</v>
      </c>
      <c r="BO215" s="2">
        <v>88.19</v>
      </c>
      <c r="BQ215" s="2" t="s">
        <v>248</v>
      </c>
      <c r="BR215" s="2" t="s">
        <v>497</v>
      </c>
      <c r="BS215" s="3">
        <v>42878</v>
      </c>
      <c r="BT215" s="4">
        <v>0.44444444444444442</v>
      </c>
      <c r="BU215" s="2" t="s">
        <v>98</v>
      </c>
      <c r="BV215" s="2" t="s">
        <v>85</v>
      </c>
      <c r="BY215" s="2">
        <v>1200</v>
      </c>
      <c r="CC215" s="2" t="s">
        <v>159</v>
      </c>
      <c r="CD215" s="2">
        <v>2146</v>
      </c>
      <c r="CE215" s="2" t="s">
        <v>120</v>
      </c>
      <c r="CF215" s="3">
        <v>42879</v>
      </c>
      <c r="CI215" s="2">
        <v>1</v>
      </c>
      <c r="CJ215" s="2">
        <v>1</v>
      </c>
      <c r="CK215" s="2" t="s">
        <v>129</v>
      </c>
      <c r="CL215" s="2" t="s">
        <v>87</v>
      </c>
    </row>
    <row r="216" spans="1:90">
      <c r="A216" s="2" t="s">
        <v>88</v>
      </c>
      <c r="B216" s="2" t="s">
        <v>72</v>
      </c>
      <c r="C216" s="2" t="s">
        <v>73</v>
      </c>
      <c r="E216" s="2" t="str">
        <f>"009935802761"</f>
        <v>009935802761</v>
      </c>
      <c r="F216" s="3">
        <v>42877</v>
      </c>
      <c r="G216" s="2">
        <v>201711</v>
      </c>
      <c r="H216" s="2" t="s">
        <v>78</v>
      </c>
      <c r="I216" s="2" t="s">
        <v>79</v>
      </c>
      <c r="J216" s="2" t="s">
        <v>91</v>
      </c>
      <c r="K216" s="2" t="s">
        <v>77</v>
      </c>
      <c r="L216" s="2" t="s">
        <v>166</v>
      </c>
      <c r="M216" s="2" t="s">
        <v>167</v>
      </c>
      <c r="N216" s="2" t="s">
        <v>498</v>
      </c>
      <c r="O216" s="2" t="s">
        <v>95</v>
      </c>
      <c r="P216" s="2" t="str">
        <f t="shared" ref="P216:P222" si="7">"N                             "</f>
        <v xml:space="preserve">N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17.38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13</v>
      </c>
      <c r="BJ216" s="2">
        <v>23.8</v>
      </c>
      <c r="BK216" s="2">
        <v>24</v>
      </c>
      <c r="BL216" s="2">
        <v>162.06</v>
      </c>
      <c r="BM216" s="2">
        <v>22.69</v>
      </c>
      <c r="BN216" s="2">
        <v>184.75</v>
      </c>
      <c r="BO216" s="2">
        <v>184.75</v>
      </c>
      <c r="BQ216" s="2" t="s">
        <v>168</v>
      </c>
      <c r="BR216" s="2" t="s">
        <v>330</v>
      </c>
      <c r="BS216" s="3">
        <v>42880</v>
      </c>
      <c r="BT216" s="4">
        <v>0.31875000000000003</v>
      </c>
      <c r="BU216" s="2" t="s">
        <v>168</v>
      </c>
      <c r="BV216" s="2" t="s">
        <v>87</v>
      </c>
      <c r="BY216" s="2">
        <v>118881</v>
      </c>
      <c r="CC216" s="2" t="s">
        <v>167</v>
      </c>
      <c r="CD216" s="2">
        <v>2745</v>
      </c>
      <c r="CE216" s="2" t="s">
        <v>86</v>
      </c>
      <c r="CF216" s="3">
        <v>42881</v>
      </c>
      <c r="CI216" s="2">
        <v>1</v>
      </c>
      <c r="CJ216" s="2">
        <v>3</v>
      </c>
      <c r="CK216" s="2" t="s">
        <v>196</v>
      </c>
      <c r="CL216" s="2" t="s">
        <v>87</v>
      </c>
    </row>
    <row r="217" spans="1:90">
      <c r="A217" s="2" t="s">
        <v>88</v>
      </c>
      <c r="B217" s="2" t="s">
        <v>72</v>
      </c>
      <c r="C217" s="2" t="s">
        <v>73</v>
      </c>
      <c r="E217" s="2" t="str">
        <f>"009935802760"</f>
        <v>009935802760</v>
      </c>
      <c r="F217" s="3">
        <v>42877</v>
      </c>
      <c r="G217" s="2">
        <v>201711</v>
      </c>
      <c r="H217" s="2" t="s">
        <v>78</v>
      </c>
      <c r="I217" s="2" t="s">
        <v>79</v>
      </c>
      <c r="J217" s="2" t="s">
        <v>91</v>
      </c>
      <c r="K217" s="2" t="s">
        <v>77</v>
      </c>
      <c r="L217" s="2" t="s">
        <v>242</v>
      </c>
      <c r="M217" s="2" t="s">
        <v>170</v>
      </c>
      <c r="N217" s="2" t="s">
        <v>499</v>
      </c>
      <c r="O217" s="2" t="s">
        <v>95</v>
      </c>
      <c r="P217" s="2" t="str">
        <f t="shared" si="7"/>
        <v xml:space="preserve">N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10.97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2</v>
      </c>
      <c r="BI217" s="2">
        <v>20.399999999999999</v>
      </c>
      <c r="BJ217" s="2">
        <v>30.2</v>
      </c>
      <c r="BK217" s="2">
        <v>31</v>
      </c>
      <c r="BL217" s="2">
        <v>104.14</v>
      </c>
      <c r="BM217" s="2">
        <v>14.58</v>
      </c>
      <c r="BN217" s="2">
        <v>118.72</v>
      </c>
      <c r="BO217" s="2">
        <v>118.72</v>
      </c>
      <c r="BQ217" s="2" t="s">
        <v>204</v>
      </c>
      <c r="BR217" s="2" t="s">
        <v>330</v>
      </c>
      <c r="BS217" s="3">
        <v>42879</v>
      </c>
      <c r="BT217" s="4">
        <v>0.33333333333333331</v>
      </c>
      <c r="BU217" s="2" t="s">
        <v>398</v>
      </c>
      <c r="BV217" s="2" t="s">
        <v>87</v>
      </c>
      <c r="BY217" s="2">
        <v>150829.45000000001</v>
      </c>
      <c r="CC217" s="2" t="s">
        <v>170</v>
      </c>
      <c r="CD217" s="2">
        <v>1200</v>
      </c>
      <c r="CE217" s="2" t="s">
        <v>120</v>
      </c>
      <c r="CF217" s="3">
        <v>42880</v>
      </c>
      <c r="CI217" s="2">
        <v>1</v>
      </c>
      <c r="CJ217" s="2">
        <v>2</v>
      </c>
      <c r="CK217" s="2" t="s">
        <v>142</v>
      </c>
      <c r="CL217" s="2" t="s">
        <v>87</v>
      </c>
    </row>
    <row r="218" spans="1:90">
      <c r="A218" s="2" t="s">
        <v>88</v>
      </c>
      <c r="B218" s="2" t="s">
        <v>72</v>
      </c>
      <c r="C218" s="2" t="s">
        <v>73</v>
      </c>
      <c r="E218" s="2" t="str">
        <f>"009936078417"</f>
        <v>009936078417</v>
      </c>
      <c r="F218" s="3">
        <v>42877</v>
      </c>
      <c r="G218" s="2">
        <v>201711</v>
      </c>
      <c r="H218" s="2" t="s">
        <v>78</v>
      </c>
      <c r="I218" s="2" t="s">
        <v>79</v>
      </c>
      <c r="J218" s="2" t="s">
        <v>91</v>
      </c>
      <c r="K218" s="2" t="s">
        <v>77</v>
      </c>
      <c r="L218" s="2" t="s">
        <v>186</v>
      </c>
      <c r="M218" s="2" t="s">
        <v>106</v>
      </c>
      <c r="N218" s="2" t="s">
        <v>358</v>
      </c>
      <c r="O218" s="2" t="s">
        <v>95</v>
      </c>
      <c r="P218" s="2" t="str">
        <f t="shared" si="7"/>
        <v xml:space="preserve">N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9.5299999999999994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0.3</v>
      </c>
      <c r="BJ218" s="2">
        <v>0.7</v>
      </c>
      <c r="BK218" s="2">
        <v>1</v>
      </c>
      <c r="BL218" s="2">
        <v>91.17</v>
      </c>
      <c r="BM218" s="2">
        <v>12.76</v>
      </c>
      <c r="BN218" s="2">
        <v>103.93</v>
      </c>
      <c r="BO218" s="2">
        <v>103.93</v>
      </c>
      <c r="BQ218" s="2" t="s">
        <v>109</v>
      </c>
      <c r="BR218" s="2" t="s">
        <v>479</v>
      </c>
      <c r="BS218" s="3">
        <v>42879</v>
      </c>
      <c r="BT218" s="4">
        <v>0.47361111111111115</v>
      </c>
      <c r="BU218" s="2" t="s">
        <v>500</v>
      </c>
      <c r="BV218" s="2" t="s">
        <v>85</v>
      </c>
      <c r="BY218" s="2">
        <v>3287.44</v>
      </c>
      <c r="CA218" s="2" t="s">
        <v>208</v>
      </c>
      <c r="CC218" s="2" t="s">
        <v>106</v>
      </c>
      <c r="CD218" s="2">
        <v>7700</v>
      </c>
      <c r="CE218" s="2" t="s">
        <v>120</v>
      </c>
      <c r="CF218" s="3">
        <v>42879</v>
      </c>
      <c r="CI218" s="2">
        <v>2</v>
      </c>
      <c r="CJ218" s="2">
        <v>2</v>
      </c>
      <c r="CK218" s="2" t="s">
        <v>104</v>
      </c>
      <c r="CL218" s="2" t="s">
        <v>87</v>
      </c>
    </row>
    <row r="219" spans="1:90">
      <c r="A219" s="2" t="s">
        <v>88</v>
      </c>
      <c r="B219" s="2" t="s">
        <v>72</v>
      </c>
      <c r="C219" s="2" t="s">
        <v>73</v>
      </c>
      <c r="E219" s="2" t="str">
        <f>"009935802758"</f>
        <v>009935802758</v>
      </c>
      <c r="F219" s="3">
        <v>42877</v>
      </c>
      <c r="G219" s="2">
        <v>201711</v>
      </c>
      <c r="H219" s="2" t="s">
        <v>78</v>
      </c>
      <c r="I219" s="2" t="s">
        <v>79</v>
      </c>
      <c r="J219" s="2" t="s">
        <v>91</v>
      </c>
      <c r="K219" s="2" t="s">
        <v>77</v>
      </c>
      <c r="L219" s="2" t="s">
        <v>242</v>
      </c>
      <c r="M219" s="2" t="s">
        <v>170</v>
      </c>
      <c r="N219" s="2" t="s">
        <v>418</v>
      </c>
      <c r="O219" s="2" t="s">
        <v>95</v>
      </c>
      <c r="P219" s="2" t="str">
        <f t="shared" si="7"/>
        <v xml:space="preserve">N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6.55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3</v>
      </c>
      <c r="BJ219" s="2">
        <v>7.1</v>
      </c>
      <c r="BK219" s="2">
        <v>7</v>
      </c>
      <c r="BL219" s="2">
        <v>64.2</v>
      </c>
      <c r="BM219" s="2">
        <v>8.99</v>
      </c>
      <c r="BN219" s="2">
        <v>73.19</v>
      </c>
      <c r="BO219" s="2">
        <v>73.19</v>
      </c>
      <c r="BQ219" s="2" t="s">
        <v>83</v>
      </c>
      <c r="BR219" s="2" t="s">
        <v>330</v>
      </c>
      <c r="BS219" s="3">
        <v>42879</v>
      </c>
      <c r="BT219" s="4">
        <v>0.64166666666666672</v>
      </c>
      <c r="BU219" s="2" t="s">
        <v>339</v>
      </c>
      <c r="BV219" s="2" t="s">
        <v>87</v>
      </c>
      <c r="BY219" s="2">
        <v>35404.050000000003</v>
      </c>
      <c r="CC219" s="2" t="s">
        <v>170</v>
      </c>
      <c r="CD219" s="2">
        <v>1200</v>
      </c>
      <c r="CE219" s="2" t="s">
        <v>120</v>
      </c>
      <c r="CF219" s="3">
        <v>42880</v>
      </c>
      <c r="CI219" s="2">
        <v>1</v>
      </c>
      <c r="CJ219" s="2">
        <v>2</v>
      </c>
      <c r="CK219" s="2" t="s">
        <v>142</v>
      </c>
      <c r="CL219" s="2" t="s">
        <v>87</v>
      </c>
    </row>
    <row r="220" spans="1:90">
      <c r="A220" s="2" t="s">
        <v>88</v>
      </c>
      <c r="B220" s="2" t="s">
        <v>72</v>
      </c>
      <c r="C220" s="2" t="s">
        <v>73</v>
      </c>
      <c r="E220" s="2" t="str">
        <f>"009936115725"</f>
        <v>009936115725</v>
      </c>
      <c r="F220" s="3">
        <v>42877</v>
      </c>
      <c r="G220" s="2">
        <v>201711</v>
      </c>
      <c r="H220" s="2" t="s">
        <v>78</v>
      </c>
      <c r="I220" s="2" t="s">
        <v>79</v>
      </c>
      <c r="J220" s="2" t="s">
        <v>91</v>
      </c>
      <c r="K220" s="2" t="s">
        <v>77</v>
      </c>
      <c r="L220" s="2" t="s">
        <v>89</v>
      </c>
      <c r="M220" s="2" t="s">
        <v>90</v>
      </c>
      <c r="N220" s="2" t="s">
        <v>441</v>
      </c>
      <c r="O220" s="2" t="s">
        <v>95</v>
      </c>
      <c r="P220" s="2" t="str">
        <f t="shared" si="7"/>
        <v xml:space="preserve">N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9.5299999999999994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2.6</v>
      </c>
      <c r="BJ220" s="2">
        <v>7.7</v>
      </c>
      <c r="BK220" s="2">
        <v>8</v>
      </c>
      <c r="BL220" s="2">
        <v>91.17</v>
      </c>
      <c r="BM220" s="2">
        <v>12.76</v>
      </c>
      <c r="BN220" s="2">
        <v>103.93</v>
      </c>
      <c r="BO220" s="2">
        <v>103.93</v>
      </c>
      <c r="BQ220" s="2" t="s">
        <v>97</v>
      </c>
      <c r="BR220" s="2" t="s">
        <v>501</v>
      </c>
      <c r="BS220" s="3">
        <v>42879</v>
      </c>
      <c r="BT220" s="4">
        <v>0.39583333333333331</v>
      </c>
      <c r="BU220" s="2" t="s">
        <v>241</v>
      </c>
      <c r="BV220" s="2" t="s">
        <v>85</v>
      </c>
      <c r="BY220" s="2">
        <v>38253.599999999999</v>
      </c>
      <c r="CC220" s="2" t="s">
        <v>90</v>
      </c>
      <c r="CD220" s="2">
        <v>6045</v>
      </c>
      <c r="CE220" s="2" t="s">
        <v>120</v>
      </c>
      <c r="CF220" s="3">
        <v>42880</v>
      </c>
      <c r="CI220" s="2">
        <v>2</v>
      </c>
      <c r="CJ220" s="2">
        <v>2</v>
      </c>
      <c r="CK220" s="2" t="s">
        <v>104</v>
      </c>
      <c r="CL220" s="2" t="s">
        <v>87</v>
      </c>
    </row>
    <row r="221" spans="1:90">
      <c r="A221" s="2" t="s">
        <v>88</v>
      </c>
      <c r="B221" s="2" t="s">
        <v>72</v>
      </c>
      <c r="C221" s="2" t="s">
        <v>73</v>
      </c>
      <c r="E221" s="2" t="str">
        <f>"009936115586"</f>
        <v>009936115586</v>
      </c>
      <c r="F221" s="3">
        <v>42877</v>
      </c>
      <c r="G221" s="2">
        <v>201711</v>
      </c>
      <c r="H221" s="2" t="s">
        <v>78</v>
      </c>
      <c r="I221" s="2" t="s">
        <v>79</v>
      </c>
      <c r="J221" s="2" t="s">
        <v>91</v>
      </c>
      <c r="K221" s="2" t="s">
        <v>77</v>
      </c>
      <c r="L221" s="2" t="s">
        <v>258</v>
      </c>
      <c r="M221" s="2" t="s">
        <v>259</v>
      </c>
      <c r="N221" s="2" t="s">
        <v>502</v>
      </c>
      <c r="O221" s="2" t="s">
        <v>95</v>
      </c>
      <c r="P221" s="2" t="str">
        <f t="shared" si="7"/>
        <v xml:space="preserve">N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9.5299999999999994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3</v>
      </c>
      <c r="BJ221" s="2">
        <v>6.9</v>
      </c>
      <c r="BK221" s="2">
        <v>7</v>
      </c>
      <c r="BL221" s="2">
        <v>91.17</v>
      </c>
      <c r="BM221" s="2">
        <v>12.76</v>
      </c>
      <c r="BN221" s="2">
        <v>103.93</v>
      </c>
      <c r="BO221" s="2">
        <v>103.93</v>
      </c>
      <c r="BQ221" s="2" t="s">
        <v>261</v>
      </c>
      <c r="BR221" s="2" t="s">
        <v>423</v>
      </c>
      <c r="BS221" s="3">
        <v>42880</v>
      </c>
      <c r="BT221" s="4">
        <v>0.43055555555555558</v>
      </c>
      <c r="BU221" s="2" t="s">
        <v>503</v>
      </c>
      <c r="BV221" s="2" t="s">
        <v>87</v>
      </c>
      <c r="BW221" s="2" t="s">
        <v>254</v>
      </c>
      <c r="BX221" s="2" t="s">
        <v>504</v>
      </c>
      <c r="BY221" s="2">
        <v>34593.300000000003</v>
      </c>
      <c r="CC221" s="2" t="s">
        <v>259</v>
      </c>
      <c r="CD221" s="2">
        <v>5206</v>
      </c>
      <c r="CE221" s="2" t="s">
        <v>120</v>
      </c>
      <c r="CF221" s="3">
        <v>42881</v>
      </c>
      <c r="CI221" s="2">
        <v>2</v>
      </c>
      <c r="CJ221" s="2">
        <v>3</v>
      </c>
      <c r="CK221" s="2" t="s">
        <v>221</v>
      </c>
      <c r="CL221" s="2" t="s">
        <v>87</v>
      </c>
    </row>
    <row r="222" spans="1:90">
      <c r="A222" s="2" t="s">
        <v>88</v>
      </c>
      <c r="B222" s="2" t="s">
        <v>72</v>
      </c>
      <c r="C222" s="2" t="s">
        <v>73</v>
      </c>
      <c r="E222" s="2" t="str">
        <f>"009935501359"</f>
        <v>009935501359</v>
      </c>
      <c r="F222" s="3">
        <v>42877</v>
      </c>
      <c r="G222" s="2">
        <v>201711</v>
      </c>
      <c r="H222" s="2" t="s">
        <v>78</v>
      </c>
      <c r="I222" s="2" t="s">
        <v>79</v>
      </c>
      <c r="J222" s="2" t="s">
        <v>91</v>
      </c>
      <c r="K222" s="2" t="s">
        <v>77</v>
      </c>
      <c r="L222" s="2" t="s">
        <v>138</v>
      </c>
      <c r="M222" s="2" t="s">
        <v>139</v>
      </c>
      <c r="N222" s="2" t="s">
        <v>426</v>
      </c>
      <c r="O222" s="2" t="s">
        <v>81</v>
      </c>
      <c r="P222" s="2" t="str">
        <f t="shared" si="7"/>
        <v xml:space="preserve">N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4.66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1.4</v>
      </c>
      <c r="BJ222" s="2">
        <v>1.6</v>
      </c>
      <c r="BK222" s="2">
        <v>2</v>
      </c>
      <c r="BL222" s="2">
        <v>42.1</v>
      </c>
      <c r="BM222" s="2">
        <v>5.89</v>
      </c>
      <c r="BN222" s="2">
        <v>47.99</v>
      </c>
      <c r="BO222" s="2">
        <v>47.99</v>
      </c>
      <c r="BQ222" s="2" t="s">
        <v>140</v>
      </c>
      <c r="BR222" s="2" t="s">
        <v>122</v>
      </c>
      <c r="BS222" s="3">
        <v>42878</v>
      </c>
      <c r="BT222" s="4">
        <v>0.42430555555555555</v>
      </c>
      <c r="BU222" s="2" t="s">
        <v>287</v>
      </c>
      <c r="BV222" s="2" t="s">
        <v>85</v>
      </c>
      <c r="BY222" s="2">
        <v>7912.11</v>
      </c>
      <c r="CC222" s="2" t="s">
        <v>139</v>
      </c>
      <c r="CD222" s="2">
        <v>9301</v>
      </c>
      <c r="CE222" s="2" t="s">
        <v>120</v>
      </c>
      <c r="CF222" s="3">
        <v>42879</v>
      </c>
      <c r="CI222" s="2">
        <v>1</v>
      </c>
      <c r="CJ222" s="2">
        <v>1</v>
      </c>
      <c r="CK222" s="2">
        <v>21</v>
      </c>
      <c r="CL222" s="2" t="s">
        <v>87</v>
      </c>
    </row>
    <row r="223" spans="1:90">
      <c r="A223" s="2" t="s">
        <v>88</v>
      </c>
      <c r="B223" s="2" t="s">
        <v>72</v>
      </c>
      <c r="C223" s="2" t="s">
        <v>73</v>
      </c>
      <c r="E223" s="2" t="str">
        <f>"019910366950"</f>
        <v>019910366950</v>
      </c>
      <c r="F223" s="3">
        <v>42877</v>
      </c>
      <c r="G223" s="2">
        <v>201711</v>
      </c>
      <c r="H223" s="2" t="s">
        <v>105</v>
      </c>
      <c r="I223" s="2" t="s">
        <v>106</v>
      </c>
      <c r="J223" s="2" t="s">
        <v>91</v>
      </c>
      <c r="K223" s="2" t="s">
        <v>77</v>
      </c>
      <c r="L223" s="2" t="s">
        <v>78</v>
      </c>
      <c r="M223" s="2" t="s">
        <v>79</v>
      </c>
      <c r="N223" s="2" t="s">
        <v>91</v>
      </c>
      <c r="O223" s="2" t="s">
        <v>95</v>
      </c>
      <c r="P223" s="2" t="str">
        <f>"CPT1705390721                 "</f>
        <v xml:space="preserve">CPT1705390721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107.87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10</v>
      </c>
      <c r="BI223" s="2">
        <v>199.8</v>
      </c>
      <c r="BJ223" s="2">
        <v>256</v>
      </c>
      <c r="BK223" s="2">
        <v>256</v>
      </c>
      <c r="BL223" s="2">
        <v>979.99</v>
      </c>
      <c r="BM223" s="2">
        <v>137.19999999999999</v>
      </c>
      <c r="BN223" s="2">
        <v>1117.19</v>
      </c>
      <c r="BO223" s="2">
        <v>1117.19</v>
      </c>
      <c r="BQ223" s="2" t="s">
        <v>100</v>
      </c>
      <c r="BR223" s="2" t="s">
        <v>109</v>
      </c>
      <c r="BS223" s="3">
        <v>42879</v>
      </c>
      <c r="BT223" s="4">
        <v>0.58333333333333337</v>
      </c>
      <c r="BU223" s="2" t="s">
        <v>98</v>
      </c>
      <c r="BV223" s="2" t="s">
        <v>85</v>
      </c>
      <c r="BY223" s="2">
        <v>1280126.82</v>
      </c>
      <c r="CC223" s="2" t="s">
        <v>79</v>
      </c>
      <c r="CD223" s="2">
        <v>2196</v>
      </c>
      <c r="CE223" s="2" t="s">
        <v>120</v>
      </c>
      <c r="CF223" s="3">
        <v>42880</v>
      </c>
      <c r="CI223" s="2">
        <v>2</v>
      </c>
      <c r="CJ223" s="2">
        <v>2</v>
      </c>
      <c r="CK223" s="2" t="s">
        <v>104</v>
      </c>
      <c r="CL223" s="2" t="s">
        <v>87</v>
      </c>
    </row>
    <row r="224" spans="1:90">
      <c r="A224" s="2" t="s">
        <v>88</v>
      </c>
      <c r="B224" s="2" t="s">
        <v>72</v>
      </c>
      <c r="C224" s="2" t="s">
        <v>73</v>
      </c>
      <c r="E224" s="2" t="str">
        <f>"069907886377"</f>
        <v>069907886377</v>
      </c>
      <c r="F224" s="3">
        <v>42877</v>
      </c>
      <c r="G224" s="2">
        <v>201711</v>
      </c>
      <c r="H224" s="2" t="s">
        <v>151</v>
      </c>
      <c r="I224" s="2" t="s">
        <v>152</v>
      </c>
      <c r="J224" s="2" t="s">
        <v>91</v>
      </c>
      <c r="K224" s="2" t="s">
        <v>77</v>
      </c>
      <c r="L224" s="2" t="s">
        <v>158</v>
      </c>
      <c r="M224" s="2" t="s">
        <v>159</v>
      </c>
      <c r="N224" s="2" t="s">
        <v>91</v>
      </c>
      <c r="O224" s="2" t="s">
        <v>95</v>
      </c>
      <c r="P224" s="2" t="str">
        <f>"                              "</f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8.73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1</v>
      </c>
      <c r="BJ224" s="2">
        <v>0.2</v>
      </c>
      <c r="BK224" s="2">
        <v>1</v>
      </c>
      <c r="BL224" s="2">
        <v>83.93</v>
      </c>
      <c r="BM224" s="2">
        <v>11.75</v>
      </c>
      <c r="BN224" s="2">
        <v>95.68</v>
      </c>
      <c r="BO224" s="2">
        <v>95.68</v>
      </c>
      <c r="BQ224" s="2" t="s">
        <v>505</v>
      </c>
      <c r="BS224" s="3">
        <v>42878</v>
      </c>
      <c r="BT224" s="4">
        <v>0.35486111111111113</v>
      </c>
      <c r="BU224" s="2" t="s">
        <v>98</v>
      </c>
      <c r="BV224" s="2" t="s">
        <v>85</v>
      </c>
      <c r="BY224" s="2">
        <v>1200</v>
      </c>
      <c r="CA224" s="2" t="s">
        <v>444</v>
      </c>
      <c r="CC224" s="2" t="s">
        <v>159</v>
      </c>
      <c r="CD224" s="2">
        <v>2146</v>
      </c>
      <c r="CE224" s="2" t="s">
        <v>120</v>
      </c>
      <c r="CF224" s="3">
        <v>42878</v>
      </c>
      <c r="CI224" s="2">
        <v>1</v>
      </c>
      <c r="CJ224" s="2">
        <v>1</v>
      </c>
      <c r="CK224" s="2" t="s">
        <v>133</v>
      </c>
      <c r="CL224" s="2" t="s">
        <v>87</v>
      </c>
    </row>
    <row r="225" spans="1:90">
      <c r="A225" s="2" t="s">
        <v>88</v>
      </c>
      <c r="B225" s="2" t="s">
        <v>72</v>
      </c>
      <c r="C225" s="2" t="s">
        <v>73</v>
      </c>
      <c r="E225" s="2" t="str">
        <f>"009935903633"</f>
        <v>009935903633</v>
      </c>
      <c r="F225" s="3">
        <v>42877</v>
      </c>
      <c r="G225" s="2">
        <v>201711</v>
      </c>
      <c r="H225" s="2" t="s">
        <v>111</v>
      </c>
      <c r="I225" s="2" t="s">
        <v>112</v>
      </c>
      <c r="J225" s="2" t="s">
        <v>147</v>
      </c>
      <c r="K225" s="2" t="s">
        <v>77</v>
      </c>
      <c r="L225" s="2" t="s">
        <v>158</v>
      </c>
      <c r="M225" s="2" t="s">
        <v>159</v>
      </c>
      <c r="N225" s="2" t="s">
        <v>80</v>
      </c>
      <c r="O225" s="2" t="s">
        <v>95</v>
      </c>
      <c r="P225" s="2" t="str">
        <f>"                              "</f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112.23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8</v>
      </c>
      <c r="BI225" s="2">
        <v>72</v>
      </c>
      <c r="BJ225" s="2">
        <v>435.2</v>
      </c>
      <c r="BK225" s="2">
        <v>436</v>
      </c>
      <c r="BL225" s="2">
        <v>1019.37</v>
      </c>
      <c r="BM225" s="2">
        <v>142.71</v>
      </c>
      <c r="BN225" s="2">
        <v>1162.08</v>
      </c>
      <c r="BO225" s="2">
        <v>1162.08</v>
      </c>
      <c r="BQ225" s="2" t="s">
        <v>148</v>
      </c>
      <c r="BR225" s="2" t="s">
        <v>397</v>
      </c>
      <c r="BS225" s="3">
        <v>42878</v>
      </c>
      <c r="BT225" s="4">
        <v>0.44444444444444442</v>
      </c>
      <c r="BU225" s="2" t="s">
        <v>98</v>
      </c>
      <c r="BV225" s="2" t="s">
        <v>85</v>
      </c>
      <c r="BY225" s="2">
        <v>2176097.79</v>
      </c>
      <c r="CC225" s="2" t="s">
        <v>159</v>
      </c>
      <c r="CD225" s="2">
        <v>2146</v>
      </c>
      <c r="CE225" s="2" t="s">
        <v>120</v>
      </c>
      <c r="CF225" s="3">
        <v>42879</v>
      </c>
      <c r="CI225" s="2">
        <v>1</v>
      </c>
      <c r="CJ225" s="2">
        <v>1</v>
      </c>
      <c r="CK225" s="2" t="s">
        <v>129</v>
      </c>
      <c r="CL225" s="2" t="s">
        <v>87</v>
      </c>
    </row>
    <row r="226" spans="1:90">
      <c r="A226" s="2" t="s">
        <v>88</v>
      </c>
      <c r="B226" s="2" t="s">
        <v>72</v>
      </c>
      <c r="C226" s="2" t="s">
        <v>73</v>
      </c>
      <c r="E226" s="2" t="str">
        <f>"029907627785"</f>
        <v>029907627785</v>
      </c>
      <c r="F226" s="3">
        <v>42874</v>
      </c>
      <c r="G226" s="2">
        <v>201711</v>
      </c>
      <c r="H226" s="2" t="s">
        <v>176</v>
      </c>
      <c r="I226" s="2" t="s">
        <v>177</v>
      </c>
      <c r="J226" s="2" t="s">
        <v>209</v>
      </c>
      <c r="K226" s="2" t="s">
        <v>77</v>
      </c>
      <c r="L226" s="2" t="s">
        <v>273</v>
      </c>
      <c r="M226" s="2" t="s">
        <v>274</v>
      </c>
      <c r="N226" s="2" t="s">
        <v>506</v>
      </c>
      <c r="O226" s="2" t="s">
        <v>95</v>
      </c>
      <c r="P226" s="2" t="str">
        <f>"                              "</f>
        <v xml:space="preserve">   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14.94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5</v>
      </c>
      <c r="BI226" s="2">
        <v>30.3</v>
      </c>
      <c r="BJ226" s="2">
        <v>42.6</v>
      </c>
      <c r="BK226" s="2">
        <v>43</v>
      </c>
      <c r="BL226" s="2">
        <v>140.01</v>
      </c>
      <c r="BM226" s="2">
        <v>19.600000000000001</v>
      </c>
      <c r="BN226" s="2">
        <v>159.61000000000001</v>
      </c>
      <c r="BO226" s="2">
        <v>159.61000000000001</v>
      </c>
      <c r="BQ226" s="2" t="s">
        <v>507</v>
      </c>
      <c r="BR226" s="2" t="s">
        <v>210</v>
      </c>
      <c r="BS226" s="3">
        <v>42877</v>
      </c>
      <c r="BT226" s="4">
        <v>0.52083333333333337</v>
      </c>
      <c r="BU226" s="2" t="s">
        <v>508</v>
      </c>
      <c r="BY226" s="2">
        <v>89000</v>
      </c>
      <c r="BZ226" s="2" t="s">
        <v>33</v>
      </c>
      <c r="CC226" s="2" t="s">
        <v>274</v>
      </c>
      <c r="CD226" s="2">
        <v>3370</v>
      </c>
      <c r="CE226" s="2" t="s">
        <v>120</v>
      </c>
      <c r="CF226" s="3">
        <v>42879</v>
      </c>
      <c r="CI226" s="2">
        <v>0</v>
      </c>
      <c r="CJ226" s="2">
        <v>0</v>
      </c>
      <c r="CK226" s="2" t="s">
        <v>129</v>
      </c>
      <c r="CL226" s="2" t="s">
        <v>87</v>
      </c>
    </row>
    <row r="227" spans="1:90">
      <c r="A227" s="2" t="s">
        <v>88</v>
      </c>
      <c r="B227" s="2" t="s">
        <v>72</v>
      </c>
      <c r="C227" s="2" t="s">
        <v>73</v>
      </c>
      <c r="E227" s="2" t="str">
        <f>"029907512156"</f>
        <v>029907512156</v>
      </c>
      <c r="F227" s="3">
        <v>42874</v>
      </c>
      <c r="G227" s="2">
        <v>201711</v>
      </c>
      <c r="H227" s="2" t="s">
        <v>176</v>
      </c>
      <c r="I227" s="2" t="s">
        <v>177</v>
      </c>
      <c r="J227" s="2" t="s">
        <v>209</v>
      </c>
      <c r="K227" s="2" t="s">
        <v>77</v>
      </c>
      <c r="L227" s="2" t="s">
        <v>78</v>
      </c>
      <c r="M227" s="2" t="s">
        <v>79</v>
      </c>
      <c r="N227" s="2" t="s">
        <v>91</v>
      </c>
      <c r="O227" s="2" t="s">
        <v>95</v>
      </c>
      <c r="P227" s="2" t="str">
        <f>"                              "</f>
        <v xml:space="preserve"> 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150.04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6</v>
      </c>
      <c r="BI227" s="2">
        <v>154.9</v>
      </c>
      <c r="BJ227" s="2">
        <v>457</v>
      </c>
      <c r="BK227" s="2">
        <v>457</v>
      </c>
      <c r="BL227" s="2">
        <v>1361.18</v>
      </c>
      <c r="BM227" s="2">
        <v>190.57</v>
      </c>
      <c r="BN227" s="2">
        <v>1551.75</v>
      </c>
      <c r="BO227" s="2">
        <v>1551.75</v>
      </c>
      <c r="BQ227" s="2" t="s">
        <v>122</v>
      </c>
      <c r="BR227" s="2" t="s">
        <v>210</v>
      </c>
      <c r="BS227" s="3">
        <v>42877</v>
      </c>
      <c r="BT227" s="4">
        <v>0.48958333333333331</v>
      </c>
      <c r="BU227" s="2" t="s">
        <v>98</v>
      </c>
      <c r="BV227" s="2" t="s">
        <v>85</v>
      </c>
      <c r="BY227" s="2">
        <v>380800</v>
      </c>
      <c r="CC227" s="2" t="s">
        <v>79</v>
      </c>
      <c r="CD227" s="2">
        <v>2000</v>
      </c>
      <c r="CE227" s="2" t="s">
        <v>120</v>
      </c>
      <c r="CF227" s="3">
        <v>42878</v>
      </c>
      <c r="CI227" s="2">
        <v>1</v>
      </c>
      <c r="CJ227" s="2">
        <v>1</v>
      </c>
      <c r="CK227" s="2" t="s">
        <v>211</v>
      </c>
      <c r="CL227" s="2" t="s">
        <v>87</v>
      </c>
    </row>
    <row r="228" spans="1:90">
      <c r="A228" s="2" t="s">
        <v>88</v>
      </c>
      <c r="B228" s="2" t="s">
        <v>72</v>
      </c>
      <c r="C228" s="2" t="s">
        <v>73</v>
      </c>
      <c r="E228" s="2" t="str">
        <f>"009936078416"</f>
        <v>009936078416</v>
      </c>
      <c r="F228" s="3">
        <v>42877</v>
      </c>
      <c r="G228" s="2">
        <v>201711</v>
      </c>
      <c r="H228" s="2" t="s">
        <v>78</v>
      </c>
      <c r="I228" s="2" t="s">
        <v>79</v>
      </c>
      <c r="J228" s="2" t="s">
        <v>91</v>
      </c>
      <c r="K228" s="2" t="s">
        <v>77</v>
      </c>
      <c r="L228" s="2" t="s">
        <v>105</v>
      </c>
      <c r="M228" s="2" t="s">
        <v>106</v>
      </c>
      <c r="N228" s="2" t="s">
        <v>358</v>
      </c>
      <c r="O228" s="2" t="s">
        <v>81</v>
      </c>
      <c r="P228" s="2" t="str">
        <f>"N                             "</f>
        <v xml:space="preserve">N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23.29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6.2</v>
      </c>
      <c r="BJ228" s="2">
        <v>9.6999999999999993</v>
      </c>
      <c r="BK228" s="2">
        <v>10</v>
      </c>
      <c r="BL228" s="2">
        <v>210.49</v>
      </c>
      <c r="BM228" s="2">
        <v>29.47</v>
      </c>
      <c r="BN228" s="2">
        <v>239.96</v>
      </c>
      <c r="BO228" s="2">
        <v>239.96</v>
      </c>
      <c r="BQ228" s="2" t="s">
        <v>109</v>
      </c>
      <c r="BR228" s="2" t="s">
        <v>479</v>
      </c>
      <c r="BS228" s="3">
        <v>42878</v>
      </c>
      <c r="BT228" s="4">
        <v>0.41666666666666669</v>
      </c>
      <c r="BU228" s="2" t="s">
        <v>446</v>
      </c>
      <c r="BV228" s="2" t="s">
        <v>85</v>
      </c>
      <c r="BY228" s="2">
        <v>48483.29</v>
      </c>
      <c r="CC228" s="2" t="s">
        <v>106</v>
      </c>
      <c r="CD228" s="2">
        <v>7705</v>
      </c>
      <c r="CE228" s="2" t="s">
        <v>120</v>
      </c>
      <c r="CF228" s="3">
        <v>42879</v>
      </c>
      <c r="CI228" s="2">
        <v>1</v>
      </c>
      <c r="CJ228" s="2">
        <v>1</v>
      </c>
      <c r="CK228" s="2">
        <v>21</v>
      </c>
      <c r="CL228" s="2" t="s">
        <v>87</v>
      </c>
    </row>
    <row r="229" spans="1:90">
      <c r="A229" s="2" t="s">
        <v>71</v>
      </c>
      <c r="B229" s="2" t="s">
        <v>72</v>
      </c>
      <c r="C229" s="2" t="s">
        <v>73</v>
      </c>
      <c r="E229" s="2" t="str">
        <f>"029907767978"</f>
        <v>029907767978</v>
      </c>
      <c r="F229" s="3">
        <v>42878</v>
      </c>
      <c r="G229" s="2">
        <v>201711</v>
      </c>
      <c r="H229" s="2" t="s">
        <v>216</v>
      </c>
      <c r="I229" s="2" t="s">
        <v>217</v>
      </c>
      <c r="J229" s="2" t="s">
        <v>218</v>
      </c>
      <c r="K229" s="2" t="s">
        <v>77</v>
      </c>
      <c r="L229" s="2" t="s">
        <v>158</v>
      </c>
      <c r="M229" s="2" t="s">
        <v>159</v>
      </c>
      <c r="N229" s="2" t="s">
        <v>218</v>
      </c>
      <c r="O229" s="2" t="s">
        <v>95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9.5299999999999994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1</v>
      </c>
      <c r="BJ229" s="2">
        <v>0.2</v>
      </c>
      <c r="BK229" s="2">
        <v>1</v>
      </c>
      <c r="BL229" s="2">
        <v>91.17</v>
      </c>
      <c r="BM229" s="2">
        <v>12.76</v>
      </c>
      <c r="BN229" s="2">
        <v>103.93</v>
      </c>
      <c r="BO229" s="2">
        <v>103.93</v>
      </c>
      <c r="BS229" s="3">
        <v>42879</v>
      </c>
      <c r="BT229" s="4">
        <v>0.58333333333333337</v>
      </c>
      <c r="BU229" s="2" t="s">
        <v>98</v>
      </c>
      <c r="BV229" s="2" t="s">
        <v>85</v>
      </c>
      <c r="BY229" s="2">
        <v>1200</v>
      </c>
      <c r="CC229" s="2" t="s">
        <v>159</v>
      </c>
      <c r="CD229" s="2">
        <v>2146</v>
      </c>
      <c r="CE229" s="2" t="s">
        <v>120</v>
      </c>
      <c r="CF229" s="3">
        <v>42880</v>
      </c>
      <c r="CI229" s="2">
        <v>2</v>
      </c>
      <c r="CJ229" s="2">
        <v>1</v>
      </c>
      <c r="CK229" s="2" t="s">
        <v>221</v>
      </c>
      <c r="CL229" s="2" t="s">
        <v>87</v>
      </c>
    </row>
    <row r="230" spans="1:90">
      <c r="A230" s="2" t="s">
        <v>88</v>
      </c>
      <c r="B230" s="2" t="s">
        <v>72</v>
      </c>
      <c r="C230" s="2" t="s">
        <v>73</v>
      </c>
      <c r="E230" s="2" t="str">
        <f>"029907613742"</f>
        <v>029907613742</v>
      </c>
      <c r="F230" s="3">
        <v>42877</v>
      </c>
      <c r="G230" s="2">
        <v>201711</v>
      </c>
      <c r="H230" s="2" t="s">
        <v>176</v>
      </c>
      <c r="I230" s="2" t="s">
        <v>177</v>
      </c>
      <c r="J230" s="2" t="s">
        <v>209</v>
      </c>
      <c r="K230" s="2" t="s">
        <v>77</v>
      </c>
      <c r="L230" s="2" t="s">
        <v>78</v>
      </c>
      <c r="M230" s="2" t="s">
        <v>79</v>
      </c>
      <c r="N230" s="2" t="s">
        <v>417</v>
      </c>
      <c r="O230" s="2" t="s">
        <v>81</v>
      </c>
      <c r="P230" s="2" t="str">
        <f>"1705390547                    "</f>
        <v xml:space="preserve">1705390547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4.66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42.1</v>
      </c>
      <c r="BM230" s="2">
        <v>5.89</v>
      </c>
      <c r="BN230" s="2">
        <v>47.99</v>
      </c>
      <c r="BO230" s="2">
        <v>47.99</v>
      </c>
      <c r="BR230" s="2" t="s">
        <v>210</v>
      </c>
      <c r="BS230" s="3">
        <v>42878</v>
      </c>
      <c r="BT230" s="4">
        <v>0.39444444444444443</v>
      </c>
      <c r="BU230" s="2" t="s">
        <v>174</v>
      </c>
      <c r="BV230" s="2" t="s">
        <v>85</v>
      </c>
      <c r="BY230" s="2">
        <v>1200</v>
      </c>
      <c r="BZ230" s="2" t="s">
        <v>27</v>
      </c>
      <c r="CA230" s="2" t="s">
        <v>509</v>
      </c>
      <c r="CC230" s="2" t="s">
        <v>79</v>
      </c>
      <c r="CD230" s="2">
        <v>2000</v>
      </c>
      <c r="CE230" s="2" t="s">
        <v>120</v>
      </c>
      <c r="CF230" s="3">
        <v>42878</v>
      </c>
      <c r="CI230" s="2">
        <v>1</v>
      </c>
      <c r="CJ230" s="2">
        <v>1</v>
      </c>
      <c r="CK230" s="2">
        <v>21</v>
      </c>
      <c r="CL230" s="2" t="s">
        <v>87</v>
      </c>
    </row>
    <row r="231" spans="1:90">
      <c r="A231" s="2" t="s">
        <v>88</v>
      </c>
      <c r="B231" s="2" t="s">
        <v>72</v>
      </c>
      <c r="C231" s="2" t="s">
        <v>73</v>
      </c>
      <c r="E231" s="2" t="str">
        <f>"009935636098"</f>
        <v>009935636098</v>
      </c>
      <c r="F231" s="3">
        <v>42878</v>
      </c>
      <c r="G231" s="2">
        <v>201711</v>
      </c>
      <c r="H231" s="2" t="s">
        <v>158</v>
      </c>
      <c r="I231" s="2" t="s">
        <v>159</v>
      </c>
      <c r="J231" s="2" t="s">
        <v>91</v>
      </c>
      <c r="K231" s="2" t="s">
        <v>77</v>
      </c>
      <c r="L231" s="2" t="s">
        <v>169</v>
      </c>
      <c r="M231" s="2" t="s">
        <v>170</v>
      </c>
      <c r="N231" s="2" t="s">
        <v>91</v>
      </c>
      <c r="O231" s="2" t="s">
        <v>81</v>
      </c>
      <c r="P231" s="2" t="str">
        <f>"LOCKS                         "</f>
        <v xml:space="preserve">LOCKS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13.97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6</v>
      </c>
      <c r="BJ231" s="2">
        <v>0.3</v>
      </c>
      <c r="BK231" s="2">
        <v>6</v>
      </c>
      <c r="BL231" s="2">
        <v>126.29</v>
      </c>
      <c r="BM231" s="2">
        <v>17.68</v>
      </c>
      <c r="BN231" s="2">
        <v>143.97</v>
      </c>
      <c r="BO231" s="2">
        <v>143.97</v>
      </c>
      <c r="BQ231" s="2" t="s">
        <v>510</v>
      </c>
      <c r="BS231" s="3">
        <v>42879</v>
      </c>
      <c r="BT231" s="4">
        <v>0.33333333333333331</v>
      </c>
      <c r="BU231" s="2" t="s">
        <v>398</v>
      </c>
      <c r="BV231" s="2" t="s">
        <v>85</v>
      </c>
      <c r="BY231" s="2">
        <v>1326</v>
      </c>
      <c r="BZ231" s="2" t="s">
        <v>27</v>
      </c>
      <c r="CC231" s="2" t="s">
        <v>170</v>
      </c>
      <c r="CD231" s="2">
        <v>1201</v>
      </c>
      <c r="CE231" s="2" t="s">
        <v>110</v>
      </c>
      <c r="CF231" s="3">
        <v>42880</v>
      </c>
      <c r="CI231" s="2">
        <v>1</v>
      </c>
      <c r="CJ231" s="2">
        <v>1</v>
      </c>
      <c r="CK231" s="2">
        <v>21</v>
      </c>
      <c r="CL231" s="2" t="s">
        <v>87</v>
      </c>
    </row>
    <row r="232" spans="1:90">
      <c r="A232" s="2" t="s">
        <v>88</v>
      </c>
      <c r="B232" s="2" t="s">
        <v>72</v>
      </c>
      <c r="C232" s="2" t="s">
        <v>73</v>
      </c>
      <c r="E232" s="2" t="str">
        <f>"009936078415"</f>
        <v>009936078415</v>
      </c>
      <c r="F232" s="3">
        <v>42878</v>
      </c>
      <c r="G232" s="2">
        <v>201711</v>
      </c>
      <c r="H232" s="2" t="s">
        <v>158</v>
      </c>
      <c r="I232" s="2" t="s">
        <v>159</v>
      </c>
      <c r="J232" s="2" t="s">
        <v>91</v>
      </c>
      <c r="K232" s="2" t="s">
        <v>77</v>
      </c>
      <c r="L232" s="2" t="s">
        <v>105</v>
      </c>
      <c r="M232" s="2" t="s">
        <v>106</v>
      </c>
      <c r="N232" s="2" t="s">
        <v>511</v>
      </c>
      <c r="O232" s="2" t="s">
        <v>81</v>
      </c>
      <c r="P232" s="2" t="str">
        <f>"STORES                        "</f>
        <v xml:space="preserve">STORES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128.08000000000001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2</v>
      </c>
      <c r="BI232" s="2">
        <v>31</v>
      </c>
      <c r="BJ232" s="2">
        <v>54.7</v>
      </c>
      <c r="BK232" s="2">
        <v>55</v>
      </c>
      <c r="BL232" s="2">
        <v>1157.68</v>
      </c>
      <c r="BM232" s="2">
        <v>162.08000000000001</v>
      </c>
      <c r="BN232" s="2">
        <v>1319.76</v>
      </c>
      <c r="BO232" s="2">
        <v>1319.76</v>
      </c>
      <c r="BQ232" s="2" t="s">
        <v>109</v>
      </c>
      <c r="BR232" s="2" t="s">
        <v>122</v>
      </c>
      <c r="BS232" s="3">
        <v>42879</v>
      </c>
      <c r="BT232" s="4">
        <v>0.58680555555555558</v>
      </c>
      <c r="BU232" s="2" t="s">
        <v>187</v>
      </c>
      <c r="BV232" s="2" t="s">
        <v>87</v>
      </c>
      <c r="BW232" s="2" t="s">
        <v>227</v>
      </c>
      <c r="BX232" s="2" t="s">
        <v>512</v>
      </c>
      <c r="BY232" s="2">
        <v>273408</v>
      </c>
      <c r="BZ232" s="2" t="s">
        <v>27</v>
      </c>
      <c r="CC232" s="2" t="s">
        <v>106</v>
      </c>
      <c r="CD232" s="2">
        <v>7700</v>
      </c>
      <c r="CE232" s="2" t="s">
        <v>86</v>
      </c>
      <c r="CF232" s="3">
        <v>42880</v>
      </c>
      <c r="CI232" s="2">
        <v>1</v>
      </c>
      <c r="CJ232" s="2">
        <v>1</v>
      </c>
      <c r="CK232" s="2">
        <v>21</v>
      </c>
      <c r="CL232" s="2" t="s">
        <v>87</v>
      </c>
    </row>
    <row r="233" spans="1:90">
      <c r="A233" s="2" t="s">
        <v>88</v>
      </c>
      <c r="B233" s="2" t="s">
        <v>72</v>
      </c>
      <c r="C233" s="2" t="s">
        <v>73</v>
      </c>
      <c r="E233" s="2" t="str">
        <f>"009935613957"</f>
        <v>009935613957</v>
      </c>
      <c r="F233" s="3">
        <v>42878</v>
      </c>
      <c r="G233" s="2">
        <v>201711</v>
      </c>
      <c r="H233" s="2" t="s">
        <v>158</v>
      </c>
      <c r="I233" s="2" t="s">
        <v>159</v>
      </c>
      <c r="J233" s="2" t="s">
        <v>91</v>
      </c>
      <c r="K233" s="2" t="s">
        <v>77</v>
      </c>
      <c r="L233" s="2" t="s">
        <v>124</v>
      </c>
      <c r="M233" s="2" t="s">
        <v>125</v>
      </c>
      <c r="N233" s="2" t="s">
        <v>126</v>
      </c>
      <c r="O233" s="2" t="s">
        <v>81</v>
      </c>
      <c r="P233" s="2" t="str">
        <f>"LCK                           "</f>
        <v xml:space="preserve">LCK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9.74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3</v>
      </c>
      <c r="BJ233" s="2">
        <v>0.3</v>
      </c>
      <c r="BK233" s="2">
        <v>3</v>
      </c>
      <c r="BL233" s="2">
        <v>88.04</v>
      </c>
      <c r="BM233" s="2">
        <v>12.33</v>
      </c>
      <c r="BN233" s="2">
        <v>100.37</v>
      </c>
      <c r="BO233" s="2">
        <v>100.37</v>
      </c>
      <c r="BQ233" s="2" t="s">
        <v>246</v>
      </c>
      <c r="BS233" s="3">
        <v>42880</v>
      </c>
      <c r="BT233" s="4">
        <v>0.31597222222222221</v>
      </c>
      <c r="BU233" s="2" t="s">
        <v>237</v>
      </c>
      <c r="BV233" s="2" t="s">
        <v>87</v>
      </c>
      <c r="BY233" s="2">
        <v>1292</v>
      </c>
      <c r="BZ233" s="2" t="s">
        <v>27</v>
      </c>
      <c r="CC233" s="2" t="s">
        <v>125</v>
      </c>
      <c r="CD233" s="2">
        <v>299</v>
      </c>
      <c r="CE233" s="2" t="s">
        <v>110</v>
      </c>
      <c r="CF233" s="3">
        <v>42884</v>
      </c>
      <c r="CI233" s="2">
        <v>1</v>
      </c>
      <c r="CJ233" s="2">
        <v>2</v>
      </c>
      <c r="CK233" s="2">
        <v>24</v>
      </c>
      <c r="CL233" s="2" t="s">
        <v>87</v>
      </c>
    </row>
    <row r="234" spans="1:90">
      <c r="A234" s="2" t="s">
        <v>88</v>
      </c>
      <c r="B234" s="2" t="s">
        <v>72</v>
      </c>
      <c r="C234" s="2" t="s">
        <v>73</v>
      </c>
      <c r="E234" s="2" t="str">
        <f>"009934949886"</f>
        <v>009934949886</v>
      </c>
      <c r="F234" s="3">
        <v>42878</v>
      </c>
      <c r="G234" s="2">
        <v>201711</v>
      </c>
      <c r="H234" s="2" t="s">
        <v>78</v>
      </c>
      <c r="I234" s="2" t="s">
        <v>79</v>
      </c>
      <c r="J234" s="2" t="s">
        <v>91</v>
      </c>
      <c r="K234" s="2" t="s">
        <v>77</v>
      </c>
      <c r="L234" s="2" t="s">
        <v>151</v>
      </c>
      <c r="M234" s="2" t="s">
        <v>152</v>
      </c>
      <c r="N234" s="2" t="s">
        <v>91</v>
      </c>
      <c r="O234" s="2" t="s">
        <v>81</v>
      </c>
      <c r="P234" s="2" t="str">
        <f>"LOCKS                         "</f>
        <v xml:space="preserve">LOCKS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16.3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7</v>
      </c>
      <c r="BJ234" s="2">
        <v>2.1</v>
      </c>
      <c r="BK234" s="2">
        <v>7</v>
      </c>
      <c r="BL234" s="2">
        <v>147.34</v>
      </c>
      <c r="BM234" s="2">
        <v>20.63</v>
      </c>
      <c r="BN234" s="2">
        <v>167.97</v>
      </c>
      <c r="BO234" s="2">
        <v>167.97</v>
      </c>
      <c r="BQ234" s="2" t="s">
        <v>153</v>
      </c>
      <c r="BR234" s="2" t="s">
        <v>476</v>
      </c>
      <c r="BS234" s="3">
        <v>42879</v>
      </c>
      <c r="BT234" s="4">
        <v>0.41111111111111115</v>
      </c>
      <c r="BU234" s="2" t="s">
        <v>206</v>
      </c>
      <c r="BV234" s="2" t="s">
        <v>85</v>
      </c>
      <c r="BY234" s="2">
        <v>10336</v>
      </c>
      <c r="BZ234" s="2" t="s">
        <v>27</v>
      </c>
      <c r="CC234" s="2" t="s">
        <v>152</v>
      </c>
      <c r="CD234" s="2">
        <v>699</v>
      </c>
      <c r="CE234" s="2" t="s">
        <v>110</v>
      </c>
      <c r="CF234" s="3">
        <v>42880</v>
      </c>
      <c r="CI234" s="2">
        <v>1</v>
      </c>
      <c r="CJ234" s="2">
        <v>1</v>
      </c>
      <c r="CK234" s="2">
        <v>21</v>
      </c>
      <c r="CL234" s="2" t="s">
        <v>87</v>
      </c>
    </row>
    <row r="235" spans="1:90">
      <c r="A235" s="2" t="s">
        <v>71</v>
      </c>
      <c r="B235" s="2" t="s">
        <v>72</v>
      </c>
      <c r="C235" s="2" t="s">
        <v>73</v>
      </c>
      <c r="E235" s="2" t="str">
        <f>"039902658215"</f>
        <v>039902658215</v>
      </c>
      <c r="F235" s="3">
        <v>42878</v>
      </c>
      <c r="G235" s="2">
        <v>201711</v>
      </c>
      <c r="H235" s="2" t="s">
        <v>138</v>
      </c>
      <c r="I235" s="2" t="s">
        <v>139</v>
      </c>
      <c r="J235" s="2" t="s">
        <v>91</v>
      </c>
      <c r="K235" s="2" t="s">
        <v>77</v>
      </c>
      <c r="L235" s="2" t="s">
        <v>78</v>
      </c>
      <c r="M235" s="2" t="s">
        <v>79</v>
      </c>
      <c r="N235" s="2" t="s">
        <v>91</v>
      </c>
      <c r="O235" s="2" t="s">
        <v>95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51.89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5</v>
      </c>
      <c r="BI235" s="2">
        <v>150</v>
      </c>
      <c r="BJ235" s="2">
        <v>130</v>
      </c>
      <c r="BK235" s="2">
        <v>150</v>
      </c>
      <c r="BL235" s="2">
        <v>474.04</v>
      </c>
      <c r="BM235" s="2">
        <v>66.37</v>
      </c>
      <c r="BN235" s="2">
        <v>540.41</v>
      </c>
      <c r="BO235" s="2">
        <v>540.41</v>
      </c>
      <c r="BQ235" s="2" t="s">
        <v>513</v>
      </c>
      <c r="BR235" s="2" t="s">
        <v>268</v>
      </c>
      <c r="BS235" s="3">
        <v>42879</v>
      </c>
      <c r="BT235" s="4">
        <v>0.58333333333333337</v>
      </c>
      <c r="BU235" s="2" t="s">
        <v>98</v>
      </c>
      <c r="BV235" s="2" t="s">
        <v>85</v>
      </c>
      <c r="BY235" s="2">
        <v>650000</v>
      </c>
      <c r="CC235" s="2" t="s">
        <v>79</v>
      </c>
      <c r="CD235" s="2">
        <v>2000</v>
      </c>
      <c r="CE235" s="2" t="s">
        <v>120</v>
      </c>
      <c r="CF235" s="3">
        <v>42880</v>
      </c>
      <c r="CI235" s="2">
        <v>1</v>
      </c>
      <c r="CJ235" s="2">
        <v>1</v>
      </c>
      <c r="CK235" s="2" t="s">
        <v>133</v>
      </c>
      <c r="CL235" s="2" t="s">
        <v>87</v>
      </c>
    </row>
    <row r="236" spans="1:90">
      <c r="A236" s="2" t="s">
        <v>71</v>
      </c>
      <c r="B236" s="2" t="s">
        <v>72</v>
      </c>
      <c r="C236" s="2" t="s">
        <v>73</v>
      </c>
      <c r="E236" s="2" t="str">
        <f>"009936120654"</f>
        <v>009936120654</v>
      </c>
      <c r="F236" s="3">
        <v>42878</v>
      </c>
      <c r="G236" s="2">
        <v>201711</v>
      </c>
      <c r="H236" s="2" t="s">
        <v>143</v>
      </c>
      <c r="I236" s="2" t="s">
        <v>144</v>
      </c>
      <c r="J236" s="2" t="s">
        <v>461</v>
      </c>
      <c r="K236" s="2" t="s">
        <v>77</v>
      </c>
      <c r="L236" s="2" t="s">
        <v>176</v>
      </c>
      <c r="M236" s="2" t="s">
        <v>177</v>
      </c>
      <c r="N236" s="2" t="s">
        <v>218</v>
      </c>
      <c r="O236" s="2" t="s">
        <v>95</v>
      </c>
      <c r="P236" s="2" t="str">
        <f>"                              "</f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8.01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1</v>
      </c>
      <c r="BJ236" s="2">
        <v>2.6</v>
      </c>
      <c r="BK236" s="2">
        <v>3</v>
      </c>
      <c r="BL236" s="2">
        <v>77.36</v>
      </c>
      <c r="BM236" s="2">
        <v>10.83</v>
      </c>
      <c r="BN236" s="2">
        <v>88.19</v>
      </c>
      <c r="BO236" s="2">
        <v>88.19</v>
      </c>
      <c r="BQ236" s="2" t="s">
        <v>514</v>
      </c>
      <c r="BR236" s="2" t="s">
        <v>515</v>
      </c>
      <c r="BS236" s="3">
        <v>42879</v>
      </c>
      <c r="BT236" s="4">
        <v>0.39166666666666666</v>
      </c>
      <c r="BU236" s="2" t="s">
        <v>516</v>
      </c>
      <c r="BV236" s="2" t="s">
        <v>85</v>
      </c>
      <c r="BY236" s="2">
        <v>13200</v>
      </c>
      <c r="CC236" s="2" t="s">
        <v>177</v>
      </c>
      <c r="CD236" s="2">
        <v>4000</v>
      </c>
      <c r="CE236" s="2" t="s">
        <v>120</v>
      </c>
      <c r="CF236" s="3">
        <v>42880</v>
      </c>
      <c r="CI236" s="2">
        <v>2</v>
      </c>
      <c r="CJ236" s="2">
        <v>1</v>
      </c>
      <c r="CK236" s="2" t="s">
        <v>129</v>
      </c>
      <c r="CL236" s="2" t="s">
        <v>87</v>
      </c>
    </row>
    <row r="237" spans="1:90">
      <c r="A237" s="2" t="s">
        <v>88</v>
      </c>
      <c r="B237" s="2" t="s">
        <v>72</v>
      </c>
      <c r="C237" s="2" t="s">
        <v>73</v>
      </c>
      <c r="E237" s="2" t="str">
        <f>"R009936078418"</f>
        <v>R009936078418</v>
      </c>
      <c r="F237" s="3">
        <v>42878</v>
      </c>
      <c r="G237" s="2">
        <v>201711</v>
      </c>
      <c r="H237" s="2" t="s">
        <v>105</v>
      </c>
      <c r="I237" s="2" t="s">
        <v>106</v>
      </c>
      <c r="J237" s="2" t="s">
        <v>358</v>
      </c>
      <c r="K237" s="2" t="s">
        <v>77</v>
      </c>
      <c r="L237" s="2" t="s">
        <v>158</v>
      </c>
      <c r="M237" s="2" t="s">
        <v>159</v>
      </c>
      <c r="N237" s="2" t="s">
        <v>91</v>
      </c>
      <c r="O237" s="2" t="s">
        <v>95</v>
      </c>
      <c r="P237" s="2" t="str">
        <f>"N                             "</f>
        <v xml:space="preserve">N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9.5299999999999994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10</v>
      </c>
      <c r="BJ237" s="2">
        <v>14.4</v>
      </c>
      <c r="BK237" s="2">
        <v>15</v>
      </c>
      <c r="BL237" s="2">
        <v>91.17</v>
      </c>
      <c r="BM237" s="2">
        <v>12.76</v>
      </c>
      <c r="BN237" s="2">
        <v>103.93</v>
      </c>
      <c r="BO237" s="2">
        <v>103.93</v>
      </c>
      <c r="BQ237" s="2" t="s">
        <v>479</v>
      </c>
      <c r="BR237" s="2" t="s">
        <v>109</v>
      </c>
      <c r="BS237" s="3">
        <v>42879</v>
      </c>
      <c r="BT237" s="4">
        <v>0.58333333333333337</v>
      </c>
      <c r="BU237" s="2" t="s">
        <v>517</v>
      </c>
      <c r="BV237" s="2" t="s">
        <v>85</v>
      </c>
      <c r="BY237" s="2">
        <v>72000</v>
      </c>
      <c r="CA237" s="2" t="s">
        <v>175</v>
      </c>
      <c r="CC237" s="2" t="s">
        <v>159</v>
      </c>
      <c r="CD237" s="2">
        <v>2146</v>
      </c>
      <c r="CE237" s="2" t="s">
        <v>86</v>
      </c>
      <c r="CF237" s="3">
        <v>42880</v>
      </c>
      <c r="CI237" s="2">
        <v>2</v>
      </c>
      <c r="CJ237" s="2">
        <v>1</v>
      </c>
      <c r="CK237" s="2" t="s">
        <v>104</v>
      </c>
      <c r="CL237" s="2" t="s">
        <v>87</v>
      </c>
    </row>
    <row r="238" spans="1:90">
      <c r="A238" s="2" t="s">
        <v>88</v>
      </c>
      <c r="B238" s="2" t="s">
        <v>72</v>
      </c>
      <c r="C238" s="2" t="s">
        <v>73</v>
      </c>
      <c r="E238" s="2" t="str">
        <f>"009936115726"</f>
        <v>009936115726</v>
      </c>
      <c r="F238" s="3">
        <v>42878</v>
      </c>
      <c r="G238" s="2">
        <v>201711</v>
      </c>
      <c r="H238" s="2" t="s">
        <v>78</v>
      </c>
      <c r="I238" s="2" t="s">
        <v>79</v>
      </c>
      <c r="J238" s="2" t="s">
        <v>91</v>
      </c>
      <c r="K238" s="2" t="s">
        <v>77</v>
      </c>
      <c r="L238" s="2" t="s">
        <v>89</v>
      </c>
      <c r="M238" s="2" t="s">
        <v>90</v>
      </c>
      <c r="N238" s="2" t="s">
        <v>518</v>
      </c>
      <c r="O238" s="2" t="s">
        <v>95</v>
      </c>
      <c r="P238" s="2" t="str">
        <f t="shared" ref="P238:P245" si="8">"STORES                        "</f>
        <v xml:space="preserve">STORES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17.29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2</v>
      </c>
      <c r="BI238" s="2">
        <v>33.9</v>
      </c>
      <c r="BJ238" s="2">
        <v>31.1</v>
      </c>
      <c r="BK238" s="2">
        <v>34</v>
      </c>
      <c r="BL238" s="2">
        <v>161.25</v>
      </c>
      <c r="BM238" s="2">
        <v>22.58</v>
      </c>
      <c r="BN238" s="2">
        <v>183.83</v>
      </c>
      <c r="BO238" s="2">
        <v>183.83</v>
      </c>
      <c r="BQ238" s="2" t="s">
        <v>97</v>
      </c>
      <c r="BR238" s="2" t="s">
        <v>312</v>
      </c>
      <c r="BS238" s="3">
        <v>42880</v>
      </c>
      <c r="BT238" s="4">
        <v>0.3611111111111111</v>
      </c>
      <c r="BU238" s="2" t="s">
        <v>519</v>
      </c>
      <c r="BV238" s="2" t="s">
        <v>85</v>
      </c>
      <c r="BY238" s="2">
        <v>155491.1</v>
      </c>
      <c r="CA238" s="2" t="s">
        <v>175</v>
      </c>
      <c r="CC238" s="2" t="s">
        <v>90</v>
      </c>
      <c r="CD238" s="2">
        <v>6055</v>
      </c>
      <c r="CE238" s="2" t="s">
        <v>120</v>
      </c>
      <c r="CF238" s="3">
        <v>42881</v>
      </c>
      <c r="CI238" s="2">
        <v>2</v>
      </c>
      <c r="CJ238" s="2">
        <v>2</v>
      </c>
      <c r="CK238" s="2" t="s">
        <v>104</v>
      </c>
      <c r="CL238" s="2" t="s">
        <v>87</v>
      </c>
    </row>
    <row r="239" spans="1:90">
      <c r="A239" s="2" t="s">
        <v>88</v>
      </c>
      <c r="B239" s="2" t="s">
        <v>72</v>
      </c>
      <c r="C239" s="2" t="s">
        <v>73</v>
      </c>
      <c r="E239" s="2" t="str">
        <f>"009935989488"</f>
        <v>009935989488</v>
      </c>
      <c r="F239" s="3">
        <v>42878</v>
      </c>
      <c r="G239" s="2">
        <v>201711</v>
      </c>
      <c r="H239" s="2" t="s">
        <v>78</v>
      </c>
      <c r="I239" s="2" t="s">
        <v>79</v>
      </c>
      <c r="J239" s="2" t="s">
        <v>91</v>
      </c>
      <c r="K239" s="2" t="s">
        <v>77</v>
      </c>
      <c r="L239" s="2" t="s">
        <v>249</v>
      </c>
      <c r="M239" s="2" t="s">
        <v>250</v>
      </c>
      <c r="N239" s="2" t="s">
        <v>91</v>
      </c>
      <c r="O239" s="2" t="s">
        <v>95</v>
      </c>
      <c r="P239" s="2" t="str">
        <f t="shared" si="8"/>
        <v xml:space="preserve">STORES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13.21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8</v>
      </c>
      <c r="BJ239" s="2">
        <v>23.9</v>
      </c>
      <c r="BK239" s="2">
        <v>24</v>
      </c>
      <c r="BL239" s="2">
        <v>124.37</v>
      </c>
      <c r="BM239" s="2">
        <v>17.41</v>
      </c>
      <c r="BN239" s="2">
        <v>141.78</v>
      </c>
      <c r="BO239" s="2">
        <v>141.78</v>
      </c>
      <c r="BQ239" s="2" t="s">
        <v>439</v>
      </c>
      <c r="BR239" s="2" t="s">
        <v>122</v>
      </c>
      <c r="BS239" s="3">
        <v>42880</v>
      </c>
      <c r="BT239" s="4">
        <v>0.55208333333333337</v>
      </c>
      <c r="BU239" s="2" t="s">
        <v>520</v>
      </c>
      <c r="BV239" s="2" t="s">
        <v>87</v>
      </c>
      <c r="BW239" s="2" t="s">
        <v>254</v>
      </c>
      <c r="BX239" s="2" t="s">
        <v>521</v>
      </c>
      <c r="BY239" s="2">
        <v>119288</v>
      </c>
      <c r="CC239" s="2" t="s">
        <v>250</v>
      </c>
      <c r="CD239" s="2">
        <v>4252</v>
      </c>
      <c r="CE239" s="2" t="s">
        <v>522</v>
      </c>
      <c r="CF239" s="3">
        <v>42881</v>
      </c>
      <c r="CI239" s="2">
        <v>1</v>
      </c>
      <c r="CJ239" s="2">
        <v>2</v>
      </c>
      <c r="CK239" s="2" t="s">
        <v>221</v>
      </c>
      <c r="CL239" s="2" t="s">
        <v>87</v>
      </c>
    </row>
    <row r="240" spans="1:90">
      <c r="A240" s="2" t="s">
        <v>88</v>
      </c>
      <c r="B240" s="2" t="s">
        <v>72</v>
      </c>
      <c r="C240" s="2" t="s">
        <v>73</v>
      </c>
      <c r="E240" s="2" t="str">
        <f>"009935802751"</f>
        <v>009935802751</v>
      </c>
      <c r="F240" s="3">
        <v>42878</v>
      </c>
      <c r="G240" s="2">
        <v>201711</v>
      </c>
      <c r="H240" s="2" t="s">
        <v>78</v>
      </c>
      <c r="I240" s="2" t="s">
        <v>79</v>
      </c>
      <c r="J240" s="2" t="s">
        <v>91</v>
      </c>
      <c r="K240" s="2" t="s">
        <v>77</v>
      </c>
      <c r="L240" s="2" t="s">
        <v>197</v>
      </c>
      <c r="M240" s="2" t="s">
        <v>198</v>
      </c>
      <c r="N240" s="2" t="s">
        <v>91</v>
      </c>
      <c r="O240" s="2" t="s">
        <v>95</v>
      </c>
      <c r="P240" s="2" t="str">
        <f t="shared" si="8"/>
        <v xml:space="preserve">STORES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7.93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18.100000000000001</v>
      </c>
      <c r="BJ240" s="2">
        <v>19.600000000000001</v>
      </c>
      <c r="BK240" s="2">
        <v>20</v>
      </c>
      <c r="BL240" s="2">
        <v>76.680000000000007</v>
      </c>
      <c r="BM240" s="2">
        <v>10.74</v>
      </c>
      <c r="BN240" s="2">
        <v>87.42</v>
      </c>
      <c r="BO240" s="2">
        <v>87.42</v>
      </c>
      <c r="BQ240" s="2" t="s">
        <v>256</v>
      </c>
      <c r="BR240" s="2" t="s">
        <v>122</v>
      </c>
      <c r="BS240" s="3">
        <v>42880</v>
      </c>
      <c r="BT240" s="4">
        <v>0.34375</v>
      </c>
      <c r="BU240" s="2" t="s">
        <v>200</v>
      </c>
      <c r="BV240" s="2" t="s">
        <v>87</v>
      </c>
      <c r="BY240" s="2">
        <v>97847.18</v>
      </c>
      <c r="CC240" s="2" t="s">
        <v>198</v>
      </c>
      <c r="CD240" s="2">
        <v>2570</v>
      </c>
      <c r="CE240" s="2" t="s">
        <v>120</v>
      </c>
      <c r="CF240" s="3">
        <v>42884</v>
      </c>
      <c r="CI240" s="2">
        <v>1</v>
      </c>
      <c r="CJ240" s="2">
        <v>2</v>
      </c>
      <c r="CK240" s="2" t="s">
        <v>142</v>
      </c>
      <c r="CL240" s="2" t="s">
        <v>87</v>
      </c>
    </row>
    <row r="241" spans="1:90">
      <c r="A241" s="2" t="s">
        <v>88</v>
      </c>
      <c r="B241" s="2" t="s">
        <v>72</v>
      </c>
      <c r="C241" s="2" t="s">
        <v>73</v>
      </c>
      <c r="E241" s="2" t="str">
        <f>"009936458843"</f>
        <v>009936458843</v>
      </c>
      <c r="F241" s="3">
        <v>42878</v>
      </c>
      <c r="G241" s="2">
        <v>201711</v>
      </c>
      <c r="H241" s="2" t="s">
        <v>78</v>
      </c>
      <c r="I241" s="2" t="s">
        <v>79</v>
      </c>
      <c r="J241" s="2" t="s">
        <v>91</v>
      </c>
      <c r="K241" s="2" t="s">
        <v>77</v>
      </c>
      <c r="L241" s="2" t="s">
        <v>151</v>
      </c>
      <c r="M241" s="2" t="s">
        <v>152</v>
      </c>
      <c r="N241" s="2" t="s">
        <v>91</v>
      </c>
      <c r="O241" s="2" t="s">
        <v>95</v>
      </c>
      <c r="P241" s="2" t="str">
        <f t="shared" si="8"/>
        <v xml:space="preserve">STORES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6.55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12</v>
      </c>
      <c r="BJ241" s="2">
        <v>6.8</v>
      </c>
      <c r="BK241" s="2">
        <v>12</v>
      </c>
      <c r="BL241" s="2">
        <v>64.2</v>
      </c>
      <c r="BM241" s="2">
        <v>8.99</v>
      </c>
      <c r="BN241" s="2">
        <v>73.19</v>
      </c>
      <c r="BO241" s="2">
        <v>73.19</v>
      </c>
      <c r="BQ241" s="2" t="s">
        <v>153</v>
      </c>
      <c r="BR241" s="2" t="s">
        <v>312</v>
      </c>
      <c r="BS241" s="3">
        <v>42879</v>
      </c>
      <c r="BT241" s="4">
        <v>0.41111111111111115</v>
      </c>
      <c r="BU241" s="2" t="s">
        <v>206</v>
      </c>
      <c r="BV241" s="2" t="s">
        <v>85</v>
      </c>
      <c r="BY241" s="2">
        <v>33750</v>
      </c>
      <c r="CC241" s="2" t="s">
        <v>152</v>
      </c>
      <c r="CD241" s="2">
        <v>699</v>
      </c>
      <c r="CE241" s="2" t="s">
        <v>86</v>
      </c>
      <c r="CF241" s="3">
        <v>42880</v>
      </c>
      <c r="CI241" s="2">
        <v>1</v>
      </c>
      <c r="CJ241" s="2">
        <v>1</v>
      </c>
      <c r="CK241" s="2" t="s">
        <v>142</v>
      </c>
      <c r="CL241" s="2" t="s">
        <v>87</v>
      </c>
    </row>
    <row r="242" spans="1:90">
      <c r="A242" s="2" t="s">
        <v>88</v>
      </c>
      <c r="B242" s="2" t="s">
        <v>72</v>
      </c>
      <c r="C242" s="2" t="s">
        <v>73</v>
      </c>
      <c r="E242" s="2" t="str">
        <f>"009935802752"</f>
        <v>009935802752</v>
      </c>
      <c r="F242" s="3">
        <v>42878</v>
      </c>
      <c r="G242" s="2">
        <v>201711</v>
      </c>
      <c r="H242" s="2" t="s">
        <v>78</v>
      </c>
      <c r="I242" s="2" t="s">
        <v>79</v>
      </c>
      <c r="J242" s="2" t="s">
        <v>91</v>
      </c>
      <c r="K242" s="2" t="s">
        <v>77</v>
      </c>
      <c r="L242" s="2" t="s">
        <v>166</v>
      </c>
      <c r="M242" s="2" t="s">
        <v>167</v>
      </c>
      <c r="N242" s="2" t="s">
        <v>498</v>
      </c>
      <c r="O242" s="2" t="s">
        <v>95</v>
      </c>
      <c r="P242" s="2" t="str">
        <f t="shared" si="8"/>
        <v xml:space="preserve">STORES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29.42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2</v>
      </c>
      <c r="BI242" s="2">
        <v>17.5</v>
      </c>
      <c r="BJ242" s="2">
        <v>41.7</v>
      </c>
      <c r="BK242" s="2">
        <v>42</v>
      </c>
      <c r="BL242" s="2">
        <v>270.94</v>
      </c>
      <c r="BM242" s="2">
        <v>37.93</v>
      </c>
      <c r="BN242" s="2">
        <v>308.87</v>
      </c>
      <c r="BO242" s="2">
        <v>308.87</v>
      </c>
      <c r="BQ242" s="2" t="s">
        <v>168</v>
      </c>
      <c r="BR242" s="2" t="s">
        <v>122</v>
      </c>
      <c r="BS242" s="3">
        <v>42880</v>
      </c>
      <c r="BT242" s="4">
        <v>0.31875000000000003</v>
      </c>
      <c r="BU242" s="2" t="s">
        <v>168</v>
      </c>
      <c r="BV242" s="2" t="s">
        <v>87</v>
      </c>
      <c r="BY242" s="2">
        <v>208389.65</v>
      </c>
      <c r="CC242" s="2" t="s">
        <v>167</v>
      </c>
      <c r="CD242" s="2">
        <v>2745</v>
      </c>
      <c r="CE242" s="2" t="s">
        <v>120</v>
      </c>
      <c r="CF242" s="3">
        <v>42881</v>
      </c>
      <c r="CI242" s="2">
        <v>1</v>
      </c>
      <c r="CJ242" s="2">
        <v>2</v>
      </c>
      <c r="CK242" s="2" t="s">
        <v>196</v>
      </c>
      <c r="CL242" s="2" t="s">
        <v>87</v>
      </c>
    </row>
    <row r="243" spans="1:90">
      <c r="A243" s="2" t="s">
        <v>88</v>
      </c>
      <c r="B243" s="2" t="s">
        <v>72</v>
      </c>
      <c r="C243" s="2" t="s">
        <v>73</v>
      </c>
      <c r="E243" s="2" t="str">
        <f>"009935802750"</f>
        <v>009935802750</v>
      </c>
      <c r="F243" s="3">
        <v>42878</v>
      </c>
      <c r="G243" s="2">
        <v>201711</v>
      </c>
      <c r="H243" s="2" t="s">
        <v>78</v>
      </c>
      <c r="I243" s="2" t="s">
        <v>79</v>
      </c>
      <c r="J243" s="2" t="s">
        <v>91</v>
      </c>
      <c r="K243" s="2" t="s">
        <v>77</v>
      </c>
      <c r="L243" s="2" t="s">
        <v>124</v>
      </c>
      <c r="M243" s="2" t="s">
        <v>125</v>
      </c>
      <c r="N243" s="2" t="s">
        <v>126</v>
      </c>
      <c r="O243" s="2" t="s">
        <v>95</v>
      </c>
      <c r="P243" s="2" t="str">
        <f t="shared" si="8"/>
        <v xml:space="preserve">STORES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21.2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3</v>
      </c>
      <c r="BI243" s="2">
        <v>47</v>
      </c>
      <c r="BJ243" s="2">
        <v>53.9</v>
      </c>
      <c r="BK243" s="2">
        <v>54</v>
      </c>
      <c r="BL243" s="2">
        <v>196.63</v>
      </c>
      <c r="BM243" s="2">
        <v>27.53</v>
      </c>
      <c r="BN243" s="2">
        <v>224.16</v>
      </c>
      <c r="BO243" s="2">
        <v>224.16</v>
      </c>
      <c r="BQ243" s="2" t="s">
        <v>237</v>
      </c>
      <c r="BR243" s="2" t="s">
        <v>122</v>
      </c>
      <c r="BS243" s="3">
        <v>42880</v>
      </c>
      <c r="BT243" s="4">
        <v>0.3125</v>
      </c>
      <c r="BU243" s="2" t="s">
        <v>246</v>
      </c>
      <c r="BV243" s="2" t="s">
        <v>87</v>
      </c>
      <c r="BY243" s="2">
        <v>269479</v>
      </c>
      <c r="CC243" s="2" t="s">
        <v>125</v>
      </c>
      <c r="CD243" s="2">
        <v>299</v>
      </c>
      <c r="CE243" s="2" t="s">
        <v>86</v>
      </c>
      <c r="CF243" s="3">
        <v>42884</v>
      </c>
      <c r="CI243" s="2">
        <v>1</v>
      </c>
      <c r="CJ243" s="2">
        <v>2</v>
      </c>
      <c r="CK243" s="2" t="s">
        <v>133</v>
      </c>
      <c r="CL243" s="2" t="s">
        <v>87</v>
      </c>
    </row>
    <row r="244" spans="1:90">
      <c r="A244" s="2" t="s">
        <v>88</v>
      </c>
      <c r="B244" s="2" t="s">
        <v>72</v>
      </c>
      <c r="C244" s="2" t="s">
        <v>73</v>
      </c>
      <c r="E244" s="2" t="str">
        <f>"009935802754"</f>
        <v>009935802754</v>
      </c>
      <c r="F244" s="3">
        <v>42878</v>
      </c>
      <c r="G244" s="2">
        <v>201711</v>
      </c>
      <c r="H244" s="2" t="s">
        <v>78</v>
      </c>
      <c r="I244" s="2" t="s">
        <v>79</v>
      </c>
      <c r="J244" s="2" t="s">
        <v>91</v>
      </c>
      <c r="K244" s="2" t="s">
        <v>77</v>
      </c>
      <c r="L244" s="2" t="s">
        <v>216</v>
      </c>
      <c r="M244" s="2" t="s">
        <v>217</v>
      </c>
      <c r="N244" s="2" t="s">
        <v>523</v>
      </c>
      <c r="O244" s="2" t="s">
        <v>95</v>
      </c>
      <c r="P244" s="2" t="str">
        <f t="shared" si="8"/>
        <v xml:space="preserve">STORES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22.59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35</v>
      </c>
      <c r="BJ244" s="2">
        <v>47</v>
      </c>
      <c r="BK244" s="2">
        <v>47</v>
      </c>
      <c r="BL244" s="2">
        <v>209.19</v>
      </c>
      <c r="BM244" s="2">
        <v>29.29</v>
      </c>
      <c r="BN244" s="2">
        <v>238.48</v>
      </c>
      <c r="BO244" s="2">
        <v>238.48</v>
      </c>
      <c r="BQ244" s="2" t="s">
        <v>438</v>
      </c>
      <c r="BR244" s="2" t="s">
        <v>330</v>
      </c>
      <c r="BS244" s="3">
        <v>42881</v>
      </c>
      <c r="BT244" s="4">
        <v>0.375</v>
      </c>
      <c r="BU244" s="2" t="s">
        <v>219</v>
      </c>
      <c r="BV244" s="2" t="s">
        <v>87</v>
      </c>
      <c r="BY244" s="2">
        <v>235224</v>
      </c>
      <c r="CC244" s="2" t="s">
        <v>217</v>
      </c>
      <c r="CD244" s="2">
        <v>3900</v>
      </c>
      <c r="CE244" s="2" t="s">
        <v>522</v>
      </c>
      <c r="CF244" s="3">
        <v>42885</v>
      </c>
      <c r="CI244" s="2">
        <v>2</v>
      </c>
      <c r="CJ244" s="2">
        <v>3</v>
      </c>
      <c r="CK244" s="2" t="s">
        <v>221</v>
      </c>
      <c r="CL244" s="2" t="s">
        <v>87</v>
      </c>
    </row>
    <row r="245" spans="1:90">
      <c r="A245" s="2" t="s">
        <v>88</v>
      </c>
      <c r="B245" s="2" t="s">
        <v>72</v>
      </c>
      <c r="C245" s="2" t="s">
        <v>73</v>
      </c>
      <c r="E245" s="2" t="str">
        <f>"009935998991"</f>
        <v>009935998991</v>
      </c>
      <c r="F245" s="3">
        <v>42878</v>
      </c>
      <c r="G245" s="2">
        <v>201711</v>
      </c>
      <c r="H245" s="2" t="s">
        <v>78</v>
      </c>
      <c r="I245" s="2" t="s">
        <v>79</v>
      </c>
      <c r="J245" s="2" t="s">
        <v>91</v>
      </c>
      <c r="K245" s="2" t="s">
        <v>77</v>
      </c>
      <c r="L245" s="2" t="s">
        <v>176</v>
      </c>
      <c r="M245" s="2" t="s">
        <v>177</v>
      </c>
      <c r="N245" s="2" t="s">
        <v>91</v>
      </c>
      <c r="O245" s="2" t="s">
        <v>95</v>
      </c>
      <c r="P245" s="2" t="str">
        <f t="shared" si="8"/>
        <v xml:space="preserve">STORES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50.46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5</v>
      </c>
      <c r="BI245" s="2">
        <v>128</v>
      </c>
      <c r="BJ245" s="2">
        <v>173.3</v>
      </c>
      <c r="BK245" s="2">
        <v>174</v>
      </c>
      <c r="BL245" s="2">
        <v>461.09</v>
      </c>
      <c r="BM245" s="2">
        <v>64.55</v>
      </c>
      <c r="BN245" s="2">
        <v>525.64</v>
      </c>
      <c r="BO245" s="2">
        <v>525.64</v>
      </c>
      <c r="BQ245" s="2" t="s">
        <v>178</v>
      </c>
      <c r="BR245" s="2" t="s">
        <v>122</v>
      </c>
      <c r="BS245" s="3">
        <v>42879</v>
      </c>
      <c r="BT245" s="4">
        <v>0.54791666666666672</v>
      </c>
      <c r="BU245" s="2" t="s">
        <v>241</v>
      </c>
      <c r="BV245" s="2" t="s">
        <v>85</v>
      </c>
      <c r="BY245" s="2">
        <v>866259</v>
      </c>
      <c r="CC245" s="2" t="s">
        <v>177</v>
      </c>
      <c r="CD245" s="2">
        <v>4091</v>
      </c>
      <c r="CE245" s="2" t="s">
        <v>86</v>
      </c>
      <c r="CF245" s="3">
        <v>42880</v>
      </c>
      <c r="CI245" s="2">
        <v>1</v>
      </c>
      <c r="CJ245" s="2">
        <v>1</v>
      </c>
      <c r="CK245" s="2" t="s">
        <v>146</v>
      </c>
      <c r="CL245" s="2" t="s">
        <v>87</v>
      </c>
    </row>
    <row r="246" spans="1:90">
      <c r="A246" s="2" t="s">
        <v>88</v>
      </c>
      <c r="B246" s="2" t="s">
        <v>72</v>
      </c>
      <c r="C246" s="2" t="s">
        <v>73</v>
      </c>
      <c r="E246" s="2" t="str">
        <f>"009935802753"</f>
        <v>009935802753</v>
      </c>
      <c r="F246" s="3">
        <v>42878</v>
      </c>
      <c r="G246" s="2">
        <v>201711</v>
      </c>
      <c r="H246" s="2" t="s">
        <v>78</v>
      </c>
      <c r="I246" s="2" t="s">
        <v>79</v>
      </c>
      <c r="J246" s="2" t="s">
        <v>461</v>
      </c>
      <c r="K246" s="2" t="s">
        <v>77</v>
      </c>
      <c r="L246" s="2" t="s">
        <v>143</v>
      </c>
      <c r="M246" s="2" t="s">
        <v>144</v>
      </c>
      <c r="N246" s="2" t="s">
        <v>524</v>
      </c>
      <c r="O246" s="2" t="s">
        <v>95</v>
      </c>
      <c r="P246" s="2" t="str">
        <f>"stores                        "</f>
        <v xml:space="preserve">stores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9.0399999999999991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12</v>
      </c>
      <c r="BJ246" s="2">
        <v>23.9</v>
      </c>
      <c r="BK246" s="2">
        <v>24</v>
      </c>
      <c r="BL246" s="2">
        <v>86.67</v>
      </c>
      <c r="BM246" s="2">
        <v>12.13</v>
      </c>
      <c r="BN246" s="2">
        <v>98.8</v>
      </c>
      <c r="BO246" s="2">
        <v>98.8</v>
      </c>
      <c r="BQ246" s="2" t="s">
        <v>525</v>
      </c>
      <c r="BR246" s="2" t="s">
        <v>330</v>
      </c>
      <c r="BS246" s="3">
        <v>42880</v>
      </c>
      <c r="BT246" s="4">
        <v>0.35902777777777778</v>
      </c>
      <c r="BU246" s="2" t="s">
        <v>145</v>
      </c>
      <c r="BV246" s="2" t="s">
        <v>85</v>
      </c>
      <c r="BY246" s="2">
        <v>119288</v>
      </c>
      <c r="CC246" s="2" t="s">
        <v>144</v>
      </c>
      <c r="CD246" s="2">
        <v>2940</v>
      </c>
      <c r="CE246" s="2" t="s">
        <v>522</v>
      </c>
      <c r="CF246" s="3">
        <v>42884</v>
      </c>
      <c r="CI246" s="2">
        <v>6</v>
      </c>
      <c r="CJ246" s="2">
        <v>2</v>
      </c>
      <c r="CK246" s="2" t="s">
        <v>146</v>
      </c>
      <c r="CL246" s="2" t="s">
        <v>87</v>
      </c>
    </row>
    <row r="247" spans="1:90">
      <c r="A247" s="2" t="s">
        <v>88</v>
      </c>
      <c r="B247" s="2" t="s">
        <v>72</v>
      </c>
      <c r="C247" s="2" t="s">
        <v>73</v>
      </c>
      <c r="E247" s="2" t="str">
        <f>"009935802755"</f>
        <v>009935802755</v>
      </c>
      <c r="F247" s="3">
        <v>42878</v>
      </c>
      <c r="G247" s="2">
        <v>201711</v>
      </c>
      <c r="H247" s="2" t="s">
        <v>78</v>
      </c>
      <c r="I247" s="2" t="s">
        <v>79</v>
      </c>
      <c r="J247" s="2" t="s">
        <v>91</v>
      </c>
      <c r="K247" s="2" t="s">
        <v>77</v>
      </c>
      <c r="L247" s="2" t="s">
        <v>130</v>
      </c>
      <c r="M247" s="2" t="s">
        <v>131</v>
      </c>
      <c r="N247" s="2" t="s">
        <v>526</v>
      </c>
      <c r="O247" s="2" t="s">
        <v>95</v>
      </c>
      <c r="P247" s="2" t="str">
        <f>"STORES                        "</f>
        <v xml:space="preserve">STORES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27.23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3</v>
      </c>
      <c r="BI247" s="2">
        <v>61.3</v>
      </c>
      <c r="BJ247" s="2">
        <v>62.1</v>
      </c>
      <c r="BK247" s="2">
        <v>62</v>
      </c>
      <c r="BL247" s="2">
        <v>251.16</v>
      </c>
      <c r="BM247" s="2">
        <v>35.159999999999997</v>
      </c>
      <c r="BN247" s="2">
        <v>286.32</v>
      </c>
      <c r="BO247" s="2">
        <v>286.32</v>
      </c>
      <c r="BQ247" s="2" t="s">
        <v>302</v>
      </c>
      <c r="BR247" s="2" t="s">
        <v>527</v>
      </c>
      <c r="BS247" s="2" t="s">
        <v>471</v>
      </c>
      <c r="BY247" s="2">
        <v>310465.28999999998</v>
      </c>
      <c r="CC247" s="2" t="s">
        <v>131</v>
      </c>
      <c r="CD247" s="2">
        <v>3201</v>
      </c>
      <c r="CE247" s="2" t="s">
        <v>120</v>
      </c>
      <c r="CI247" s="2">
        <v>1</v>
      </c>
      <c r="CJ247" s="2" t="s">
        <v>471</v>
      </c>
      <c r="CK247" s="2" t="s">
        <v>161</v>
      </c>
      <c r="CL247" s="2" t="s">
        <v>87</v>
      </c>
    </row>
    <row r="248" spans="1:90">
      <c r="A248" s="2" t="s">
        <v>88</v>
      </c>
      <c r="B248" s="2" t="s">
        <v>72</v>
      </c>
      <c r="C248" s="2" t="s">
        <v>73</v>
      </c>
      <c r="E248" s="2" t="str">
        <f>"009935802749"</f>
        <v>009935802749</v>
      </c>
      <c r="F248" s="3">
        <v>42878</v>
      </c>
      <c r="G248" s="2">
        <v>201711</v>
      </c>
      <c r="H248" s="2" t="s">
        <v>78</v>
      </c>
      <c r="I248" s="2" t="s">
        <v>79</v>
      </c>
      <c r="J248" s="2" t="s">
        <v>91</v>
      </c>
      <c r="K248" s="2" t="s">
        <v>77</v>
      </c>
      <c r="L248" s="2" t="s">
        <v>92</v>
      </c>
      <c r="M248" s="2" t="s">
        <v>93</v>
      </c>
      <c r="N248" s="2" t="s">
        <v>91</v>
      </c>
      <c r="O248" s="2" t="s">
        <v>81</v>
      </c>
      <c r="P248" s="2" t="str">
        <f>"                              "</f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57.93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7.8</v>
      </c>
      <c r="BJ248" s="2">
        <v>13.9</v>
      </c>
      <c r="BK248" s="2">
        <v>14</v>
      </c>
      <c r="BL248" s="2">
        <v>523.59</v>
      </c>
      <c r="BM248" s="2">
        <v>73.3</v>
      </c>
      <c r="BN248" s="2">
        <v>596.89</v>
      </c>
      <c r="BO248" s="2">
        <v>596.89</v>
      </c>
      <c r="BQ248" s="2" t="s">
        <v>96</v>
      </c>
      <c r="BS248" s="3">
        <v>42880</v>
      </c>
      <c r="BT248" s="4">
        <v>0.60416666666666663</v>
      </c>
      <c r="BU248" s="2" t="s">
        <v>528</v>
      </c>
      <c r="BV248" s="2" t="s">
        <v>85</v>
      </c>
      <c r="BY248" s="2">
        <v>69395.759999999995</v>
      </c>
      <c r="CC248" s="2" t="s">
        <v>93</v>
      </c>
      <c r="CD248" s="2">
        <v>8800</v>
      </c>
      <c r="CE248" s="2" t="s">
        <v>120</v>
      </c>
      <c r="CF248" s="3">
        <v>42885</v>
      </c>
      <c r="CI248" s="2">
        <v>3</v>
      </c>
      <c r="CJ248" s="2">
        <v>2</v>
      </c>
      <c r="CK248" s="2">
        <v>23</v>
      </c>
      <c r="CL248" s="2" t="s">
        <v>87</v>
      </c>
    </row>
    <row r="249" spans="1:90">
      <c r="A249" s="2" t="s">
        <v>88</v>
      </c>
      <c r="B249" s="2" t="s">
        <v>72</v>
      </c>
      <c r="C249" s="2" t="s">
        <v>73</v>
      </c>
      <c r="E249" s="2" t="str">
        <f>"009935613958"</f>
        <v>009935613958</v>
      </c>
      <c r="F249" s="3">
        <v>42878</v>
      </c>
      <c r="G249" s="2">
        <v>201711</v>
      </c>
      <c r="H249" s="2" t="s">
        <v>158</v>
      </c>
      <c r="I249" s="2" t="s">
        <v>159</v>
      </c>
      <c r="J249" s="2" t="s">
        <v>91</v>
      </c>
      <c r="K249" s="2" t="s">
        <v>77</v>
      </c>
      <c r="L249" s="2" t="s">
        <v>327</v>
      </c>
      <c r="M249" s="2" t="s">
        <v>328</v>
      </c>
      <c r="N249" s="2" t="s">
        <v>529</v>
      </c>
      <c r="O249" s="2" t="s">
        <v>81</v>
      </c>
      <c r="P249" s="2" t="str">
        <f>"LCK                           "</f>
        <v xml:space="preserve">LCK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9.02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0.8</v>
      </c>
      <c r="BJ249" s="2">
        <v>1.9</v>
      </c>
      <c r="BK249" s="2">
        <v>2</v>
      </c>
      <c r="BL249" s="2">
        <v>81.56</v>
      </c>
      <c r="BM249" s="2">
        <v>11.42</v>
      </c>
      <c r="BN249" s="2">
        <v>92.98</v>
      </c>
      <c r="BO249" s="2">
        <v>92.98</v>
      </c>
      <c r="BQ249" s="2" t="s">
        <v>530</v>
      </c>
      <c r="BS249" s="3">
        <v>42881</v>
      </c>
      <c r="BT249" s="4">
        <v>0.39583333333333331</v>
      </c>
      <c r="BU249" s="2" t="s">
        <v>331</v>
      </c>
      <c r="BV249" s="2" t="s">
        <v>87</v>
      </c>
      <c r="BW249" s="2" t="s">
        <v>314</v>
      </c>
      <c r="BX249" s="2" t="s">
        <v>332</v>
      </c>
      <c r="BY249" s="2">
        <v>9620.64</v>
      </c>
      <c r="CC249" s="2" t="s">
        <v>328</v>
      </c>
      <c r="CD249" s="2">
        <v>9700</v>
      </c>
      <c r="CE249" s="2" t="s">
        <v>120</v>
      </c>
      <c r="CF249" s="3">
        <v>42885</v>
      </c>
      <c r="CI249" s="2">
        <v>1</v>
      </c>
      <c r="CJ249" s="2">
        <v>3</v>
      </c>
      <c r="CK249" s="2">
        <v>23</v>
      </c>
      <c r="CL249" s="2" t="s">
        <v>87</v>
      </c>
    </row>
    <row r="250" spans="1:90">
      <c r="A250" s="2" t="s">
        <v>88</v>
      </c>
      <c r="B250" s="2" t="s">
        <v>72</v>
      </c>
      <c r="C250" s="2" t="s">
        <v>73</v>
      </c>
      <c r="E250" s="2" t="str">
        <f>"009935613988"</f>
        <v>009935613988</v>
      </c>
      <c r="F250" s="3">
        <v>42878</v>
      </c>
      <c r="G250" s="2">
        <v>201711</v>
      </c>
      <c r="H250" s="2" t="s">
        <v>78</v>
      </c>
      <c r="I250" s="2" t="s">
        <v>79</v>
      </c>
      <c r="J250" s="2" t="s">
        <v>91</v>
      </c>
      <c r="K250" s="2" t="s">
        <v>77</v>
      </c>
      <c r="L250" s="2" t="s">
        <v>197</v>
      </c>
      <c r="M250" s="2" t="s">
        <v>198</v>
      </c>
      <c r="N250" s="2" t="s">
        <v>531</v>
      </c>
      <c r="O250" s="2" t="s">
        <v>81</v>
      </c>
      <c r="P250" s="2" t="str">
        <f t="shared" ref="P250:P275" si="9">"                              "</f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9.02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0.8</v>
      </c>
      <c r="BJ250" s="2">
        <v>1.3</v>
      </c>
      <c r="BK250" s="2">
        <v>1.5</v>
      </c>
      <c r="BL250" s="2">
        <v>81.56</v>
      </c>
      <c r="BM250" s="2">
        <v>11.42</v>
      </c>
      <c r="BN250" s="2">
        <v>92.98</v>
      </c>
      <c r="BO250" s="2">
        <v>92.98</v>
      </c>
      <c r="BQ250" s="2" t="s">
        <v>256</v>
      </c>
      <c r="BS250" s="3">
        <v>42880</v>
      </c>
      <c r="BT250" s="4">
        <v>0.34375</v>
      </c>
      <c r="BU250" s="2" t="s">
        <v>200</v>
      </c>
      <c r="BV250" s="2" t="s">
        <v>87</v>
      </c>
      <c r="BY250" s="2">
        <v>6713.69</v>
      </c>
      <c r="CC250" s="2" t="s">
        <v>198</v>
      </c>
      <c r="CD250" s="2">
        <v>2570</v>
      </c>
      <c r="CE250" s="2" t="s">
        <v>120</v>
      </c>
      <c r="CF250" s="3">
        <v>42884</v>
      </c>
      <c r="CI250" s="2">
        <v>1</v>
      </c>
      <c r="CJ250" s="2">
        <v>2</v>
      </c>
      <c r="CK250" s="2">
        <v>23</v>
      </c>
      <c r="CL250" s="2" t="s">
        <v>87</v>
      </c>
    </row>
    <row r="251" spans="1:90">
      <c r="A251" s="2" t="s">
        <v>88</v>
      </c>
      <c r="B251" s="2" t="s">
        <v>72</v>
      </c>
      <c r="C251" s="2" t="s">
        <v>73</v>
      </c>
      <c r="E251" s="2" t="str">
        <f>"069908328052"</f>
        <v>069908328052</v>
      </c>
      <c r="F251" s="3">
        <v>42877</v>
      </c>
      <c r="G251" s="2">
        <v>201711</v>
      </c>
      <c r="H251" s="2" t="s">
        <v>74</v>
      </c>
      <c r="I251" s="2" t="s">
        <v>75</v>
      </c>
      <c r="J251" s="2" t="s">
        <v>76</v>
      </c>
      <c r="K251" s="2" t="s">
        <v>77</v>
      </c>
      <c r="L251" s="2" t="s">
        <v>158</v>
      </c>
      <c r="M251" s="2" t="s">
        <v>159</v>
      </c>
      <c r="N251" s="2" t="s">
        <v>91</v>
      </c>
      <c r="O251" s="2" t="s">
        <v>81</v>
      </c>
      <c r="P251" s="2" t="str">
        <f t="shared" si="9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151.37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65</v>
      </c>
      <c r="BJ251" s="2">
        <v>16.8</v>
      </c>
      <c r="BK251" s="2">
        <v>65</v>
      </c>
      <c r="BL251" s="2">
        <v>1368.17</v>
      </c>
      <c r="BM251" s="2">
        <v>191.54</v>
      </c>
      <c r="BN251" s="2">
        <v>1559.71</v>
      </c>
      <c r="BO251" s="2">
        <v>1559.71</v>
      </c>
      <c r="BQ251" s="2" t="s">
        <v>127</v>
      </c>
      <c r="BR251" s="2" t="s">
        <v>83</v>
      </c>
      <c r="BS251" s="3">
        <v>42878</v>
      </c>
      <c r="BT251" s="4">
        <v>0.38958333333333334</v>
      </c>
      <c r="BU251" s="2" t="s">
        <v>532</v>
      </c>
      <c r="BV251" s="2" t="s">
        <v>85</v>
      </c>
      <c r="BY251" s="2">
        <v>84240</v>
      </c>
      <c r="BZ251" s="2" t="s">
        <v>27</v>
      </c>
      <c r="CA251" s="2" t="s">
        <v>533</v>
      </c>
      <c r="CC251" s="2" t="s">
        <v>159</v>
      </c>
      <c r="CD251" s="2">
        <v>2146</v>
      </c>
      <c r="CE251" s="2" t="s">
        <v>86</v>
      </c>
      <c r="CF251" s="3">
        <v>42878</v>
      </c>
      <c r="CI251" s="2">
        <v>1</v>
      </c>
      <c r="CJ251" s="2">
        <v>1</v>
      </c>
      <c r="CK251" s="2">
        <v>21</v>
      </c>
      <c r="CL251" s="2" t="s">
        <v>87</v>
      </c>
    </row>
    <row r="252" spans="1:90">
      <c r="A252" s="2" t="s">
        <v>88</v>
      </c>
      <c r="B252" s="2" t="s">
        <v>72</v>
      </c>
      <c r="C252" s="2" t="s">
        <v>73</v>
      </c>
      <c r="E252" s="2" t="str">
        <f>"009935903635"</f>
        <v>009935903635</v>
      </c>
      <c r="F252" s="3">
        <v>42879</v>
      </c>
      <c r="G252" s="2">
        <v>201711</v>
      </c>
      <c r="H252" s="2" t="s">
        <v>111</v>
      </c>
      <c r="I252" s="2" t="s">
        <v>112</v>
      </c>
      <c r="J252" s="2" t="s">
        <v>147</v>
      </c>
      <c r="K252" s="2" t="s">
        <v>77</v>
      </c>
      <c r="L252" s="2" t="s">
        <v>192</v>
      </c>
      <c r="M252" s="2" t="s">
        <v>193</v>
      </c>
      <c r="N252" s="2" t="s">
        <v>534</v>
      </c>
      <c r="O252" s="2" t="s">
        <v>95</v>
      </c>
      <c r="P252" s="2" t="str">
        <f t="shared" si="9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73.599999999999994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12</v>
      </c>
      <c r="BI252" s="2">
        <v>108</v>
      </c>
      <c r="BJ252" s="2">
        <v>69.900000000000006</v>
      </c>
      <c r="BK252" s="2">
        <v>108</v>
      </c>
      <c r="BL252" s="2">
        <v>670.2</v>
      </c>
      <c r="BM252" s="2">
        <v>93.83</v>
      </c>
      <c r="BN252" s="2">
        <v>764.03</v>
      </c>
      <c r="BO252" s="2">
        <v>764.03</v>
      </c>
      <c r="BQ252" s="2" t="s">
        <v>535</v>
      </c>
      <c r="BR252" s="2" t="s">
        <v>123</v>
      </c>
      <c r="BS252" s="3">
        <v>42880</v>
      </c>
      <c r="BT252" s="4">
        <v>0.64861111111111114</v>
      </c>
      <c r="BU252" s="2" t="s">
        <v>240</v>
      </c>
      <c r="BY252" s="2">
        <v>349340</v>
      </c>
      <c r="CC252" s="2" t="s">
        <v>193</v>
      </c>
      <c r="CD252" s="2">
        <v>450</v>
      </c>
      <c r="CE252" s="2" t="s">
        <v>120</v>
      </c>
      <c r="CF252" s="3">
        <v>42881</v>
      </c>
      <c r="CI252" s="2">
        <v>0</v>
      </c>
      <c r="CJ252" s="2">
        <v>0</v>
      </c>
      <c r="CK252" s="2" t="s">
        <v>99</v>
      </c>
      <c r="CL252" s="2" t="s">
        <v>87</v>
      </c>
    </row>
    <row r="253" spans="1:90">
      <c r="A253" s="2" t="s">
        <v>88</v>
      </c>
      <c r="B253" s="2" t="s">
        <v>72</v>
      </c>
      <c r="C253" s="2" t="s">
        <v>73</v>
      </c>
      <c r="E253" s="2" t="str">
        <f>"039902642747"</f>
        <v>039902642747</v>
      </c>
      <c r="F253" s="3">
        <v>42879</v>
      </c>
      <c r="G253" s="2">
        <v>201711</v>
      </c>
      <c r="H253" s="2" t="s">
        <v>89</v>
      </c>
      <c r="I253" s="2" t="s">
        <v>90</v>
      </c>
      <c r="J253" s="2" t="s">
        <v>536</v>
      </c>
      <c r="K253" s="2" t="s">
        <v>77</v>
      </c>
      <c r="L253" s="2" t="s">
        <v>78</v>
      </c>
      <c r="M253" s="2" t="s">
        <v>79</v>
      </c>
      <c r="N253" s="2" t="s">
        <v>406</v>
      </c>
      <c r="O253" s="2" t="s">
        <v>95</v>
      </c>
      <c r="P253" s="2" t="str">
        <f t="shared" si="9"/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27.49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2</v>
      </c>
      <c r="BI253" s="2">
        <v>59</v>
      </c>
      <c r="BJ253" s="2">
        <v>50.1</v>
      </c>
      <c r="BK253" s="2">
        <v>59</v>
      </c>
      <c r="BL253" s="2">
        <v>253.45</v>
      </c>
      <c r="BM253" s="2">
        <v>35.479999999999997</v>
      </c>
      <c r="BN253" s="2">
        <v>288.93</v>
      </c>
      <c r="BO253" s="2">
        <v>288.93</v>
      </c>
      <c r="BQ253" s="2" t="s">
        <v>100</v>
      </c>
      <c r="BR253" s="2" t="s">
        <v>101</v>
      </c>
      <c r="BS253" s="3">
        <v>42881</v>
      </c>
      <c r="BT253" s="4">
        <v>0.54097222222222219</v>
      </c>
      <c r="BU253" s="2" t="s">
        <v>296</v>
      </c>
      <c r="BV253" s="2" t="s">
        <v>85</v>
      </c>
      <c r="BY253" s="2">
        <v>250551</v>
      </c>
      <c r="CC253" s="2" t="s">
        <v>79</v>
      </c>
      <c r="CD253" s="2">
        <v>2090</v>
      </c>
      <c r="CE253" s="2" t="s">
        <v>86</v>
      </c>
      <c r="CF253" s="3">
        <v>42884</v>
      </c>
      <c r="CI253" s="2">
        <v>2</v>
      </c>
      <c r="CJ253" s="2">
        <v>2</v>
      </c>
      <c r="CK253" s="2" t="s">
        <v>104</v>
      </c>
      <c r="CL253" s="2" t="s">
        <v>87</v>
      </c>
    </row>
    <row r="254" spans="1:90">
      <c r="A254" s="2" t="s">
        <v>88</v>
      </c>
      <c r="B254" s="2" t="s">
        <v>72</v>
      </c>
      <c r="C254" s="2" t="s">
        <v>73</v>
      </c>
      <c r="E254" s="2" t="str">
        <f>"039902642748"</f>
        <v>039902642748</v>
      </c>
      <c r="F254" s="3">
        <v>42879</v>
      </c>
      <c r="G254" s="2">
        <v>201711</v>
      </c>
      <c r="H254" s="2" t="s">
        <v>89</v>
      </c>
      <c r="I254" s="2" t="s">
        <v>90</v>
      </c>
      <c r="J254" s="2" t="s">
        <v>536</v>
      </c>
      <c r="K254" s="2" t="s">
        <v>77</v>
      </c>
      <c r="L254" s="2" t="s">
        <v>78</v>
      </c>
      <c r="M254" s="2" t="s">
        <v>79</v>
      </c>
      <c r="N254" s="2" t="s">
        <v>406</v>
      </c>
      <c r="O254" s="2" t="s">
        <v>95</v>
      </c>
      <c r="P254" s="2" t="str">
        <f t="shared" si="9"/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9.5299999999999994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</v>
      </c>
      <c r="BJ254" s="2">
        <v>0.2</v>
      </c>
      <c r="BK254" s="2">
        <v>1</v>
      </c>
      <c r="BL254" s="2">
        <v>91.17</v>
      </c>
      <c r="BM254" s="2">
        <v>12.76</v>
      </c>
      <c r="BN254" s="2">
        <v>103.93</v>
      </c>
      <c r="BO254" s="2">
        <v>103.93</v>
      </c>
      <c r="BQ254" s="2" t="s">
        <v>485</v>
      </c>
      <c r="BR254" s="2" t="s">
        <v>101</v>
      </c>
      <c r="BS254" s="3">
        <v>42881</v>
      </c>
      <c r="BT254" s="4">
        <v>0.54097222222222219</v>
      </c>
      <c r="BU254" s="2" t="s">
        <v>364</v>
      </c>
      <c r="BV254" s="2" t="s">
        <v>85</v>
      </c>
      <c r="BY254" s="2">
        <v>1200</v>
      </c>
      <c r="CC254" s="2" t="s">
        <v>79</v>
      </c>
      <c r="CD254" s="2">
        <v>2090</v>
      </c>
      <c r="CE254" s="2" t="s">
        <v>110</v>
      </c>
      <c r="CF254" s="3">
        <v>42884</v>
      </c>
      <c r="CI254" s="2">
        <v>2</v>
      </c>
      <c r="CJ254" s="2">
        <v>2</v>
      </c>
      <c r="CK254" s="2" t="s">
        <v>104</v>
      </c>
      <c r="CL254" s="2" t="s">
        <v>87</v>
      </c>
    </row>
    <row r="255" spans="1:90">
      <c r="A255" s="2" t="s">
        <v>88</v>
      </c>
      <c r="B255" s="2" t="s">
        <v>72</v>
      </c>
      <c r="C255" s="2" t="s">
        <v>73</v>
      </c>
      <c r="E255" s="2" t="str">
        <f>"039902263292"</f>
        <v>039902263292</v>
      </c>
      <c r="F255" s="3">
        <v>42879</v>
      </c>
      <c r="G255" s="2">
        <v>201711</v>
      </c>
      <c r="H255" s="2" t="s">
        <v>89</v>
      </c>
      <c r="I255" s="2" t="s">
        <v>90</v>
      </c>
      <c r="J255" s="2" t="s">
        <v>422</v>
      </c>
      <c r="K255" s="2" t="s">
        <v>77</v>
      </c>
      <c r="L255" s="2" t="s">
        <v>92</v>
      </c>
      <c r="M255" s="2" t="s">
        <v>93</v>
      </c>
      <c r="N255" s="2" t="s">
        <v>91</v>
      </c>
      <c r="O255" s="2" t="s">
        <v>95</v>
      </c>
      <c r="P255" s="2" t="str">
        <f t="shared" si="9"/>
        <v xml:space="preserve">      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11.35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</v>
      </c>
      <c r="BJ255" s="2">
        <v>0.2</v>
      </c>
      <c r="BK255" s="2">
        <v>1</v>
      </c>
      <c r="BL255" s="2">
        <v>107.61</v>
      </c>
      <c r="BM255" s="2">
        <v>15.07</v>
      </c>
      <c r="BN255" s="2">
        <v>122.68</v>
      </c>
      <c r="BO255" s="2">
        <v>122.68</v>
      </c>
      <c r="BQ255" s="2" t="s">
        <v>96</v>
      </c>
      <c r="BR255" s="2" t="s">
        <v>537</v>
      </c>
      <c r="BS255" s="3">
        <v>42881</v>
      </c>
      <c r="BT255" s="4">
        <v>0.33333333333333331</v>
      </c>
      <c r="BU255" s="2" t="s">
        <v>241</v>
      </c>
      <c r="BV255" s="2" t="s">
        <v>85</v>
      </c>
      <c r="BY255" s="2">
        <v>1200</v>
      </c>
      <c r="CC255" s="2" t="s">
        <v>93</v>
      </c>
      <c r="CD255" s="2">
        <v>8800</v>
      </c>
      <c r="CE255" s="2" t="s">
        <v>110</v>
      </c>
      <c r="CF255" s="3">
        <v>42885</v>
      </c>
      <c r="CI255" s="2">
        <v>3</v>
      </c>
      <c r="CJ255" s="2">
        <v>2</v>
      </c>
      <c r="CK255" s="2" t="s">
        <v>99</v>
      </c>
      <c r="CL255" s="2" t="s">
        <v>87</v>
      </c>
    </row>
    <row r="256" spans="1:90">
      <c r="A256" s="2" t="s">
        <v>88</v>
      </c>
      <c r="B256" s="2" t="s">
        <v>72</v>
      </c>
      <c r="C256" s="2" t="s">
        <v>73</v>
      </c>
      <c r="E256" s="2" t="str">
        <f>"009935627132"</f>
        <v>009935627132</v>
      </c>
      <c r="F256" s="3">
        <v>42879</v>
      </c>
      <c r="G256" s="2">
        <v>201711</v>
      </c>
      <c r="H256" s="2" t="s">
        <v>192</v>
      </c>
      <c r="I256" s="2" t="s">
        <v>193</v>
      </c>
      <c r="J256" s="2" t="s">
        <v>91</v>
      </c>
      <c r="K256" s="2" t="s">
        <v>77</v>
      </c>
      <c r="L256" s="2" t="s">
        <v>158</v>
      </c>
      <c r="M256" s="2" t="s">
        <v>159</v>
      </c>
      <c r="N256" s="2" t="s">
        <v>91</v>
      </c>
      <c r="O256" s="2" t="s">
        <v>95</v>
      </c>
      <c r="P256" s="2" t="str">
        <f t="shared" si="9"/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10.76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18</v>
      </c>
      <c r="BJ256" s="2">
        <v>16.8</v>
      </c>
      <c r="BK256" s="2">
        <v>18</v>
      </c>
      <c r="BL256" s="2">
        <v>102.24</v>
      </c>
      <c r="BM256" s="2">
        <v>14.31</v>
      </c>
      <c r="BN256" s="2">
        <v>116.55</v>
      </c>
      <c r="BO256" s="2">
        <v>116.55</v>
      </c>
      <c r="BQ256" s="2" t="s">
        <v>127</v>
      </c>
      <c r="BR256" s="2" t="s">
        <v>202</v>
      </c>
      <c r="BS256" s="3">
        <v>42880</v>
      </c>
      <c r="BT256" s="4">
        <v>0.57361111111111118</v>
      </c>
      <c r="BU256" s="2" t="s">
        <v>364</v>
      </c>
      <c r="BY256" s="2">
        <v>84000</v>
      </c>
      <c r="CC256" s="2" t="s">
        <v>159</v>
      </c>
      <c r="CD256" s="2">
        <v>2146</v>
      </c>
      <c r="CE256" s="2" t="s">
        <v>120</v>
      </c>
      <c r="CF256" s="3">
        <v>42881</v>
      </c>
      <c r="CI256" s="2">
        <v>0</v>
      </c>
      <c r="CJ256" s="2">
        <v>0</v>
      </c>
      <c r="CK256" s="2" t="s">
        <v>104</v>
      </c>
      <c r="CL256" s="2" t="s">
        <v>87</v>
      </c>
    </row>
    <row r="257" spans="1:90">
      <c r="A257" s="2" t="s">
        <v>88</v>
      </c>
      <c r="B257" s="2" t="s">
        <v>72</v>
      </c>
      <c r="C257" s="2" t="s">
        <v>73</v>
      </c>
      <c r="E257" s="2" t="str">
        <f>"009935552229"</f>
        <v>009935552229</v>
      </c>
      <c r="F257" s="3">
        <v>42879</v>
      </c>
      <c r="G257" s="2">
        <v>201711</v>
      </c>
      <c r="H257" s="2" t="s">
        <v>158</v>
      </c>
      <c r="I257" s="2" t="s">
        <v>159</v>
      </c>
      <c r="J257" s="2" t="s">
        <v>91</v>
      </c>
      <c r="K257" s="2" t="s">
        <v>77</v>
      </c>
      <c r="L257" s="2" t="s">
        <v>92</v>
      </c>
      <c r="M257" s="2" t="s">
        <v>93</v>
      </c>
      <c r="N257" s="2" t="s">
        <v>538</v>
      </c>
      <c r="O257" s="2" t="s">
        <v>81</v>
      </c>
      <c r="P257" s="2" t="str">
        <f t="shared" si="9"/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9.02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</v>
      </c>
      <c r="BJ257" s="2">
        <v>0.3</v>
      </c>
      <c r="BK257" s="2">
        <v>1</v>
      </c>
      <c r="BL257" s="2">
        <v>81.56</v>
      </c>
      <c r="BM257" s="2">
        <v>11.42</v>
      </c>
      <c r="BN257" s="2">
        <v>92.98</v>
      </c>
      <c r="BO257" s="2">
        <v>92.98</v>
      </c>
      <c r="BQ257" s="2" t="s">
        <v>539</v>
      </c>
      <c r="BR257" s="2" t="s">
        <v>122</v>
      </c>
      <c r="BS257" s="3">
        <v>42880</v>
      </c>
      <c r="BT257" s="4">
        <v>0.60416666666666663</v>
      </c>
      <c r="BU257" s="2" t="s">
        <v>98</v>
      </c>
      <c r="BV257" s="2" t="s">
        <v>85</v>
      </c>
      <c r="BY257" s="2">
        <v>1292</v>
      </c>
      <c r="BZ257" s="2" t="s">
        <v>27</v>
      </c>
      <c r="CC257" s="2" t="s">
        <v>93</v>
      </c>
      <c r="CD257" s="2">
        <v>8800</v>
      </c>
      <c r="CE257" s="2" t="s">
        <v>110</v>
      </c>
      <c r="CF257" s="3">
        <v>42885</v>
      </c>
      <c r="CI257" s="2">
        <v>3</v>
      </c>
      <c r="CJ257" s="2">
        <v>1</v>
      </c>
      <c r="CK257" s="2">
        <v>23</v>
      </c>
      <c r="CL257" s="2" t="s">
        <v>87</v>
      </c>
    </row>
    <row r="258" spans="1:90">
      <c r="A258" s="2" t="s">
        <v>88</v>
      </c>
      <c r="B258" s="2" t="s">
        <v>72</v>
      </c>
      <c r="C258" s="2" t="s">
        <v>73</v>
      </c>
      <c r="E258" s="2" t="str">
        <f>"009934949887"</f>
        <v>009934949887</v>
      </c>
      <c r="F258" s="3">
        <v>42879</v>
      </c>
      <c r="G258" s="2">
        <v>201711</v>
      </c>
      <c r="H258" s="2" t="s">
        <v>158</v>
      </c>
      <c r="I258" s="2" t="s">
        <v>159</v>
      </c>
      <c r="J258" s="2" t="s">
        <v>91</v>
      </c>
      <c r="K258" s="2" t="s">
        <v>77</v>
      </c>
      <c r="L258" s="2" t="s">
        <v>151</v>
      </c>
      <c r="M258" s="2" t="s">
        <v>152</v>
      </c>
      <c r="N258" s="2" t="s">
        <v>91</v>
      </c>
      <c r="O258" s="2" t="s">
        <v>81</v>
      </c>
      <c r="P258" s="2" t="str">
        <f t="shared" si="9"/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4.66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0.3</v>
      </c>
      <c r="BJ258" s="2">
        <v>0.6</v>
      </c>
      <c r="BK258" s="2">
        <v>1</v>
      </c>
      <c r="BL258" s="2">
        <v>42.1</v>
      </c>
      <c r="BM258" s="2">
        <v>5.89</v>
      </c>
      <c r="BN258" s="2">
        <v>47.99</v>
      </c>
      <c r="BO258" s="2">
        <v>47.99</v>
      </c>
      <c r="BQ258" s="2" t="s">
        <v>153</v>
      </c>
      <c r="BR258" s="2" t="s">
        <v>476</v>
      </c>
      <c r="BS258" s="3">
        <v>42880</v>
      </c>
      <c r="BT258" s="4">
        <v>0.41736111111111113</v>
      </c>
      <c r="BU258" s="2" t="s">
        <v>206</v>
      </c>
      <c r="BV258" s="2" t="s">
        <v>85</v>
      </c>
      <c r="BY258" s="2">
        <v>2789.38</v>
      </c>
      <c r="BZ258" s="2" t="s">
        <v>27</v>
      </c>
      <c r="CC258" s="2" t="s">
        <v>152</v>
      </c>
      <c r="CD258" s="2">
        <v>699</v>
      </c>
      <c r="CE258" s="2" t="s">
        <v>120</v>
      </c>
      <c r="CF258" s="3">
        <v>42881</v>
      </c>
      <c r="CI258" s="2">
        <v>1</v>
      </c>
      <c r="CJ258" s="2">
        <v>1</v>
      </c>
      <c r="CK258" s="2">
        <v>21</v>
      </c>
      <c r="CL258" s="2" t="s">
        <v>87</v>
      </c>
    </row>
    <row r="259" spans="1:90">
      <c r="A259" s="2" t="s">
        <v>88</v>
      </c>
      <c r="B259" s="2" t="s">
        <v>72</v>
      </c>
      <c r="C259" s="2" t="s">
        <v>73</v>
      </c>
      <c r="E259" s="2" t="str">
        <f>"009935613987"</f>
        <v>009935613987</v>
      </c>
      <c r="F259" s="3">
        <v>42879</v>
      </c>
      <c r="G259" s="2">
        <v>201711</v>
      </c>
      <c r="H259" s="2" t="s">
        <v>158</v>
      </c>
      <c r="I259" s="2" t="s">
        <v>159</v>
      </c>
      <c r="J259" s="2" t="s">
        <v>91</v>
      </c>
      <c r="K259" s="2" t="s">
        <v>77</v>
      </c>
      <c r="L259" s="2" t="s">
        <v>243</v>
      </c>
      <c r="M259" s="2" t="s">
        <v>244</v>
      </c>
      <c r="N259" s="2" t="s">
        <v>540</v>
      </c>
      <c r="O259" s="2" t="s">
        <v>81</v>
      </c>
      <c r="P259" s="2" t="str">
        <f t="shared" si="9"/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9.02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0.1</v>
      </c>
      <c r="BJ259" s="2">
        <v>1.4</v>
      </c>
      <c r="BK259" s="2">
        <v>1.5</v>
      </c>
      <c r="BL259" s="2">
        <v>81.56</v>
      </c>
      <c r="BM259" s="2">
        <v>11.42</v>
      </c>
      <c r="BN259" s="2">
        <v>92.98</v>
      </c>
      <c r="BO259" s="2">
        <v>92.98</v>
      </c>
      <c r="BQ259" s="2" t="s">
        <v>541</v>
      </c>
      <c r="BR259" s="2" t="s">
        <v>542</v>
      </c>
      <c r="BS259" s="3">
        <v>42880</v>
      </c>
      <c r="BT259" s="4">
        <v>0.43263888888888885</v>
      </c>
      <c r="BU259" s="2" t="s">
        <v>543</v>
      </c>
      <c r="BV259" s="2" t="s">
        <v>85</v>
      </c>
      <c r="BY259" s="2">
        <v>7069.59</v>
      </c>
      <c r="BZ259" s="2" t="s">
        <v>27</v>
      </c>
      <c r="CC259" s="2" t="s">
        <v>244</v>
      </c>
      <c r="CD259" s="2">
        <v>8601</v>
      </c>
      <c r="CE259" s="2" t="s">
        <v>120</v>
      </c>
      <c r="CF259" s="3">
        <v>42884</v>
      </c>
      <c r="CI259" s="2">
        <v>3</v>
      </c>
      <c r="CJ259" s="2">
        <v>1</v>
      </c>
      <c r="CK259" s="2">
        <v>23</v>
      </c>
      <c r="CL259" s="2" t="s">
        <v>87</v>
      </c>
    </row>
    <row r="260" spans="1:90">
      <c r="A260" s="2" t="s">
        <v>88</v>
      </c>
      <c r="B260" s="2" t="s">
        <v>72</v>
      </c>
      <c r="C260" s="2" t="s">
        <v>73</v>
      </c>
      <c r="E260" s="2" t="str">
        <f>"009935473941"</f>
        <v>009935473941</v>
      </c>
      <c r="F260" s="3">
        <v>42879</v>
      </c>
      <c r="G260" s="2">
        <v>201711</v>
      </c>
      <c r="H260" s="2" t="s">
        <v>158</v>
      </c>
      <c r="I260" s="2" t="s">
        <v>159</v>
      </c>
      <c r="J260" s="2" t="s">
        <v>91</v>
      </c>
      <c r="K260" s="2" t="s">
        <v>77</v>
      </c>
      <c r="L260" s="2" t="s">
        <v>249</v>
      </c>
      <c r="M260" s="2" t="s">
        <v>250</v>
      </c>
      <c r="N260" s="2" t="s">
        <v>544</v>
      </c>
      <c r="O260" s="2" t="s">
        <v>81</v>
      </c>
      <c r="P260" s="2" t="str">
        <f t="shared" si="9"/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23.29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1.2</v>
      </c>
      <c r="BJ260" s="2">
        <v>5.3</v>
      </c>
      <c r="BK260" s="2">
        <v>5.5</v>
      </c>
      <c r="BL260" s="2">
        <v>210.49</v>
      </c>
      <c r="BM260" s="2">
        <v>29.47</v>
      </c>
      <c r="BN260" s="2">
        <v>239.96</v>
      </c>
      <c r="BO260" s="2">
        <v>239.96</v>
      </c>
      <c r="BQ260" s="2" t="s">
        <v>252</v>
      </c>
      <c r="BR260" s="2" t="s">
        <v>122</v>
      </c>
      <c r="BS260" s="3">
        <v>42880</v>
      </c>
      <c r="BT260" s="4">
        <v>0.55208333333333337</v>
      </c>
      <c r="BU260" s="2" t="s">
        <v>545</v>
      </c>
      <c r="BV260" s="2" t="s">
        <v>85</v>
      </c>
      <c r="BY260" s="2">
        <v>26330</v>
      </c>
      <c r="BZ260" s="2" t="s">
        <v>27</v>
      </c>
      <c r="CC260" s="2" t="s">
        <v>250</v>
      </c>
      <c r="CD260" s="2">
        <v>4252</v>
      </c>
      <c r="CE260" s="2" t="s">
        <v>120</v>
      </c>
      <c r="CF260" s="3">
        <v>42881</v>
      </c>
      <c r="CI260" s="2">
        <v>1</v>
      </c>
      <c r="CJ260" s="2">
        <v>1</v>
      </c>
      <c r="CK260" s="2">
        <v>23</v>
      </c>
      <c r="CL260" s="2" t="s">
        <v>87</v>
      </c>
    </row>
    <row r="261" spans="1:90">
      <c r="A261" s="2" t="s">
        <v>88</v>
      </c>
      <c r="B261" s="2" t="s">
        <v>72</v>
      </c>
      <c r="C261" s="2" t="s">
        <v>73</v>
      </c>
      <c r="E261" s="2" t="str">
        <f>"009936458844"</f>
        <v>009936458844</v>
      </c>
      <c r="F261" s="3">
        <v>42879</v>
      </c>
      <c r="G261" s="2">
        <v>201711</v>
      </c>
      <c r="H261" s="2" t="s">
        <v>158</v>
      </c>
      <c r="I261" s="2" t="s">
        <v>159</v>
      </c>
      <c r="J261" s="2" t="s">
        <v>91</v>
      </c>
      <c r="K261" s="2" t="s">
        <v>77</v>
      </c>
      <c r="L261" s="2" t="s">
        <v>151</v>
      </c>
      <c r="M261" s="2" t="s">
        <v>152</v>
      </c>
      <c r="N261" s="2" t="s">
        <v>91</v>
      </c>
      <c r="O261" s="2" t="s">
        <v>95</v>
      </c>
      <c r="P261" s="2" t="str">
        <f t="shared" si="9"/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52.12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4</v>
      </c>
      <c r="BI261" s="2">
        <v>103</v>
      </c>
      <c r="BJ261" s="2">
        <v>179.1</v>
      </c>
      <c r="BK261" s="2">
        <v>180</v>
      </c>
      <c r="BL261" s="2">
        <v>476.07</v>
      </c>
      <c r="BM261" s="2">
        <v>66.650000000000006</v>
      </c>
      <c r="BN261" s="2">
        <v>542.72</v>
      </c>
      <c r="BO261" s="2">
        <v>542.72</v>
      </c>
      <c r="BQ261" s="2" t="s">
        <v>153</v>
      </c>
      <c r="BR261" s="2" t="s">
        <v>546</v>
      </c>
      <c r="BS261" s="3">
        <v>42884</v>
      </c>
      <c r="BT261" s="4">
        <v>0.33333333333333331</v>
      </c>
      <c r="BU261" s="2" t="s">
        <v>547</v>
      </c>
      <c r="BV261" s="2" t="s">
        <v>87</v>
      </c>
      <c r="BW261" s="2" t="s">
        <v>319</v>
      </c>
      <c r="BX261" s="2" t="s">
        <v>548</v>
      </c>
      <c r="BY261" s="2">
        <v>895052.5</v>
      </c>
      <c r="CA261" s="2" t="s">
        <v>175</v>
      </c>
      <c r="CC261" s="2" t="s">
        <v>152</v>
      </c>
      <c r="CD261" s="2">
        <v>699</v>
      </c>
      <c r="CE261" s="2" t="s">
        <v>271</v>
      </c>
      <c r="CF261" s="3">
        <v>42885</v>
      </c>
      <c r="CI261" s="2">
        <v>1</v>
      </c>
      <c r="CJ261" s="2">
        <v>3</v>
      </c>
      <c r="CK261" s="2" t="s">
        <v>142</v>
      </c>
      <c r="CL261" s="2" t="s">
        <v>87</v>
      </c>
    </row>
    <row r="262" spans="1:90">
      <c r="A262" s="2" t="s">
        <v>88</v>
      </c>
      <c r="B262" s="2" t="s">
        <v>72</v>
      </c>
      <c r="C262" s="2" t="s">
        <v>73</v>
      </c>
      <c r="E262" s="2" t="str">
        <f>"069907886379"</f>
        <v>069907886379</v>
      </c>
      <c r="F262" s="3">
        <v>42879</v>
      </c>
      <c r="G262" s="2">
        <v>201711</v>
      </c>
      <c r="H262" s="2" t="s">
        <v>151</v>
      </c>
      <c r="I262" s="2" t="s">
        <v>152</v>
      </c>
      <c r="J262" s="2" t="s">
        <v>91</v>
      </c>
      <c r="K262" s="2" t="s">
        <v>77</v>
      </c>
      <c r="L262" s="2" t="s">
        <v>158</v>
      </c>
      <c r="M262" s="2" t="s">
        <v>159</v>
      </c>
      <c r="N262" s="2" t="s">
        <v>91</v>
      </c>
      <c r="O262" s="2" t="s">
        <v>95</v>
      </c>
      <c r="P262" s="2" t="str">
        <f t="shared" si="9"/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8.73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1</v>
      </c>
      <c r="BJ262" s="2">
        <v>0.2</v>
      </c>
      <c r="BK262" s="2">
        <v>1</v>
      </c>
      <c r="BL262" s="2">
        <v>83.93</v>
      </c>
      <c r="BM262" s="2">
        <v>11.75</v>
      </c>
      <c r="BN262" s="2">
        <v>95.68</v>
      </c>
      <c r="BO262" s="2">
        <v>95.68</v>
      </c>
      <c r="BQ262" s="2" t="s">
        <v>549</v>
      </c>
      <c r="BS262" s="3">
        <v>42880</v>
      </c>
      <c r="BT262" s="4">
        <v>0.35902777777777778</v>
      </c>
      <c r="BU262" s="2" t="s">
        <v>98</v>
      </c>
      <c r="BV262" s="2" t="s">
        <v>85</v>
      </c>
      <c r="BY262" s="2">
        <v>1200</v>
      </c>
      <c r="CC262" s="2" t="s">
        <v>159</v>
      </c>
      <c r="CD262" s="2">
        <v>2146</v>
      </c>
      <c r="CE262" s="2" t="s">
        <v>120</v>
      </c>
      <c r="CF262" s="3">
        <v>42880</v>
      </c>
      <c r="CI262" s="2">
        <v>1</v>
      </c>
      <c r="CJ262" s="2">
        <v>1</v>
      </c>
      <c r="CK262" s="2" t="s">
        <v>133</v>
      </c>
      <c r="CL262" s="2" t="s">
        <v>87</v>
      </c>
    </row>
    <row r="263" spans="1:90">
      <c r="A263" s="2" t="s">
        <v>88</v>
      </c>
      <c r="B263" s="2" t="s">
        <v>72</v>
      </c>
      <c r="C263" s="2" t="s">
        <v>73</v>
      </c>
      <c r="E263" s="2" t="str">
        <f>"069907886381"</f>
        <v>069907886381</v>
      </c>
      <c r="F263" s="3">
        <v>42879</v>
      </c>
      <c r="G263" s="2">
        <v>201711</v>
      </c>
      <c r="H263" s="2" t="s">
        <v>151</v>
      </c>
      <c r="I263" s="2" t="s">
        <v>152</v>
      </c>
      <c r="J263" s="2" t="s">
        <v>91</v>
      </c>
      <c r="K263" s="2" t="s">
        <v>77</v>
      </c>
      <c r="L263" s="2" t="s">
        <v>158</v>
      </c>
      <c r="M263" s="2" t="s">
        <v>159</v>
      </c>
      <c r="N263" s="2" t="s">
        <v>91</v>
      </c>
      <c r="O263" s="2" t="s">
        <v>95</v>
      </c>
      <c r="P263" s="2" t="str">
        <f t="shared" si="9"/>
        <v xml:space="preserve"> 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70.12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5</v>
      </c>
      <c r="BI263" s="2">
        <v>145</v>
      </c>
      <c r="BJ263" s="2">
        <v>207</v>
      </c>
      <c r="BK263" s="2">
        <v>207</v>
      </c>
      <c r="BL263" s="2">
        <v>638.76</v>
      </c>
      <c r="BM263" s="2">
        <v>89.43</v>
      </c>
      <c r="BN263" s="2">
        <v>728.19</v>
      </c>
      <c r="BO263" s="2">
        <v>728.19</v>
      </c>
      <c r="BQ263" s="2" t="s">
        <v>550</v>
      </c>
      <c r="BS263" s="3">
        <v>42880</v>
      </c>
      <c r="BT263" s="4">
        <v>0.57361111111111118</v>
      </c>
      <c r="BU263" s="2" t="s">
        <v>364</v>
      </c>
      <c r="BV263" s="2" t="s">
        <v>85</v>
      </c>
      <c r="BY263" s="2">
        <v>1034880</v>
      </c>
      <c r="CC263" s="2" t="s">
        <v>159</v>
      </c>
      <c r="CD263" s="2">
        <v>2146</v>
      </c>
      <c r="CE263" s="2" t="s">
        <v>120</v>
      </c>
      <c r="CF263" s="3">
        <v>42881</v>
      </c>
      <c r="CI263" s="2">
        <v>1</v>
      </c>
      <c r="CJ263" s="2">
        <v>1</v>
      </c>
      <c r="CK263" s="2" t="s">
        <v>133</v>
      </c>
      <c r="CL263" s="2" t="s">
        <v>87</v>
      </c>
    </row>
    <row r="264" spans="1:90">
      <c r="A264" s="2" t="s">
        <v>88</v>
      </c>
      <c r="B264" s="2" t="s">
        <v>72</v>
      </c>
      <c r="C264" s="2" t="s">
        <v>73</v>
      </c>
      <c r="E264" s="2" t="str">
        <f>"009935957091"</f>
        <v>009935957091</v>
      </c>
      <c r="F264" s="3">
        <v>42879</v>
      </c>
      <c r="G264" s="2">
        <v>201711</v>
      </c>
      <c r="H264" s="2" t="s">
        <v>158</v>
      </c>
      <c r="I264" s="2" t="s">
        <v>159</v>
      </c>
      <c r="J264" s="2" t="s">
        <v>91</v>
      </c>
      <c r="K264" s="2" t="s">
        <v>77</v>
      </c>
      <c r="L264" s="2" t="s">
        <v>111</v>
      </c>
      <c r="M264" s="2" t="s">
        <v>112</v>
      </c>
      <c r="N264" s="2" t="s">
        <v>147</v>
      </c>
      <c r="O264" s="2" t="s">
        <v>95</v>
      </c>
      <c r="P264" s="2" t="str">
        <f t="shared" si="9"/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16.73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29.9</v>
      </c>
      <c r="BJ264" s="2">
        <v>39.9</v>
      </c>
      <c r="BK264" s="2">
        <v>40</v>
      </c>
      <c r="BL264" s="2">
        <v>156.18</v>
      </c>
      <c r="BM264" s="2">
        <v>21.87</v>
      </c>
      <c r="BN264" s="2">
        <v>178.05</v>
      </c>
      <c r="BO264" s="2">
        <v>178.05</v>
      </c>
      <c r="BQ264" s="2" t="s">
        <v>121</v>
      </c>
      <c r="BR264" s="2" t="s">
        <v>122</v>
      </c>
      <c r="BS264" s="3">
        <v>42880</v>
      </c>
      <c r="BT264" s="4">
        <v>0.42222222222222222</v>
      </c>
      <c r="BU264" s="2" t="s">
        <v>225</v>
      </c>
      <c r="BV264" s="2" t="s">
        <v>85</v>
      </c>
      <c r="BY264" s="2">
        <v>199338.3</v>
      </c>
      <c r="CC264" s="2" t="s">
        <v>112</v>
      </c>
      <c r="CD264" s="2">
        <v>1034</v>
      </c>
      <c r="CE264" s="2" t="s">
        <v>120</v>
      </c>
      <c r="CF264" s="3">
        <v>42881</v>
      </c>
      <c r="CI264" s="2">
        <v>1</v>
      </c>
      <c r="CJ264" s="2">
        <v>1</v>
      </c>
      <c r="CK264" s="2" t="s">
        <v>133</v>
      </c>
      <c r="CL264" s="2" t="s">
        <v>87</v>
      </c>
    </row>
    <row r="265" spans="1:90">
      <c r="A265" s="2" t="s">
        <v>88</v>
      </c>
      <c r="B265" s="2" t="s">
        <v>72</v>
      </c>
      <c r="C265" s="2" t="s">
        <v>73</v>
      </c>
      <c r="E265" s="2" t="str">
        <f>"009935998990"</f>
        <v>009935998990</v>
      </c>
      <c r="F265" s="3">
        <v>42879</v>
      </c>
      <c r="G265" s="2">
        <v>201711</v>
      </c>
      <c r="H265" s="2" t="s">
        <v>158</v>
      </c>
      <c r="I265" s="2" t="s">
        <v>159</v>
      </c>
      <c r="J265" s="2" t="s">
        <v>91</v>
      </c>
      <c r="K265" s="2" t="s">
        <v>77</v>
      </c>
      <c r="L265" s="2" t="s">
        <v>176</v>
      </c>
      <c r="M265" s="2" t="s">
        <v>177</v>
      </c>
      <c r="N265" s="2" t="s">
        <v>209</v>
      </c>
      <c r="O265" s="2" t="s">
        <v>95</v>
      </c>
      <c r="P265" s="2" t="str">
        <f t="shared" si="9"/>
        <v xml:space="preserve"> 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6.55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8</v>
      </c>
      <c r="BJ265" s="2">
        <v>10.199999999999999</v>
      </c>
      <c r="BK265" s="2">
        <v>11</v>
      </c>
      <c r="BL265" s="2">
        <v>64.2</v>
      </c>
      <c r="BM265" s="2">
        <v>8.99</v>
      </c>
      <c r="BN265" s="2">
        <v>73.19</v>
      </c>
      <c r="BO265" s="2">
        <v>73.19</v>
      </c>
      <c r="BQ265" s="2" t="s">
        <v>178</v>
      </c>
      <c r="BR265" s="2" t="s">
        <v>122</v>
      </c>
      <c r="BS265" s="3">
        <v>42881</v>
      </c>
      <c r="BT265" s="4">
        <v>0.50347222222222221</v>
      </c>
      <c r="BU265" s="2" t="s">
        <v>551</v>
      </c>
      <c r="BV265" s="2" t="s">
        <v>85</v>
      </c>
      <c r="BY265" s="2">
        <v>51040</v>
      </c>
      <c r="CC265" s="2" t="s">
        <v>177</v>
      </c>
      <c r="CD265" s="2">
        <v>4091</v>
      </c>
      <c r="CE265" s="2" t="s">
        <v>86</v>
      </c>
      <c r="CF265" s="3">
        <v>42884</v>
      </c>
      <c r="CI265" s="2">
        <v>6</v>
      </c>
      <c r="CJ265" s="2">
        <v>2</v>
      </c>
      <c r="CK265" s="2" t="s">
        <v>146</v>
      </c>
      <c r="CL265" s="2" t="s">
        <v>87</v>
      </c>
    </row>
    <row r="266" spans="1:90">
      <c r="A266" s="2" t="s">
        <v>88</v>
      </c>
      <c r="B266" s="2" t="s">
        <v>72</v>
      </c>
      <c r="C266" s="2" t="s">
        <v>73</v>
      </c>
      <c r="E266" s="2" t="str">
        <f>"069907886380"</f>
        <v>069907886380</v>
      </c>
      <c r="F266" s="3">
        <v>42879</v>
      </c>
      <c r="G266" s="2">
        <v>201711</v>
      </c>
      <c r="H266" s="2" t="s">
        <v>151</v>
      </c>
      <c r="I266" s="2" t="s">
        <v>152</v>
      </c>
      <c r="J266" s="2" t="s">
        <v>91</v>
      </c>
      <c r="K266" s="2" t="s">
        <v>77</v>
      </c>
      <c r="L266" s="2" t="s">
        <v>158</v>
      </c>
      <c r="M266" s="2" t="s">
        <v>159</v>
      </c>
      <c r="N266" s="2" t="s">
        <v>91</v>
      </c>
      <c r="O266" s="2" t="s">
        <v>95</v>
      </c>
      <c r="P266" s="2" t="str">
        <f t="shared" si="9"/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8.73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</v>
      </c>
      <c r="BJ266" s="2">
        <v>0.2</v>
      </c>
      <c r="BK266" s="2">
        <v>1</v>
      </c>
      <c r="BL266" s="2">
        <v>83.93</v>
      </c>
      <c r="BM266" s="2">
        <v>11.75</v>
      </c>
      <c r="BN266" s="2">
        <v>95.68</v>
      </c>
      <c r="BO266" s="2">
        <v>95.68</v>
      </c>
      <c r="BQ266" s="2" t="s">
        <v>552</v>
      </c>
      <c r="BS266" s="3">
        <v>42880</v>
      </c>
      <c r="BT266" s="4">
        <v>0.39930555555555558</v>
      </c>
      <c r="BU266" s="2" t="s">
        <v>357</v>
      </c>
      <c r="BV266" s="2" t="s">
        <v>85</v>
      </c>
      <c r="BY266" s="2">
        <v>1200</v>
      </c>
      <c r="CC266" s="2" t="s">
        <v>159</v>
      </c>
      <c r="CD266" s="2">
        <v>2146</v>
      </c>
      <c r="CE266" s="2" t="s">
        <v>120</v>
      </c>
      <c r="CF266" s="3">
        <v>42880</v>
      </c>
      <c r="CI266" s="2">
        <v>1</v>
      </c>
      <c r="CJ266" s="2">
        <v>1</v>
      </c>
      <c r="CK266" s="2" t="s">
        <v>133</v>
      </c>
      <c r="CL266" s="2" t="s">
        <v>87</v>
      </c>
    </row>
    <row r="267" spans="1:90">
      <c r="A267" s="2" t="s">
        <v>88</v>
      </c>
      <c r="B267" s="2" t="s">
        <v>72</v>
      </c>
      <c r="C267" s="2" t="s">
        <v>73</v>
      </c>
      <c r="E267" s="2" t="str">
        <f>"009935474380"</f>
        <v>009935474380</v>
      </c>
      <c r="F267" s="3">
        <v>42879</v>
      </c>
      <c r="G267" s="2">
        <v>201711</v>
      </c>
      <c r="H267" s="2" t="s">
        <v>158</v>
      </c>
      <c r="I267" s="2" t="s">
        <v>159</v>
      </c>
      <c r="J267" s="2" t="s">
        <v>91</v>
      </c>
      <c r="K267" s="2" t="s">
        <v>77</v>
      </c>
      <c r="L267" s="2" t="s">
        <v>192</v>
      </c>
      <c r="M267" s="2" t="s">
        <v>193</v>
      </c>
      <c r="N267" s="2" t="s">
        <v>553</v>
      </c>
      <c r="O267" s="2" t="s">
        <v>95</v>
      </c>
      <c r="P267" s="2" t="str">
        <f t="shared" si="9"/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16.71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8.1999999999999993</v>
      </c>
      <c r="BJ267" s="2">
        <v>23.1</v>
      </c>
      <c r="BK267" s="2">
        <v>23</v>
      </c>
      <c r="BL267" s="2">
        <v>156.01</v>
      </c>
      <c r="BM267" s="2">
        <v>21.84</v>
      </c>
      <c r="BN267" s="2">
        <v>177.85</v>
      </c>
      <c r="BO267" s="2">
        <v>177.85</v>
      </c>
      <c r="BQ267" s="2" t="s">
        <v>318</v>
      </c>
      <c r="BR267" s="2" t="s">
        <v>122</v>
      </c>
      <c r="BS267" s="3">
        <v>42880</v>
      </c>
      <c r="BT267" s="4">
        <v>0.41666666666666669</v>
      </c>
      <c r="BU267" s="2" t="s">
        <v>554</v>
      </c>
      <c r="BY267" s="2">
        <v>115420.1</v>
      </c>
      <c r="CC267" s="2" t="s">
        <v>193</v>
      </c>
      <c r="CD267" s="2">
        <v>450</v>
      </c>
      <c r="CE267" s="2" t="s">
        <v>120</v>
      </c>
      <c r="CF267" s="3">
        <v>42881</v>
      </c>
      <c r="CI267" s="2">
        <v>0</v>
      </c>
      <c r="CJ267" s="2">
        <v>0</v>
      </c>
      <c r="CK267" s="2" t="s">
        <v>196</v>
      </c>
      <c r="CL267" s="2" t="s">
        <v>87</v>
      </c>
    </row>
    <row r="268" spans="1:90">
      <c r="A268" s="2" t="s">
        <v>88</v>
      </c>
      <c r="B268" s="2" t="s">
        <v>72</v>
      </c>
      <c r="C268" s="2" t="s">
        <v>73</v>
      </c>
      <c r="E268" s="2" t="str">
        <f>"009935802747"</f>
        <v>009935802747</v>
      </c>
      <c r="F268" s="3">
        <v>42879</v>
      </c>
      <c r="G268" s="2">
        <v>201711</v>
      </c>
      <c r="H268" s="2" t="s">
        <v>158</v>
      </c>
      <c r="I268" s="2" t="s">
        <v>159</v>
      </c>
      <c r="J268" s="2" t="s">
        <v>91</v>
      </c>
      <c r="K268" s="2" t="s">
        <v>77</v>
      </c>
      <c r="L268" s="2" t="s">
        <v>124</v>
      </c>
      <c r="M268" s="2" t="s">
        <v>125</v>
      </c>
      <c r="N268" s="2" t="s">
        <v>91</v>
      </c>
      <c r="O268" s="2" t="s">
        <v>95</v>
      </c>
      <c r="P268" s="2" t="str">
        <f t="shared" si="9"/>
        <v xml:space="preserve"> 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20.239999999999998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2</v>
      </c>
      <c r="BI268" s="2">
        <v>30.7</v>
      </c>
      <c r="BJ268" s="2">
        <v>50.8</v>
      </c>
      <c r="BK268" s="2">
        <v>51</v>
      </c>
      <c r="BL268" s="2">
        <v>187.96</v>
      </c>
      <c r="BM268" s="2">
        <v>26.31</v>
      </c>
      <c r="BN268" s="2">
        <v>214.27</v>
      </c>
      <c r="BO268" s="2">
        <v>214.27</v>
      </c>
      <c r="BQ268" s="2" t="s">
        <v>237</v>
      </c>
      <c r="BR268" s="2" t="s">
        <v>330</v>
      </c>
      <c r="BS268" s="3">
        <v>42880</v>
      </c>
      <c r="BT268" s="4">
        <v>0.32291666666666669</v>
      </c>
      <c r="BU268" s="2" t="s">
        <v>237</v>
      </c>
      <c r="BV268" s="2" t="s">
        <v>85</v>
      </c>
      <c r="BY268" s="2">
        <v>253865.25</v>
      </c>
      <c r="CC268" s="2" t="s">
        <v>125</v>
      </c>
      <c r="CD268" s="2">
        <v>299</v>
      </c>
      <c r="CE268" s="2" t="s">
        <v>120</v>
      </c>
      <c r="CF268" s="3">
        <v>42884</v>
      </c>
      <c r="CI268" s="2">
        <v>1</v>
      </c>
      <c r="CJ268" s="2">
        <v>1</v>
      </c>
      <c r="CK268" s="2" t="s">
        <v>133</v>
      </c>
      <c r="CL268" s="2" t="s">
        <v>87</v>
      </c>
    </row>
    <row r="269" spans="1:90">
      <c r="A269" s="2" t="s">
        <v>88</v>
      </c>
      <c r="B269" s="2" t="s">
        <v>72</v>
      </c>
      <c r="C269" s="2" t="s">
        <v>73</v>
      </c>
      <c r="E269" s="2" t="str">
        <f>"069907886378"</f>
        <v>069907886378</v>
      </c>
      <c r="F269" s="3">
        <v>42879</v>
      </c>
      <c r="G269" s="2">
        <v>201711</v>
      </c>
      <c r="H269" s="2" t="s">
        <v>151</v>
      </c>
      <c r="I269" s="2" t="s">
        <v>152</v>
      </c>
      <c r="J269" s="2" t="s">
        <v>91</v>
      </c>
      <c r="K269" s="2" t="s">
        <v>77</v>
      </c>
      <c r="L269" s="2" t="s">
        <v>158</v>
      </c>
      <c r="M269" s="2" t="s">
        <v>159</v>
      </c>
      <c r="N269" s="2" t="s">
        <v>91</v>
      </c>
      <c r="O269" s="2" t="s">
        <v>95</v>
      </c>
      <c r="P269" s="2" t="str">
        <f t="shared" si="9"/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8.73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1</v>
      </c>
      <c r="BJ269" s="2">
        <v>0.2</v>
      </c>
      <c r="BK269" s="2">
        <v>1</v>
      </c>
      <c r="BL269" s="2">
        <v>83.93</v>
      </c>
      <c r="BM269" s="2">
        <v>11.75</v>
      </c>
      <c r="BN269" s="2">
        <v>95.68</v>
      </c>
      <c r="BO269" s="2">
        <v>95.68</v>
      </c>
      <c r="BQ269" s="2" t="s">
        <v>555</v>
      </c>
      <c r="BS269" s="3">
        <v>42880</v>
      </c>
      <c r="BT269" s="4">
        <v>0.35902777777777778</v>
      </c>
      <c r="BU269" s="2" t="s">
        <v>98</v>
      </c>
      <c r="BV269" s="2" t="s">
        <v>85</v>
      </c>
      <c r="BY269" s="2">
        <v>1200</v>
      </c>
      <c r="CC269" s="2" t="s">
        <v>159</v>
      </c>
      <c r="CD269" s="2">
        <v>2146</v>
      </c>
      <c r="CE269" s="2" t="s">
        <v>120</v>
      </c>
      <c r="CF269" s="3">
        <v>42880</v>
      </c>
      <c r="CI269" s="2">
        <v>1</v>
      </c>
      <c r="CJ269" s="2">
        <v>1</v>
      </c>
      <c r="CK269" s="2" t="s">
        <v>133</v>
      </c>
      <c r="CL269" s="2" t="s">
        <v>87</v>
      </c>
    </row>
    <row r="270" spans="1:90">
      <c r="A270" s="2" t="s">
        <v>71</v>
      </c>
      <c r="B270" s="2" t="s">
        <v>72</v>
      </c>
      <c r="C270" s="2" t="s">
        <v>73</v>
      </c>
      <c r="E270" s="2" t="str">
        <f>"009935980564"</f>
        <v>009935980564</v>
      </c>
      <c r="F270" s="3">
        <v>42880</v>
      </c>
      <c r="G270" s="2">
        <v>201711</v>
      </c>
      <c r="H270" s="2" t="s">
        <v>143</v>
      </c>
      <c r="I270" s="2" t="s">
        <v>144</v>
      </c>
      <c r="J270" s="2" t="s">
        <v>218</v>
      </c>
      <c r="K270" s="2" t="s">
        <v>77</v>
      </c>
      <c r="L270" s="2" t="s">
        <v>158</v>
      </c>
      <c r="M270" s="2" t="s">
        <v>159</v>
      </c>
      <c r="N270" s="2" t="s">
        <v>218</v>
      </c>
      <c r="O270" s="2" t="s">
        <v>95</v>
      </c>
      <c r="P270" s="2" t="str">
        <f t="shared" si="9"/>
        <v xml:space="preserve">     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8.73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1</v>
      </c>
      <c r="BJ270" s="2">
        <v>0.2</v>
      </c>
      <c r="BK270" s="2">
        <v>1</v>
      </c>
      <c r="BL270" s="2">
        <v>83.93</v>
      </c>
      <c r="BM270" s="2">
        <v>11.75</v>
      </c>
      <c r="BN270" s="2">
        <v>95.68</v>
      </c>
      <c r="BO270" s="2">
        <v>95.68</v>
      </c>
      <c r="BQ270" s="2" t="s">
        <v>383</v>
      </c>
      <c r="BR270" s="2" t="s">
        <v>515</v>
      </c>
      <c r="BS270" s="3">
        <v>42881</v>
      </c>
      <c r="BT270" s="4">
        <v>0.74930555555555556</v>
      </c>
      <c r="BU270" s="2" t="s">
        <v>364</v>
      </c>
      <c r="BV270" s="2" t="s">
        <v>85</v>
      </c>
      <c r="BY270" s="2">
        <v>1200</v>
      </c>
      <c r="CC270" s="2" t="s">
        <v>159</v>
      </c>
      <c r="CD270" s="2">
        <v>2146</v>
      </c>
      <c r="CE270" s="2" t="s">
        <v>120</v>
      </c>
      <c r="CF270" s="3">
        <v>42884</v>
      </c>
      <c r="CI270" s="2">
        <v>1</v>
      </c>
      <c r="CJ270" s="2">
        <v>1</v>
      </c>
      <c r="CK270" s="2" t="s">
        <v>211</v>
      </c>
      <c r="CL270" s="2" t="s">
        <v>87</v>
      </c>
    </row>
    <row r="271" spans="1:90">
      <c r="A271" s="2" t="s">
        <v>88</v>
      </c>
      <c r="B271" s="2" t="s">
        <v>72</v>
      </c>
      <c r="C271" s="2" t="s">
        <v>73</v>
      </c>
      <c r="E271" s="2" t="str">
        <f>"019910066640"</f>
        <v>019910066640</v>
      </c>
      <c r="F271" s="3">
        <v>42880</v>
      </c>
      <c r="G271" s="2">
        <v>201711</v>
      </c>
      <c r="H271" s="2" t="s">
        <v>105</v>
      </c>
      <c r="I271" s="2" t="s">
        <v>106</v>
      </c>
      <c r="J271" s="2" t="s">
        <v>91</v>
      </c>
      <c r="K271" s="2" t="s">
        <v>77</v>
      </c>
      <c r="L271" s="2" t="s">
        <v>78</v>
      </c>
      <c r="M271" s="2" t="s">
        <v>79</v>
      </c>
      <c r="N271" s="2" t="s">
        <v>91</v>
      </c>
      <c r="O271" s="2" t="s">
        <v>81</v>
      </c>
      <c r="P271" s="2" t="str">
        <f t="shared" si="9"/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4.66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1</v>
      </c>
      <c r="BJ271" s="2">
        <v>0.2</v>
      </c>
      <c r="BK271" s="2">
        <v>1</v>
      </c>
      <c r="BL271" s="2">
        <v>42.1</v>
      </c>
      <c r="BM271" s="2">
        <v>5.89</v>
      </c>
      <c r="BN271" s="2">
        <v>47.99</v>
      </c>
      <c r="BO271" s="2">
        <v>47.99</v>
      </c>
      <c r="BQ271" s="2" t="s">
        <v>108</v>
      </c>
      <c r="BR271" s="2" t="s">
        <v>109</v>
      </c>
      <c r="BS271" s="3">
        <v>42881</v>
      </c>
      <c r="BT271" s="4">
        <v>0.35138888888888892</v>
      </c>
      <c r="BU271" s="2" t="s">
        <v>98</v>
      </c>
      <c r="BV271" s="2" t="s">
        <v>85</v>
      </c>
      <c r="BY271" s="2">
        <v>1200</v>
      </c>
      <c r="BZ271" s="2" t="s">
        <v>27</v>
      </c>
      <c r="CC271" s="2" t="s">
        <v>79</v>
      </c>
      <c r="CD271" s="2">
        <v>2090</v>
      </c>
      <c r="CE271" s="2" t="s">
        <v>484</v>
      </c>
      <c r="CF271" s="3">
        <v>42884</v>
      </c>
      <c r="CI271" s="2">
        <v>1</v>
      </c>
      <c r="CJ271" s="2">
        <v>1</v>
      </c>
      <c r="CK271" s="2">
        <v>21</v>
      </c>
      <c r="CL271" s="2" t="s">
        <v>87</v>
      </c>
    </row>
    <row r="272" spans="1:90">
      <c r="A272" s="2" t="s">
        <v>88</v>
      </c>
      <c r="B272" s="2" t="s">
        <v>72</v>
      </c>
      <c r="C272" s="2" t="s">
        <v>73</v>
      </c>
      <c r="E272" s="2" t="str">
        <f>"009936366794"</f>
        <v>009936366794</v>
      </c>
      <c r="F272" s="3">
        <v>42874</v>
      </c>
      <c r="G272" s="2">
        <v>201711</v>
      </c>
      <c r="H272" s="2" t="s">
        <v>92</v>
      </c>
      <c r="I272" s="2" t="s">
        <v>93</v>
      </c>
      <c r="J272" s="2" t="s">
        <v>91</v>
      </c>
      <c r="K272" s="2" t="s">
        <v>77</v>
      </c>
      <c r="L272" s="2" t="s">
        <v>89</v>
      </c>
      <c r="M272" s="2" t="s">
        <v>90</v>
      </c>
      <c r="N272" s="2" t="s">
        <v>91</v>
      </c>
      <c r="O272" s="2" t="s">
        <v>95</v>
      </c>
      <c r="P272" s="2" t="str">
        <f t="shared" si="9"/>
        <v xml:space="preserve"> 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11.35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1</v>
      </c>
      <c r="BJ272" s="2">
        <v>0.2</v>
      </c>
      <c r="BK272" s="2">
        <v>1</v>
      </c>
      <c r="BL272" s="2">
        <v>107.61</v>
      </c>
      <c r="BM272" s="2">
        <v>15.07</v>
      </c>
      <c r="BN272" s="2">
        <v>122.68</v>
      </c>
      <c r="BO272" s="2">
        <v>122.68</v>
      </c>
      <c r="BQ272" s="2" t="s">
        <v>556</v>
      </c>
      <c r="BR272" s="2" t="s">
        <v>98</v>
      </c>
      <c r="BS272" s="3">
        <v>42877</v>
      </c>
      <c r="BT272" s="4">
        <v>0.34097222222222223</v>
      </c>
      <c r="BU272" s="2" t="s">
        <v>101</v>
      </c>
      <c r="BV272" s="2" t="s">
        <v>85</v>
      </c>
      <c r="BY272" s="2">
        <v>1200</v>
      </c>
      <c r="CC272" s="2" t="s">
        <v>90</v>
      </c>
      <c r="CD272" s="2">
        <v>6000</v>
      </c>
      <c r="CE272" s="2" t="s">
        <v>120</v>
      </c>
      <c r="CF272" s="3">
        <v>42878</v>
      </c>
      <c r="CI272" s="2">
        <v>2</v>
      </c>
      <c r="CJ272" s="2">
        <v>1</v>
      </c>
      <c r="CK272" s="2" t="s">
        <v>557</v>
      </c>
      <c r="CL272" s="2" t="s">
        <v>87</v>
      </c>
    </row>
    <row r="273" spans="1:90">
      <c r="A273" s="2" t="s">
        <v>71</v>
      </c>
      <c r="B273" s="2" t="s">
        <v>72</v>
      </c>
      <c r="C273" s="2" t="s">
        <v>73</v>
      </c>
      <c r="E273" s="2" t="str">
        <f>"039902263291"</f>
        <v>039902263291</v>
      </c>
      <c r="F273" s="3">
        <v>42880</v>
      </c>
      <c r="G273" s="2">
        <v>201711</v>
      </c>
      <c r="H273" s="2" t="s">
        <v>89</v>
      </c>
      <c r="I273" s="2" t="s">
        <v>90</v>
      </c>
      <c r="J273" s="2" t="s">
        <v>558</v>
      </c>
      <c r="K273" s="2" t="s">
        <v>77</v>
      </c>
      <c r="L273" s="2" t="s">
        <v>258</v>
      </c>
      <c r="M273" s="2" t="s">
        <v>259</v>
      </c>
      <c r="N273" s="2" t="s">
        <v>559</v>
      </c>
      <c r="O273" s="2" t="s">
        <v>95</v>
      </c>
      <c r="P273" s="2" t="str">
        <f t="shared" si="9"/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12.96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35</v>
      </c>
      <c r="BJ273" s="2">
        <v>32.200000000000003</v>
      </c>
      <c r="BK273" s="2">
        <v>35</v>
      </c>
      <c r="BL273" s="2">
        <v>122.11</v>
      </c>
      <c r="BM273" s="2">
        <v>17.100000000000001</v>
      </c>
      <c r="BN273" s="2">
        <v>139.21</v>
      </c>
      <c r="BO273" s="2">
        <v>139.21</v>
      </c>
      <c r="BQ273" s="2" t="s">
        <v>560</v>
      </c>
      <c r="BS273" s="3">
        <v>42881</v>
      </c>
      <c r="BT273" s="4">
        <v>0.3743055555555555</v>
      </c>
      <c r="BU273" s="2" t="s">
        <v>503</v>
      </c>
      <c r="BV273" s="2" t="s">
        <v>85</v>
      </c>
      <c r="BY273" s="2">
        <v>160875</v>
      </c>
      <c r="CC273" s="2" t="s">
        <v>259</v>
      </c>
      <c r="CD273" s="2">
        <v>5200</v>
      </c>
      <c r="CE273" s="2" t="s">
        <v>473</v>
      </c>
      <c r="CF273" s="3">
        <v>42884</v>
      </c>
      <c r="CI273" s="2">
        <v>1</v>
      </c>
      <c r="CJ273" s="2">
        <v>1</v>
      </c>
      <c r="CK273" s="2" t="s">
        <v>129</v>
      </c>
      <c r="CL273" s="2" t="s">
        <v>87</v>
      </c>
    </row>
    <row r="274" spans="1:90">
      <c r="A274" s="2" t="s">
        <v>71</v>
      </c>
      <c r="B274" s="2" t="s">
        <v>72</v>
      </c>
      <c r="C274" s="2" t="s">
        <v>73</v>
      </c>
      <c r="E274" s="2" t="str">
        <f>"039902658216"</f>
        <v>039902658216</v>
      </c>
      <c r="F274" s="3">
        <v>42880</v>
      </c>
      <c r="G274" s="2">
        <v>201711</v>
      </c>
      <c r="H274" s="2" t="s">
        <v>138</v>
      </c>
      <c r="I274" s="2" t="s">
        <v>139</v>
      </c>
      <c r="J274" s="2" t="s">
        <v>91</v>
      </c>
      <c r="K274" s="2" t="s">
        <v>77</v>
      </c>
      <c r="L274" s="2" t="s">
        <v>180</v>
      </c>
      <c r="M274" s="2" t="s">
        <v>181</v>
      </c>
      <c r="N274" s="2" t="s">
        <v>561</v>
      </c>
      <c r="O274" s="2" t="s">
        <v>95</v>
      </c>
      <c r="P274" s="2" t="str">
        <f t="shared" si="9"/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8.01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0.9</v>
      </c>
      <c r="BJ274" s="2">
        <v>0.9</v>
      </c>
      <c r="BK274" s="2">
        <v>1</v>
      </c>
      <c r="BL274" s="2">
        <v>77.36</v>
      </c>
      <c r="BM274" s="2">
        <v>10.83</v>
      </c>
      <c r="BN274" s="2">
        <v>88.19</v>
      </c>
      <c r="BO274" s="2">
        <v>88.19</v>
      </c>
      <c r="BQ274" s="2" t="s">
        <v>184</v>
      </c>
      <c r="BR274" s="2" t="s">
        <v>268</v>
      </c>
      <c r="BS274" s="3">
        <v>42881</v>
      </c>
      <c r="BT274" s="4">
        <v>0.375</v>
      </c>
      <c r="BU274" s="2" t="s">
        <v>184</v>
      </c>
      <c r="BV274" s="2" t="s">
        <v>85</v>
      </c>
      <c r="BY274" s="2">
        <v>4672.16</v>
      </c>
      <c r="CC274" s="2" t="s">
        <v>181</v>
      </c>
      <c r="CD274" s="2">
        <v>9460</v>
      </c>
      <c r="CE274" s="2" t="s">
        <v>120</v>
      </c>
      <c r="CF274" s="3">
        <v>42885</v>
      </c>
      <c r="CI274" s="2">
        <v>1</v>
      </c>
      <c r="CJ274" s="2">
        <v>1</v>
      </c>
      <c r="CK274" s="2" t="s">
        <v>129</v>
      </c>
      <c r="CL274" s="2" t="s">
        <v>87</v>
      </c>
    </row>
    <row r="275" spans="1:90">
      <c r="A275" s="2" t="s">
        <v>71</v>
      </c>
      <c r="B275" s="2" t="s">
        <v>72</v>
      </c>
      <c r="C275" s="2" t="s">
        <v>73</v>
      </c>
      <c r="E275" s="2" t="str">
        <f>"039902658217"</f>
        <v>039902658217</v>
      </c>
      <c r="F275" s="3">
        <v>42880</v>
      </c>
      <c r="G275" s="2">
        <v>201711</v>
      </c>
      <c r="H275" s="2" t="s">
        <v>138</v>
      </c>
      <c r="I275" s="2" t="s">
        <v>139</v>
      </c>
      <c r="J275" s="2" t="s">
        <v>91</v>
      </c>
      <c r="K275" s="2" t="s">
        <v>77</v>
      </c>
      <c r="L275" s="2" t="s">
        <v>327</v>
      </c>
      <c r="M275" s="2" t="s">
        <v>328</v>
      </c>
      <c r="N275" s="2" t="s">
        <v>91</v>
      </c>
      <c r="O275" s="2" t="s">
        <v>95</v>
      </c>
      <c r="P275" s="2" t="str">
        <f t="shared" si="9"/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8.01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1</v>
      </c>
      <c r="BJ275" s="2">
        <v>0.2</v>
      </c>
      <c r="BK275" s="2">
        <v>1</v>
      </c>
      <c r="BL275" s="2">
        <v>77.36</v>
      </c>
      <c r="BM275" s="2">
        <v>10.83</v>
      </c>
      <c r="BN275" s="2">
        <v>88.19</v>
      </c>
      <c r="BO275" s="2">
        <v>88.19</v>
      </c>
      <c r="BQ275" s="2" t="s">
        <v>245</v>
      </c>
      <c r="BR275" s="2" t="s">
        <v>268</v>
      </c>
      <c r="BS275" s="3">
        <v>42884</v>
      </c>
      <c r="BT275" s="4">
        <v>0.39583333333333331</v>
      </c>
      <c r="BU275" s="2" t="s">
        <v>331</v>
      </c>
      <c r="BV275" s="2" t="s">
        <v>87</v>
      </c>
      <c r="BW275" s="2" t="s">
        <v>314</v>
      </c>
      <c r="BX275" s="2" t="s">
        <v>332</v>
      </c>
      <c r="BY275" s="2">
        <v>1200</v>
      </c>
      <c r="CC275" s="2" t="s">
        <v>328</v>
      </c>
      <c r="CD275" s="2">
        <v>9700</v>
      </c>
      <c r="CE275" s="2" t="s">
        <v>120</v>
      </c>
      <c r="CF275" s="3">
        <v>42886</v>
      </c>
      <c r="CI275" s="2">
        <v>1</v>
      </c>
      <c r="CJ275" s="2">
        <v>2</v>
      </c>
      <c r="CK275" s="2" t="s">
        <v>129</v>
      </c>
      <c r="CL275" s="2" t="s">
        <v>87</v>
      </c>
    </row>
    <row r="276" spans="1:90">
      <c r="A276" s="2" t="s">
        <v>88</v>
      </c>
      <c r="B276" s="2" t="s">
        <v>72</v>
      </c>
      <c r="C276" s="2" t="s">
        <v>73</v>
      </c>
      <c r="E276" s="2" t="str">
        <f>"009935802743"</f>
        <v>009935802743</v>
      </c>
      <c r="F276" s="3">
        <v>42880</v>
      </c>
      <c r="G276" s="2">
        <v>201711</v>
      </c>
      <c r="H276" s="2" t="s">
        <v>158</v>
      </c>
      <c r="I276" s="2" t="s">
        <v>159</v>
      </c>
      <c r="J276" s="2" t="s">
        <v>91</v>
      </c>
      <c r="K276" s="2" t="s">
        <v>77</v>
      </c>
      <c r="L276" s="2" t="s">
        <v>92</v>
      </c>
      <c r="M276" s="2" t="s">
        <v>93</v>
      </c>
      <c r="N276" s="2" t="s">
        <v>562</v>
      </c>
      <c r="O276" s="2" t="s">
        <v>95</v>
      </c>
      <c r="P276" s="2" t="str">
        <f>"STORES                        "</f>
        <v xml:space="preserve">STORES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18.05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13.3</v>
      </c>
      <c r="BJ276" s="2">
        <v>24.3</v>
      </c>
      <c r="BK276" s="2">
        <v>25</v>
      </c>
      <c r="BL276" s="2">
        <v>168.11</v>
      </c>
      <c r="BM276" s="2">
        <v>23.54</v>
      </c>
      <c r="BN276" s="2">
        <v>191.65</v>
      </c>
      <c r="BO276" s="2">
        <v>191.65</v>
      </c>
      <c r="BQ276" s="2" t="s">
        <v>98</v>
      </c>
      <c r="BR276" s="2" t="s">
        <v>122</v>
      </c>
      <c r="BS276" s="3">
        <v>42881</v>
      </c>
      <c r="BT276" s="4">
        <v>0.33333333333333331</v>
      </c>
      <c r="BU276" s="2" t="s">
        <v>241</v>
      </c>
      <c r="BV276" s="2" t="s">
        <v>85</v>
      </c>
      <c r="BY276" s="2">
        <v>121740.85</v>
      </c>
      <c r="CC276" s="2" t="s">
        <v>93</v>
      </c>
      <c r="CD276" s="2">
        <v>8800</v>
      </c>
      <c r="CE276" s="2" t="s">
        <v>120</v>
      </c>
      <c r="CF276" s="3">
        <v>42885</v>
      </c>
      <c r="CI276" s="2">
        <v>2</v>
      </c>
      <c r="CJ276" s="2">
        <v>1</v>
      </c>
      <c r="CK276" s="2" t="s">
        <v>196</v>
      </c>
      <c r="CL276" s="2" t="s">
        <v>87</v>
      </c>
    </row>
    <row r="277" spans="1:90">
      <c r="A277" s="2" t="s">
        <v>88</v>
      </c>
      <c r="B277" s="2" t="s">
        <v>72</v>
      </c>
      <c r="C277" s="2" t="s">
        <v>73</v>
      </c>
      <c r="E277" s="2" t="str">
        <f>"009935802745"</f>
        <v>009935802745</v>
      </c>
      <c r="F277" s="3">
        <v>42880</v>
      </c>
      <c r="G277" s="2">
        <v>201711</v>
      </c>
      <c r="H277" s="2" t="s">
        <v>158</v>
      </c>
      <c r="I277" s="2" t="s">
        <v>159</v>
      </c>
      <c r="J277" s="2" t="s">
        <v>91</v>
      </c>
      <c r="K277" s="2" t="s">
        <v>77</v>
      </c>
      <c r="L277" s="2" t="s">
        <v>124</v>
      </c>
      <c r="M277" s="2" t="s">
        <v>125</v>
      </c>
      <c r="N277" s="2" t="s">
        <v>563</v>
      </c>
      <c r="O277" s="2" t="s">
        <v>95</v>
      </c>
      <c r="P277" s="2" t="str">
        <f>"STORES                        "</f>
        <v xml:space="preserve">STORES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8.73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2</v>
      </c>
      <c r="BI277" s="2">
        <v>7.6</v>
      </c>
      <c r="BJ277" s="2">
        <v>7.4</v>
      </c>
      <c r="BK277" s="2">
        <v>8</v>
      </c>
      <c r="BL277" s="2">
        <v>83.93</v>
      </c>
      <c r="BM277" s="2">
        <v>11.75</v>
      </c>
      <c r="BN277" s="2">
        <v>95.68</v>
      </c>
      <c r="BO277" s="2">
        <v>95.68</v>
      </c>
      <c r="BR277" s="2" t="s">
        <v>122</v>
      </c>
      <c r="BS277" s="3">
        <v>42884</v>
      </c>
      <c r="BT277" s="4">
        <v>0.33333333333333331</v>
      </c>
      <c r="BU277" s="2" t="s">
        <v>246</v>
      </c>
      <c r="BV277" s="2" t="s">
        <v>87</v>
      </c>
      <c r="BY277" s="2">
        <v>36774.06</v>
      </c>
      <c r="CC277" s="2" t="s">
        <v>125</v>
      </c>
      <c r="CD277" s="2">
        <v>299</v>
      </c>
      <c r="CE277" s="2" t="s">
        <v>120</v>
      </c>
      <c r="CF277" s="3">
        <v>42886</v>
      </c>
      <c r="CI277" s="2">
        <v>1</v>
      </c>
      <c r="CJ277" s="2">
        <v>2</v>
      </c>
      <c r="CK277" s="2" t="s">
        <v>133</v>
      </c>
      <c r="CL277" s="2" t="s">
        <v>87</v>
      </c>
    </row>
    <row r="278" spans="1:90">
      <c r="A278" s="2" t="s">
        <v>88</v>
      </c>
      <c r="B278" s="2" t="s">
        <v>72</v>
      </c>
      <c r="C278" s="2" t="s">
        <v>73</v>
      </c>
      <c r="E278" s="2" t="str">
        <f>"009934949888"</f>
        <v>009934949888</v>
      </c>
      <c r="F278" s="3">
        <v>42880</v>
      </c>
      <c r="G278" s="2">
        <v>201711</v>
      </c>
      <c r="H278" s="2" t="s">
        <v>158</v>
      </c>
      <c r="I278" s="2" t="s">
        <v>159</v>
      </c>
      <c r="J278" s="2" t="s">
        <v>91</v>
      </c>
      <c r="K278" s="2" t="s">
        <v>77</v>
      </c>
      <c r="L278" s="2" t="s">
        <v>151</v>
      </c>
      <c r="M278" s="2" t="s">
        <v>152</v>
      </c>
      <c r="N278" s="2" t="s">
        <v>91</v>
      </c>
      <c r="O278" s="2" t="s">
        <v>81</v>
      </c>
      <c r="P278" s="2" t="str">
        <f>"LOCKS                         "</f>
        <v xml:space="preserve">LOCKS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4.66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0.8</v>
      </c>
      <c r="BJ278" s="2">
        <v>1.1000000000000001</v>
      </c>
      <c r="BK278" s="2">
        <v>1.5</v>
      </c>
      <c r="BL278" s="2">
        <v>42.1</v>
      </c>
      <c r="BM278" s="2">
        <v>5.89</v>
      </c>
      <c r="BN278" s="2">
        <v>47.99</v>
      </c>
      <c r="BO278" s="2">
        <v>47.99</v>
      </c>
      <c r="BQ278" s="2" t="s">
        <v>153</v>
      </c>
      <c r="BR278" s="2" t="s">
        <v>226</v>
      </c>
      <c r="BS278" s="3">
        <v>42881</v>
      </c>
      <c r="BT278" s="4">
        <v>0.45208333333333334</v>
      </c>
      <c r="BU278" s="2" t="s">
        <v>206</v>
      </c>
      <c r="BV278" s="2" t="s">
        <v>85</v>
      </c>
      <c r="BY278" s="2">
        <v>5488.4</v>
      </c>
      <c r="CC278" s="2" t="s">
        <v>152</v>
      </c>
      <c r="CD278" s="2">
        <v>700</v>
      </c>
      <c r="CE278" s="2" t="s">
        <v>120</v>
      </c>
      <c r="CF278" s="3">
        <v>42884</v>
      </c>
      <c r="CI278" s="2">
        <v>1</v>
      </c>
      <c r="CJ278" s="2">
        <v>1</v>
      </c>
      <c r="CK278" s="2">
        <v>21</v>
      </c>
      <c r="CL278" s="2" t="s">
        <v>87</v>
      </c>
    </row>
    <row r="279" spans="1:90">
      <c r="A279" s="2" t="s">
        <v>88</v>
      </c>
      <c r="B279" s="2" t="s">
        <v>72</v>
      </c>
      <c r="C279" s="2" t="s">
        <v>73</v>
      </c>
      <c r="E279" s="2" t="str">
        <f>"009935501358"</f>
        <v>009935501358</v>
      </c>
      <c r="F279" s="3">
        <v>42880</v>
      </c>
      <c r="G279" s="2">
        <v>201711</v>
      </c>
      <c r="H279" s="2" t="s">
        <v>78</v>
      </c>
      <c r="I279" s="2" t="s">
        <v>79</v>
      </c>
      <c r="J279" s="2" t="s">
        <v>91</v>
      </c>
      <c r="K279" s="2" t="s">
        <v>77</v>
      </c>
      <c r="L279" s="2" t="s">
        <v>138</v>
      </c>
      <c r="M279" s="2" t="s">
        <v>139</v>
      </c>
      <c r="N279" s="2" t="s">
        <v>426</v>
      </c>
      <c r="O279" s="2" t="s">
        <v>81</v>
      </c>
      <c r="P279" s="2" t="str">
        <f>"LCK                           "</f>
        <v xml:space="preserve">LCK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4.66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0.5</v>
      </c>
      <c r="BJ279" s="2">
        <v>0.2</v>
      </c>
      <c r="BK279" s="2">
        <v>0.5</v>
      </c>
      <c r="BL279" s="2">
        <v>42.1</v>
      </c>
      <c r="BM279" s="2">
        <v>5.89</v>
      </c>
      <c r="BN279" s="2">
        <v>47.99</v>
      </c>
      <c r="BO279" s="2">
        <v>47.99</v>
      </c>
      <c r="BQ279" s="2" t="s">
        <v>140</v>
      </c>
      <c r="BR279" s="2" t="s">
        <v>122</v>
      </c>
      <c r="BS279" s="3">
        <v>42881</v>
      </c>
      <c r="BT279" s="4">
        <v>0.40138888888888885</v>
      </c>
      <c r="BU279" s="2" t="s">
        <v>564</v>
      </c>
      <c r="BV279" s="2" t="s">
        <v>85</v>
      </c>
      <c r="BY279" s="2">
        <v>1200</v>
      </c>
      <c r="CC279" s="2" t="s">
        <v>139</v>
      </c>
      <c r="CD279" s="2">
        <v>9301</v>
      </c>
      <c r="CE279" s="2" t="s">
        <v>120</v>
      </c>
      <c r="CF279" s="3">
        <v>42884</v>
      </c>
      <c r="CI279" s="2">
        <v>1</v>
      </c>
      <c r="CJ279" s="2">
        <v>1</v>
      </c>
      <c r="CK279" s="2">
        <v>21</v>
      </c>
      <c r="CL279" s="2" t="s">
        <v>87</v>
      </c>
    </row>
    <row r="280" spans="1:90">
      <c r="A280" s="2" t="s">
        <v>88</v>
      </c>
      <c r="B280" s="2" t="s">
        <v>72</v>
      </c>
      <c r="C280" s="2" t="s">
        <v>73</v>
      </c>
      <c r="E280" s="2" t="str">
        <f>"009936002707"</f>
        <v>009936002707</v>
      </c>
      <c r="F280" s="3">
        <v>42880</v>
      </c>
      <c r="G280" s="2">
        <v>201711</v>
      </c>
      <c r="H280" s="2" t="s">
        <v>158</v>
      </c>
      <c r="I280" s="2" t="s">
        <v>159</v>
      </c>
      <c r="J280" s="2" t="s">
        <v>565</v>
      </c>
      <c r="K280" s="2" t="s">
        <v>77</v>
      </c>
      <c r="L280" s="2" t="s">
        <v>176</v>
      </c>
      <c r="M280" s="2" t="s">
        <v>177</v>
      </c>
      <c r="N280" s="2" t="s">
        <v>209</v>
      </c>
      <c r="O280" s="2" t="s">
        <v>81</v>
      </c>
      <c r="P280" s="2" t="str">
        <f>"LCK                           "</f>
        <v xml:space="preserve">LCK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4.66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1</v>
      </c>
      <c r="BJ280" s="2">
        <v>0.2</v>
      </c>
      <c r="BK280" s="2">
        <v>1</v>
      </c>
      <c r="BL280" s="2">
        <v>42.1</v>
      </c>
      <c r="BM280" s="2">
        <v>5.89</v>
      </c>
      <c r="BN280" s="2">
        <v>47.99</v>
      </c>
      <c r="BO280" s="2">
        <v>47.99</v>
      </c>
      <c r="BQ280" s="2" t="s">
        <v>178</v>
      </c>
      <c r="BR280" s="2" t="s">
        <v>122</v>
      </c>
      <c r="BS280" s="3">
        <v>42881</v>
      </c>
      <c r="BT280" s="4">
        <v>0.37847222222222227</v>
      </c>
      <c r="BU280" s="2" t="s">
        <v>566</v>
      </c>
      <c r="BV280" s="2" t="s">
        <v>85</v>
      </c>
      <c r="BY280" s="2">
        <v>1200</v>
      </c>
      <c r="CC280" s="2" t="s">
        <v>177</v>
      </c>
      <c r="CD280" s="2">
        <v>4091</v>
      </c>
      <c r="CE280" s="2" t="s">
        <v>120</v>
      </c>
      <c r="CF280" s="3">
        <v>42884</v>
      </c>
      <c r="CI280" s="2">
        <v>1</v>
      </c>
      <c r="CJ280" s="2">
        <v>1</v>
      </c>
      <c r="CK280" s="2">
        <v>21</v>
      </c>
      <c r="CL280" s="2" t="s">
        <v>87</v>
      </c>
    </row>
    <row r="281" spans="1:90">
      <c r="A281" s="2" t="s">
        <v>88</v>
      </c>
      <c r="B281" s="2" t="s">
        <v>72</v>
      </c>
      <c r="C281" s="2" t="s">
        <v>73</v>
      </c>
      <c r="E281" s="2" t="str">
        <f>"009935613986"</f>
        <v>009935613986</v>
      </c>
      <c r="F281" s="3">
        <v>42880</v>
      </c>
      <c r="G281" s="2">
        <v>201711</v>
      </c>
      <c r="H281" s="2" t="s">
        <v>158</v>
      </c>
      <c r="I281" s="2" t="s">
        <v>159</v>
      </c>
      <c r="J281" s="2" t="s">
        <v>91</v>
      </c>
      <c r="K281" s="2" t="s">
        <v>77</v>
      </c>
      <c r="L281" s="2" t="s">
        <v>124</v>
      </c>
      <c r="M281" s="2" t="s">
        <v>125</v>
      </c>
      <c r="N281" s="2" t="s">
        <v>567</v>
      </c>
      <c r="O281" s="2" t="s">
        <v>81</v>
      </c>
      <c r="P281" s="2" t="str">
        <f>"LCK                           "</f>
        <v xml:space="preserve">LCK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8.14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1</v>
      </c>
      <c r="BI281" s="2">
        <v>0.1</v>
      </c>
      <c r="BJ281" s="2">
        <v>2.1</v>
      </c>
      <c r="BK281" s="2">
        <v>2.5</v>
      </c>
      <c r="BL281" s="2">
        <v>73.569999999999993</v>
      </c>
      <c r="BM281" s="2">
        <v>10.3</v>
      </c>
      <c r="BN281" s="2">
        <v>83.87</v>
      </c>
      <c r="BO281" s="2">
        <v>83.87</v>
      </c>
      <c r="BS281" s="3">
        <v>42884</v>
      </c>
      <c r="BT281" s="4">
        <v>0.33333333333333331</v>
      </c>
      <c r="BU281" s="2" t="s">
        <v>246</v>
      </c>
      <c r="BV281" s="2" t="s">
        <v>87</v>
      </c>
      <c r="BY281" s="2">
        <v>10727.28</v>
      </c>
      <c r="CC281" s="2" t="s">
        <v>125</v>
      </c>
      <c r="CD281" s="2">
        <v>299</v>
      </c>
      <c r="CE281" s="2" t="s">
        <v>120</v>
      </c>
      <c r="CF281" s="3">
        <v>42886</v>
      </c>
      <c r="CI281" s="2">
        <v>1</v>
      </c>
      <c r="CJ281" s="2">
        <v>2</v>
      </c>
      <c r="CK281" s="2">
        <v>24</v>
      </c>
      <c r="CL281" s="2" t="s">
        <v>87</v>
      </c>
    </row>
    <row r="282" spans="1:90">
      <c r="A282" s="2" t="s">
        <v>88</v>
      </c>
      <c r="B282" s="2" t="s">
        <v>72</v>
      </c>
      <c r="C282" s="2" t="s">
        <v>73</v>
      </c>
      <c r="E282" s="2" t="str">
        <f>"009935474221"</f>
        <v>009935474221</v>
      </c>
      <c r="F282" s="3">
        <v>42880</v>
      </c>
      <c r="G282" s="2">
        <v>201711</v>
      </c>
      <c r="H282" s="2" t="s">
        <v>158</v>
      </c>
      <c r="I282" s="2" t="s">
        <v>159</v>
      </c>
      <c r="J282" s="2" t="s">
        <v>91</v>
      </c>
      <c r="K282" s="2" t="s">
        <v>77</v>
      </c>
      <c r="L282" s="2" t="s">
        <v>192</v>
      </c>
      <c r="M282" s="2" t="s">
        <v>193</v>
      </c>
      <c r="N282" s="2" t="s">
        <v>317</v>
      </c>
      <c r="O282" s="2" t="s">
        <v>81</v>
      </c>
      <c r="P282" s="2" t="str">
        <f t="shared" ref="P282:P291" si="10">"                              "</f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14.54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4.5</v>
      </c>
      <c r="BJ282" s="2">
        <v>3.1</v>
      </c>
      <c r="BK282" s="2">
        <v>4.5</v>
      </c>
      <c r="BL282" s="2">
        <v>131.44999999999999</v>
      </c>
      <c r="BM282" s="2">
        <v>18.399999999999999</v>
      </c>
      <c r="BN282" s="2">
        <v>149.85</v>
      </c>
      <c r="BO282" s="2">
        <v>149.85</v>
      </c>
      <c r="BQ282" s="2" t="s">
        <v>194</v>
      </c>
      <c r="BR282" s="2" t="s">
        <v>122</v>
      </c>
      <c r="BS282" s="3">
        <v>42881</v>
      </c>
      <c r="BT282" s="4">
        <v>0.41666666666666669</v>
      </c>
      <c r="BU282" s="2" t="s">
        <v>240</v>
      </c>
      <c r="BV282" s="2" t="s">
        <v>85</v>
      </c>
      <c r="BY282" s="2">
        <v>15576</v>
      </c>
      <c r="CC282" s="2" t="s">
        <v>193</v>
      </c>
      <c r="CD282" s="2">
        <v>450</v>
      </c>
      <c r="CE282" s="2" t="s">
        <v>120</v>
      </c>
      <c r="CF282" s="3">
        <v>42884</v>
      </c>
      <c r="CI282" s="2">
        <v>1</v>
      </c>
      <c r="CJ282" s="2">
        <v>1</v>
      </c>
      <c r="CK282" s="2">
        <v>24</v>
      </c>
      <c r="CL282" s="2" t="s">
        <v>87</v>
      </c>
    </row>
    <row r="283" spans="1:90">
      <c r="A283" s="2" t="s">
        <v>71</v>
      </c>
      <c r="B283" s="2" t="s">
        <v>72</v>
      </c>
      <c r="C283" s="2" t="s">
        <v>73</v>
      </c>
      <c r="E283" s="2" t="str">
        <f>"029907767913"</f>
        <v>029907767913</v>
      </c>
      <c r="F283" s="3">
        <v>42881</v>
      </c>
      <c r="G283" s="2">
        <v>201711</v>
      </c>
      <c r="H283" s="2" t="s">
        <v>216</v>
      </c>
      <c r="I283" s="2" t="s">
        <v>217</v>
      </c>
      <c r="J283" s="2" t="s">
        <v>218</v>
      </c>
      <c r="K283" s="2" t="s">
        <v>77</v>
      </c>
      <c r="L283" s="2" t="s">
        <v>158</v>
      </c>
      <c r="M283" s="2" t="s">
        <v>159</v>
      </c>
      <c r="N283" s="2" t="s">
        <v>218</v>
      </c>
      <c r="O283" s="2" t="s">
        <v>95</v>
      </c>
      <c r="P283" s="2" t="str">
        <f t="shared" si="10"/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9.5299999999999994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15</v>
      </c>
      <c r="BJ283" s="2">
        <v>2.4</v>
      </c>
      <c r="BK283" s="2">
        <v>15</v>
      </c>
      <c r="BL283" s="2">
        <v>91.17</v>
      </c>
      <c r="BM283" s="2">
        <v>12.76</v>
      </c>
      <c r="BN283" s="2">
        <v>103.93</v>
      </c>
      <c r="BO283" s="2">
        <v>103.93</v>
      </c>
      <c r="BS283" s="3">
        <v>42884</v>
      </c>
      <c r="BT283" s="4">
        <v>8.3333333333333329E-2</v>
      </c>
      <c r="BU283" s="2" t="s">
        <v>98</v>
      </c>
      <c r="BV283" s="2" t="s">
        <v>85</v>
      </c>
      <c r="BY283" s="2">
        <v>12000</v>
      </c>
      <c r="CC283" s="2" t="s">
        <v>159</v>
      </c>
      <c r="CD283" s="2">
        <v>2146</v>
      </c>
      <c r="CE283" s="2" t="s">
        <v>473</v>
      </c>
      <c r="CF283" s="3">
        <v>42885</v>
      </c>
      <c r="CI283" s="2">
        <v>2</v>
      </c>
      <c r="CJ283" s="2">
        <v>1</v>
      </c>
      <c r="CK283" s="2" t="s">
        <v>221</v>
      </c>
      <c r="CL283" s="2" t="s">
        <v>87</v>
      </c>
    </row>
    <row r="284" spans="1:90">
      <c r="A284" s="2" t="s">
        <v>88</v>
      </c>
      <c r="B284" s="2" t="s">
        <v>72</v>
      </c>
      <c r="C284" s="2" t="s">
        <v>73</v>
      </c>
      <c r="E284" s="2" t="str">
        <f>"009935802841"</f>
        <v>009935802841</v>
      </c>
      <c r="F284" s="3">
        <v>42857</v>
      </c>
      <c r="G284" s="2">
        <v>201711</v>
      </c>
      <c r="H284" s="2" t="s">
        <v>78</v>
      </c>
      <c r="I284" s="2" t="s">
        <v>79</v>
      </c>
      <c r="J284" s="2" t="s">
        <v>91</v>
      </c>
      <c r="K284" s="2" t="s">
        <v>77</v>
      </c>
      <c r="L284" s="2" t="s">
        <v>216</v>
      </c>
      <c r="M284" s="2" t="s">
        <v>217</v>
      </c>
      <c r="N284" s="2" t="s">
        <v>107</v>
      </c>
      <c r="O284" s="2" t="s">
        <v>95</v>
      </c>
      <c r="P284" s="2" t="str">
        <f t="shared" si="10"/>
        <v xml:space="preserve">      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19.670000000000002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25</v>
      </c>
      <c r="BJ284" s="2">
        <v>43.8</v>
      </c>
      <c r="BK284" s="2">
        <v>44</v>
      </c>
      <c r="BL284" s="2">
        <v>196.43</v>
      </c>
      <c r="BM284" s="2">
        <v>27.5</v>
      </c>
      <c r="BN284" s="2">
        <v>223.93</v>
      </c>
      <c r="BO284" s="2">
        <v>223.93</v>
      </c>
      <c r="BQ284" s="2" t="s">
        <v>438</v>
      </c>
      <c r="BR284" s="2" t="s">
        <v>122</v>
      </c>
      <c r="BS284" s="3">
        <v>42860</v>
      </c>
      <c r="BT284" s="4">
        <v>0.35416666666666669</v>
      </c>
      <c r="BU284" s="2" t="s">
        <v>219</v>
      </c>
      <c r="BV284" s="2" t="s">
        <v>87</v>
      </c>
      <c r="BY284" s="2">
        <v>219186</v>
      </c>
      <c r="CC284" s="2" t="s">
        <v>217</v>
      </c>
      <c r="CD284" s="2">
        <v>3900</v>
      </c>
      <c r="CE284" s="2" t="s">
        <v>86</v>
      </c>
      <c r="CF284" s="3">
        <v>42864</v>
      </c>
      <c r="CI284" s="2">
        <v>2</v>
      </c>
      <c r="CJ284" s="2">
        <v>3</v>
      </c>
      <c r="CK284" s="2" t="s">
        <v>221</v>
      </c>
      <c r="CL284" s="2" t="s">
        <v>87</v>
      </c>
    </row>
    <row r="285" spans="1:90">
      <c r="A285" s="2" t="s">
        <v>88</v>
      </c>
      <c r="B285" s="2" t="s">
        <v>72</v>
      </c>
      <c r="C285" s="2" t="s">
        <v>73</v>
      </c>
      <c r="E285" s="2" t="str">
        <f>"089901298070D"</f>
        <v>089901298070D</v>
      </c>
      <c r="F285" s="3">
        <v>42832</v>
      </c>
      <c r="G285" s="2">
        <v>201711</v>
      </c>
      <c r="H285" s="2" t="s">
        <v>138</v>
      </c>
      <c r="I285" s="2" t="s">
        <v>139</v>
      </c>
      <c r="J285" s="2" t="s">
        <v>568</v>
      </c>
      <c r="K285" s="2" t="s">
        <v>77</v>
      </c>
      <c r="L285" s="2" t="s">
        <v>158</v>
      </c>
      <c r="M285" s="2" t="s">
        <v>159</v>
      </c>
      <c r="N285" s="2" t="s">
        <v>107</v>
      </c>
      <c r="O285" s="2" t="s">
        <v>95</v>
      </c>
      <c r="P285" s="2" t="str">
        <f t="shared" si="10"/>
        <v xml:space="preserve">      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8.0399999999999991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1</v>
      </c>
      <c r="BJ285" s="2">
        <v>0.2</v>
      </c>
      <c r="BK285" s="2">
        <v>1</v>
      </c>
      <c r="BL285" s="2">
        <v>83.24</v>
      </c>
      <c r="BM285" s="2">
        <v>11.65</v>
      </c>
      <c r="BN285" s="2">
        <v>94.89</v>
      </c>
      <c r="BO285" s="2">
        <v>94.89</v>
      </c>
      <c r="BQ285" s="2" t="s">
        <v>248</v>
      </c>
      <c r="BS285" s="3">
        <v>42836</v>
      </c>
      <c r="BT285" s="4">
        <v>0.37291666666666662</v>
      </c>
      <c r="BU285" s="2" t="s">
        <v>223</v>
      </c>
      <c r="BV285" s="2" t="s">
        <v>87</v>
      </c>
      <c r="BY285" s="2">
        <v>1200</v>
      </c>
      <c r="CC285" s="2" t="s">
        <v>159</v>
      </c>
      <c r="CD285" s="2">
        <v>2146</v>
      </c>
      <c r="CE285" s="2" t="s">
        <v>120</v>
      </c>
      <c r="CF285" s="3">
        <v>42837</v>
      </c>
      <c r="CI285" s="2">
        <v>0</v>
      </c>
      <c r="CJ285" s="2">
        <v>0</v>
      </c>
      <c r="CK285" s="2" t="s">
        <v>133</v>
      </c>
      <c r="CL285" s="2" t="s">
        <v>87</v>
      </c>
    </row>
    <row r="286" spans="1:90">
      <c r="A286" s="2" t="s">
        <v>88</v>
      </c>
      <c r="B286" s="2" t="s">
        <v>72</v>
      </c>
      <c r="C286" s="2" t="s">
        <v>73</v>
      </c>
      <c r="E286" s="2" t="str">
        <f>"089901259009D"</f>
        <v>089901259009D</v>
      </c>
      <c r="F286" s="3">
        <v>42832</v>
      </c>
      <c r="G286" s="2">
        <v>201711</v>
      </c>
      <c r="H286" s="2" t="s">
        <v>138</v>
      </c>
      <c r="I286" s="2" t="s">
        <v>139</v>
      </c>
      <c r="J286" s="2" t="s">
        <v>107</v>
      </c>
      <c r="K286" s="2" t="s">
        <v>77</v>
      </c>
      <c r="L286" s="2" t="s">
        <v>180</v>
      </c>
      <c r="M286" s="2" t="s">
        <v>181</v>
      </c>
      <c r="N286" s="2" t="s">
        <v>107</v>
      </c>
      <c r="O286" s="2" t="s">
        <v>95</v>
      </c>
      <c r="P286" s="2" t="str">
        <f t="shared" si="10"/>
        <v xml:space="preserve">      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7.37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1</v>
      </c>
      <c r="BJ286" s="2">
        <v>0.2</v>
      </c>
      <c r="BK286" s="2">
        <v>1</v>
      </c>
      <c r="BL286" s="2">
        <v>76.72</v>
      </c>
      <c r="BM286" s="2">
        <v>10.74</v>
      </c>
      <c r="BN286" s="2">
        <v>87.46</v>
      </c>
      <c r="BO286" s="2">
        <v>87.46</v>
      </c>
      <c r="BS286" s="3">
        <v>42843</v>
      </c>
      <c r="BT286" s="4">
        <v>0.41666666666666669</v>
      </c>
      <c r="BU286" s="2" t="s">
        <v>184</v>
      </c>
      <c r="BV286" s="2" t="s">
        <v>87</v>
      </c>
      <c r="BY286" s="2">
        <v>1200</v>
      </c>
      <c r="CC286" s="2" t="s">
        <v>181</v>
      </c>
      <c r="CD286" s="2">
        <v>9460</v>
      </c>
      <c r="CE286" s="2" t="s">
        <v>120</v>
      </c>
      <c r="CF286" s="3">
        <v>42846</v>
      </c>
      <c r="CI286" s="2">
        <v>0</v>
      </c>
      <c r="CJ286" s="2">
        <v>0</v>
      </c>
      <c r="CK286" s="2" t="s">
        <v>129</v>
      </c>
      <c r="CL286" s="2" t="s">
        <v>87</v>
      </c>
    </row>
    <row r="287" spans="1:90">
      <c r="A287" s="2" t="s">
        <v>88</v>
      </c>
      <c r="B287" s="2" t="s">
        <v>72</v>
      </c>
      <c r="C287" s="2" t="s">
        <v>73</v>
      </c>
      <c r="E287" s="2" t="str">
        <f>"009935941514"</f>
        <v>009935941514</v>
      </c>
      <c r="F287" s="3">
        <v>42880</v>
      </c>
      <c r="G287" s="2">
        <v>201711</v>
      </c>
      <c r="H287" s="2" t="s">
        <v>197</v>
      </c>
      <c r="I287" s="2" t="s">
        <v>198</v>
      </c>
      <c r="J287" s="2" t="s">
        <v>91</v>
      </c>
      <c r="K287" s="2" t="s">
        <v>77</v>
      </c>
      <c r="L287" s="2" t="s">
        <v>78</v>
      </c>
      <c r="M287" s="2" t="s">
        <v>79</v>
      </c>
      <c r="N287" s="2" t="s">
        <v>91</v>
      </c>
      <c r="O287" s="2" t="s">
        <v>95</v>
      </c>
      <c r="P287" s="2" t="str">
        <f t="shared" si="10"/>
        <v xml:space="preserve">      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18.32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1</v>
      </c>
      <c r="BI287" s="2">
        <v>26</v>
      </c>
      <c r="BJ287" s="2">
        <v>44.6</v>
      </c>
      <c r="BK287" s="2">
        <v>45</v>
      </c>
      <c r="BL287" s="2">
        <v>170.62</v>
      </c>
      <c r="BM287" s="2">
        <v>23.89</v>
      </c>
      <c r="BN287" s="2">
        <v>194.51</v>
      </c>
      <c r="BO287" s="2">
        <v>194.51</v>
      </c>
      <c r="BQ287" s="2" t="s">
        <v>569</v>
      </c>
      <c r="BR287" s="2" t="s">
        <v>570</v>
      </c>
      <c r="BS287" s="3">
        <v>42881</v>
      </c>
      <c r="BT287" s="4">
        <v>0.54097222222222219</v>
      </c>
      <c r="BU287" s="2" t="s">
        <v>364</v>
      </c>
      <c r="BV287" s="2" t="s">
        <v>85</v>
      </c>
      <c r="BY287" s="2">
        <v>223040</v>
      </c>
      <c r="CC287" s="2" t="s">
        <v>79</v>
      </c>
      <c r="CD287" s="2">
        <v>2000</v>
      </c>
      <c r="CE287" s="2" t="s">
        <v>120</v>
      </c>
      <c r="CF287" s="3">
        <v>42884</v>
      </c>
      <c r="CI287" s="2">
        <v>1</v>
      </c>
      <c r="CJ287" s="2">
        <v>1</v>
      </c>
      <c r="CK287" s="2" t="s">
        <v>133</v>
      </c>
      <c r="CL287" s="2" t="s">
        <v>87</v>
      </c>
    </row>
    <row r="288" spans="1:90">
      <c r="A288" s="2" t="s">
        <v>88</v>
      </c>
      <c r="B288" s="2" t="s">
        <v>72</v>
      </c>
      <c r="C288" s="2" t="s">
        <v>73</v>
      </c>
      <c r="E288" s="2" t="str">
        <f>"009936334629"</f>
        <v>009936334629</v>
      </c>
      <c r="F288" s="3">
        <v>42881</v>
      </c>
      <c r="G288" s="2">
        <v>201711</v>
      </c>
      <c r="H288" s="2" t="s">
        <v>166</v>
      </c>
      <c r="I288" s="2" t="s">
        <v>167</v>
      </c>
      <c r="J288" s="2" t="s">
        <v>76</v>
      </c>
      <c r="K288" s="2" t="s">
        <v>77</v>
      </c>
      <c r="L288" s="2" t="s">
        <v>158</v>
      </c>
      <c r="M288" s="2" t="s">
        <v>159</v>
      </c>
      <c r="N288" s="2" t="s">
        <v>76</v>
      </c>
      <c r="O288" s="2" t="s">
        <v>95</v>
      </c>
      <c r="P288" s="2" t="str">
        <f t="shared" si="10"/>
        <v xml:space="preserve">      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17.78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2</v>
      </c>
      <c r="BI288" s="2">
        <v>25</v>
      </c>
      <c r="BJ288" s="2">
        <v>36.799999999999997</v>
      </c>
      <c r="BK288" s="2">
        <v>37</v>
      </c>
      <c r="BL288" s="2">
        <v>165.71</v>
      </c>
      <c r="BM288" s="2">
        <v>23.2</v>
      </c>
      <c r="BN288" s="2">
        <v>188.91</v>
      </c>
      <c r="BO288" s="2">
        <v>188.91</v>
      </c>
      <c r="BQ288" s="2" t="s">
        <v>571</v>
      </c>
      <c r="BR288" s="2" t="s">
        <v>168</v>
      </c>
      <c r="BS288" s="3">
        <v>42884</v>
      </c>
      <c r="BT288" s="4">
        <v>8.3333333333333329E-2</v>
      </c>
      <c r="BU288" s="2" t="s">
        <v>98</v>
      </c>
      <c r="BV288" s="2" t="s">
        <v>85</v>
      </c>
      <c r="BY288" s="2">
        <v>184212</v>
      </c>
      <c r="CC288" s="2" t="s">
        <v>159</v>
      </c>
      <c r="CD288" s="2">
        <v>2146</v>
      </c>
      <c r="CE288" s="2" t="s">
        <v>120</v>
      </c>
      <c r="CF288" s="3">
        <v>42885</v>
      </c>
      <c r="CI288" s="2">
        <v>1</v>
      </c>
      <c r="CJ288" s="2">
        <v>1</v>
      </c>
      <c r="CK288" s="2" t="s">
        <v>161</v>
      </c>
      <c r="CL288" s="2" t="s">
        <v>87</v>
      </c>
    </row>
    <row r="289" spans="1:90">
      <c r="A289" s="2" t="s">
        <v>88</v>
      </c>
      <c r="B289" s="2" t="s">
        <v>72</v>
      </c>
      <c r="C289" s="2" t="s">
        <v>73</v>
      </c>
      <c r="E289" s="2" t="str">
        <f>"009936115727"</f>
        <v>009936115727</v>
      </c>
      <c r="F289" s="3">
        <v>42881</v>
      </c>
      <c r="G289" s="2">
        <v>201711</v>
      </c>
      <c r="H289" s="2" t="s">
        <v>158</v>
      </c>
      <c r="I289" s="2" t="s">
        <v>159</v>
      </c>
      <c r="J289" s="2" t="s">
        <v>91</v>
      </c>
      <c r="K289" s="2" t="s">
        <v>77</v>
      </c>
      <c r="L289" s="2" t="s">
        <v>89</v>
      </c>
      <c r="M289" s="2" t="s">
        <v>90</v>
      </c>
      <c r="N289" s="2" t="s">
        <v>91</v>
      </c>
      <c r="O289" s="2" t="s">
        <v>95</v>
      </c>
      <c r="P289" s="2" t="str">
        <f t="shared" si="10"/>
        <v xml:space="preserve">      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32.380000000000003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2</v>
      </c>
      <c r="BI289" s="2">
        <v>58.7</v>
      </c>
      <c r="BJ289" s="2">
        <v>71</v>
      </c>
      <c r="BK289" s="2">
        <v>71</v>
      </c>
      <c r="BL289" s="2">
        <v>297.7</v>
      </c>
      <c r="BM289" s="2">
        <v>41.68</v>
      </c>
      <c r="BN289" s="2">
        <v>339.38</v>
      </c>
      <c r="BO289" s="2">
        <v>339.38</v>
      </c>
      <c r="BQ289" s="2" t="s">
        <v>97</v>
      </c>
      <c r="BR289" s="2" t="s">
        <v>312</v>
      </c>
      <c r="BS289" s="3">
        <v>42884</v>
      </c>
      <c r="BT289" s="4">
        <v>0.39583333333333331</v>
      </c>
      <c r="BU289" s="2" t="s">
        <v>572</v>
      </c>
      <c r="BV289" s="2" t="s">
        <v>85</v>
      </c>
      <c r="BY289" s="2">
        <v>354896.53</v>
      </c>
      <c r="CC289" s="2" t="s">
        <v>90</v>
      </c>
      <c r="CD289" s="2">
        <v>6045</v>
      </c>
      <c r="CE289" s="2" t="s">
        <v>120</v>
      </c>
      <c r="CF289" s="3">
        <v>42885</v>
      </c>
      <c r="CI289" s="2">
        <v>2</v>
      </c>
      <c r="CJ289" s="2">
        <v>1</v>
      </c>
      <c r="CK289" s="2" t="s">
        <v>104</v>
      </c>
      <c r="CL289" s="2" t="s">
        <v>87</v>
      </c>
    </row>
    <row r="290" spans="1:90">
      <c r="A290" s="2" t="s">
        <v>88</v>
      </c>
      <c r="B290" s="2" t="s">
        <v>72</v>
      </c>
      <c r="C290" s="2" t="s">
        <v>73</v>
      </c>
      <c r="E290" s="2" t="str">
        <f>"009935802742"</f>
        <v>009935802742</v>
      </c>
      <c r="F290" s="3">
        <v>42881</v>
      </c>
      <c r="G290" s="2">
        <v>201711</v>
      </c>
      <c r="H290" s="2" t="s">
        <v>78</v>
      </c>
      <c r="I290" s="2" t="s">
        <v>79</v>
      </c>
      <c r="J290" s="2" t="s">
        <v>91</v>
      </c>
      <c r="K290" s="2" t="s">
        <v>77</v>
      </c>
      <c r="L290" s="2" t="s">
        <v>347</v>
      </c>
      <c r="M290" s="2" t="s">
        <v>348</v>
      </c>
      <c r="N290" s="2" t="s">
        <v>573</v>
      </c>
      <c r="O290" s="2" t="s">
        <v>95</v>
      </c>
      <c r="P290" s="2" t="str">
        <f t="shared" si="10"/>
        <v xml:space="preserve">      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8.01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4.5999999999999996</v>
      </c>
      <c r="BJ290" s="2">
        <v>3</v>
      </c>
      <c r="BK290" s="2">
        <v>5</v>
      </c>
      <c r="BL290" s="2">
        <v>77.36</v>
      </c>
      <c r="BM290" s="2">
        <v>10.83</v>
      </c>
      <c r="BN290" s="2">
        <v>88.19</v>
      </c>
      <c r="BO290" s="2">
        <v>88.19</v>
      </c>
      <c r="BQ290" s="2" t="s">
        <v>350</v>
      </c>
      <c r="BR290" s="2" t="s">
        <v>148</v>
      </c>
      <c r="BS290" s="3">
        <v>42884</v>
      </c>
      <c r="BT290" s="4">
        <v>0.33333333333333331</v>
      </c>
      <c r="BU290" s="2" t="s">
        <v>574</v>
      </c>
      <c r="BY290" s="2">
        <v>15190.56</v>
      </c>
      <c r="CC290" s="2" t="s">
        <v>348</v>
      </c>
      <c r="CD290" s="2">
        <v>157</v>
      </c>
      <c r="CE290" s="2" t="s">
        <v>120</v>
      </c>
      <c r="CF290" s="3">
        <v>42885</v>
      </c>
      <c r="CI290" s="2">
        <v>0</v>
      </c>
      <c r="CJ290" s="2">
        <v>0</v>
      </c>
      <c r="CK290" s="2" t="s">
        <v>129</v>
      </c>
      <c r="CL290" s="2" t="s">
        <v>87</v>
      </c>
    </row>
    <row r="291" spans="1:90">
      <c r="A291" s="2" t="s">
        <v>88</v>
      </c>
      <c r="B291" s="2" t="s">
        <v>72</v>
      </c>
      <c r="C291" s="2" t="s">
        <v>73</v>
      </c>
      <c r="E291" s="2" t="str">
        <f>"009935802741"</f>
        <v>009935802741</v>
      </c>
      <c r="F291" s="3">
        <v>42881</v>
      </c>
      <c r="G291" s="2">
        <v>201711</v>
      </c>
      <c r="H291" s="2" t="s">
        <v>78</v>
      </c>
      <c r="I291" s="2" t="s">
        <v>79</v>
      </c>
      <c r="J291" s="2" t="s">
        <v>91</v>
      </c>
      <c r="K291" s="2" t="s">
        <v>77</v>
      </c>
      <c r="L291" s="2" t="s">
        <v>124</v>
      </c>
      <c r="M291" s="2" t="s">
        <v>125</v>
      </c>
      <c r="N291" s="2" t="s">
        <v>91</v>
      </c>
      <c r="O291" s="2" t="s">
        <v>95</v>
      </c>
      <c r="P291" s="2" t="str">
        <f t="shared" si="10"/>
        <v xml:space="preserve">      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8.73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3.8</v>
      </c>
      <c r="BJ291" s="2">
        <v>6.1</v>
      </c>
      <c r="BK291" s="2">
        <v>6</v>
      </c>
      <c r="BL291" s="2">
        <v>83.93</v>
      </c>
      <c r="BM291" s="2">
        <v>11.75</v>
      </c>
      <c r="BN291" s="2">
        <v>95.68</v>
      </c>
      <c r="BO291" s="2">
        <v>95.68</v>
      </c>
      <c r="BQ291" s="2" t="s">
        <v>575</v>
      </c>
      <c r="BS291" s="3">
        <v>42884</v>
      </c>
      <c r="BT291" s="4">
        <v>0.33333333333333331</v>
      </c>
      <c r="BU291" s="2" t="s">
        <v>246</v>
      </c>
      <c r="BV291" s="2" t="s">
        <v>85</v>
      </c>
      <c r="BY291" s="2">
        <v>30290.94</v>
      </c>
      <c r="CC291" s="2" t="s">
        <v>125</v>
      </c>
      <c r="CD291" s="2">
        <v>300</v>
      </c>
      <c r="CE291" s="2" t="s">
        <v>120</v>
      </c>
      <c r="CF291" s="3">
        <v>42886</v>
      </c>
      <c r="CI291" s="2">
        <v>1</v>
      </c>
      <c r="CJ291" s="2">
        <v>1</v>
      </c>
      <c r="CK291" s="2" t="s">
        <v>133</v>
      </c>
      <c r="CL291" s="2" t="s">
        <v>87</v>
      </c>
    </row>
    <row r="292" spans="1:90">
      <c r="A292" s="2" t="s">
        <v>71</v>
      </c>
      <c r="B292" s="2" t="s">
        <v>72</v>
      </c>
      <c r="C292" s="2" t="s">
        <v>73</v>
      </c>
      <c r="E292" s="2" t="str">
        <f>"039902658218"</f>
        <v>039902658218</v>
      </c>
      <c r="F292" s="3">
        <v>42881</v>
      </c>
      <c r="G292" s="2">
        <v>201711</v>
      </c>
      <c r="H292" s="2" t="s">
        <v>138</v>
      </c>
      <c r="I292" s="2" t="s">
        <v>139</v>
      </c>
      <c r="J292" s="2" t="s">
        <v>91</v>
      </c>
      <c r="K292" s="2" t="s">
        <v>77</v>
      </c>
      <c r="L292" s="2" t="s">
        <v>327</v>
      </c>
      <c r="M292" s="2" t="s">
        <v>328</v>
      </c>
      <c r="N292" s="2" t="s">
        <v>76</v>
      </c>
      <c r="O292" s="2" t="s">
        <v>95</v>
      </c>
      <c r="P292" s="2" t="str">
        <f>"0000                          "</f>
        <v xml:space="preserve">0000      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8.01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</v>
      </c>
      <c r="BI292" s="2">
        <v>1</v>
      </c>
      <c r="BJ292" s="2">
        <v>0.2</v>
      </c>
      <c r="BK292" s="2">
        <v>1</v>
      </c>
      <c r="BL292" s="2">
        <v>77.36</v>
      </c>
      <c r="BM292" s="2">
        <v>10.83</v>
      </c>
      <c r="BN292" s="2">
        <v>88.19</v>
      </c>
      <c r="BO292" s="2">
        <v>88.19</v>
      </c>
      <c r="BQ292" s="2" t="s">
        <v>245</v>
      </c>
      <c r="BR292" s="2" t="s">
        <v>188</v>
      </c>
      <c r="BS292" s="3">
        <v>42884</v>
      </c>
      <c r="BT292" s="4">
        <v>0.39583333333333331</v>
      </c>
      <c r="BU292" s="2" t="s">
        <v>331</v>
      </c>
      <c r="BV292" s="2" t="s">
        <v>85</v>
      </c>
      <c r="BY292" s="2">
        <v>1200</v>
      </c>
      <c r="CA292" s="2" t="s">
        <v>456</v>
      </c>
      <c r="CC292" s="2" t="s">
        <v>328</v>
      </c>
      <c r="CD292" s="2">
        <v>9700</v>
      </c>
      <c r="CE292" s="2" t="s">
        <v>120</v>
      </c>
      <c r="CF292" s="3">
        <v>42884</v>
      </c>
      <c r="CI292" s="2">
        <v>1</v>
      </c>
      <c r="CJ292" s="2">
        <v>1</v>
      </c>
      <c r="CK292" s="2" t="s">
        <v>129</v>
      </c>
      <c r="CL292" s="2" t="s">
        <v>87</v>
      </c>
    </row>
    <row r="293" spans="1:90">
      <c r="A293" s="2" t="s">
        <v>88</v>
      </c>
      <c r="B293" s="2" t="s">
        <v>72</v>
      </c>
      <c r="C293" s="2" t="s">
        <v>73</v>
      </c>
      <c r="E293" s="2" t="str">
        <f>"089901340944"</f>
        <v>089901340944</v>
      </c>
      <c r="F293" s="3">
        <v>42884</v>
      </c>
      <c r="G293" s="2">
        <v>201711</v>
      </c>
      <c r="H293" s="2" t="s">
        <v>327</v>
      </c>
      <c r="I293" s="2" t="s">
        <v>328</v>
      </c>
      <c r="J293" s="2" t="s">
        <v>91</v>
      </c>
      <c r="K293" s="2" t="s">
        <v>77</v>
      </c>
      <c r="L293" s="2" t="s">
        <v>138</v>
      </c>
      <c r="M293" s="2" t="s">
        <v>139</v>
      </c>
      <c r="N293" s="2" t="s">
        <v>91</v>
      </c>
      <c r="O293" s="2" t="s">
        <v>95</v>
      </c>
      <c r="P293" s="2" t="str">
        <f>"                              "</f>
        <v xml:space="preserve">      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8.01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1</v>
      </c>
      <c r="BJ293" s="2">
        <v>0.2</v>
      </c>
      <c r="BK293" s="2">
        <v>1</v>
      </c>
      <c r="BL293" s="2">
        <v>77.36</v>
      </c>
      <c r="BM293" s="2">
        <v>10.83</v>
      </c>
      <c r="BN293" s="2">
        <v>88.19</v>
      </c>
      <c r="BO293" s="2">
        <v>88.19</v>
      </c>
      <c r="BQ293" s="2" t="s">
        <v>140</v>
      </c>
      <c r="BR293" s="2" t="s">
        <v>245</v>
      </c>
      <c r="BS293" s="3">
        <v>42885</v>
      </c>
      <c r="BT293" s="4">
        <v>0.39930555555555558</v>
      </c>
      <c r="BU293" s="2" t="s">
        <v>287</v>
      </c>
      <c r="BV293" s="2" t="s">
        <v>85</v>
      </c>
      <c r="BY293" s="2">
        <v>1200</v>
      </c>
      <c r="CC293" s="2" t="s">
        <v>139</v>
      </c>
      <c r="CD293" s="2">
        <v>9300</v>
      </c>
      <c r="CE293" s="2" t="s">
        <v>120</v>
      </c>
      <c r="CF293" s="3">
        <v>42886</v>
      </c>
      <c r="CI293" s="2">
        <v>1</v>
      </c>
      <c r="CJ293" s="2">
        <v>1</v>
      </c>
      <c r="CK293" s="2" t="s">
        <v>129</v>
      </c>
      <c r="CL293" s="2" t="s">
        <v>87</v>
      </c>
    </row>
    <row r="294" spans="1:90">
      <c r="A294" s="2" t="s">
        <v>88</v>
      </c>
      <c r="B294" s="2" t="s">
        <v>72</v>
      </c>
      <c r="C294" s="2" t="s">
        <v>73</v>
      </c>
      <c r="E294" s="2" t="str">
        <f>"009936372464"</f>
        <v>009936372464</v>
      </c>
      <c r="F294" s="3">
        <v>42884</v>
      </c>
      <c r="G294" s="2">
        <v>201711</v>
      </c>
      <c r="H294" s="2" t="s">
        <v>192</v>
      </c>
      <c r="I294" s="2" t="s">
        <v>193</v>
      </c>
      <c r="J294" s="2" t="s">
        <v>91</v>
      </c>
      <c r="K294" s="2" t="s">
        <v>77</v>
      </c>
      <c r="L294" s="2" t="s">
        <v>78</v>
      </c>
      <c r="M294" s="2" t="s">
        <v>79</v>
      </c>
      <c r="N294" s="2" t="s">
        <v>91</v>
      </c>
      <c r="O294" s="2" t="s">
        <v>95</v>
      </c>
      <c r="P294" s="2" t="str">
        <f>"                              "</f>
        <v xml:space="preserve">      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37.69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2</v>
      </c>
      <c r="BI294" s="2">
        <v>25</v>
      </c>
      <c r="BJ294" s="2">
        <v>84</v>
      </c>
      <c r="BK294" s="2">
        <v>84</v>
      </c>
      <c r="BL294" s="2">
        <v>345.65</v>
      </c>
      <c r="BM294" s="2">
        <v>48.39</v>
      </c>
      <c r="BN294" s="2">
        <v>394.04</v>
      </c>
      <c r="BO294" s="2">
        <v>394.04</v>
      </c>
      <c r="BR294" s="2" t="s">
        <v>202</v>
      </c>
      <c r="BS294" s="3">
        <v>42885</v>
      </c>
      <c r="BT294" s="4">
        <v>0.45833333333333331</v>
      </c>
      <c r="BU294" s="2" t="s">
        <v>98</v>
      </c>
      <c r="BY294" s="2">
        <v>420000</v>
      </c>
      <c r="CC294" s="2" t="s">
        <v>79</v>
      </c>
      <c r="CD294" s="2">
        <v>2000</v>
      </c>
      <c r="CE294" s="2" t="s">
        <v>120</v>
      </c>
      <c r="CF294" s="3">
        <v>42886</v>
      </c>
      <c r="CI294" s="2">
        <v>0</v>
      </c>
      <c r="CJ294" s="2">
        <v>0</v>
      </c>
      <c r="CK294" s="2" t="s">
        <v>104</v>
      </c>
      <c r="CL294" s="2" t="s">
        <v>87</v>
      </c>
    </row>
    <row r="295" spans="1:90">
      <c r="A295" s="2" t="s">
        <v>88</v>
      </c>
      <c r="B295" s="2" t="s">
        <v>72</v>
      </c>
      <c r="C295" s="2" t="s">
        <v>73</v>
      </c>
      <c r="E295" s="2" t="str">
        <f>"009936222256"</f>
        <v>009936222256</v>
      </c>
      <c r="F295" s="3">
        <v>42884</v>
      </c>
      <c r="G295" s="2">
        <v>201711</v>
      </c>
      <c r="H295" s="2" t="s">
        <v>124</v>
      </c>
      <c r="I295" s="2" t="s">
        <v>125</v>
      </c>
      <c r="J295" s="2" t="s">
        <v>126</v>
      </c>
      <c r="K295" s="2" t="s">
        <v>77</v>
      </c>
      <c r="L295" s="2" t="s">
        <v>78</v>
      </c>
      <c r="M295" s="2" t="s">
        <v>79</v>
      </c>
      <c r="N295" s="2" t="s">
        <v>576</v>
      </c>
      <c r="O295" s="2" t="s">
        <v>95</v>
      </c>
      <c r="P295" s="2" t="str">
        <f>"PARTS                         "</f>
        <v xml:space="preserve">PARTS 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47.61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5</v>
      </c>
      <c r="BI295" s="2">
        <v>175</v>
      </c>
      <c r="BJ295" s="2">
        <v>79.8</v>
      </c>
      <c r="BK295" s="2">
        <v>175</v>
      </c>
      <c r="BL295" s="2">
        <v>435.36</v>
      </c>
      <c r="BM295" s="2">
        <v>60.95</v>
      </c>
      <c r="BN295" s="2">
        <v>496.31</v>
      </c>
      <c r="BO295" s="2">
        <v>496.31</v>
      </c>
      <c r="BQ295" s="2" t="s">
        <v>127</v>
      </c>
      <c r="BR295" s="2" t="s">
        <v>128</v>
      </c>
      <c r="BS295" s="3">
        <v>42885</v>
      </c>
      <c r="BT295" s="4">
        <v>0.45833333333333331</v>
      </c>
      <c r="BU295" s="2" t="s">
        <v>98</v>
      </c>
      <c r="BV295" s="2" t="s">
        <v>85</v>
      </c>
      <c r="BY295" s="2">
        <v>398825</v>
      </c>
      <c r="CC295" s="2" t="s">
        <v>79</v>
      </c>
      <c r="CD295" s="2">
        <v>2000</v>
      </c>
      <c r="CE295" s="2" t="s">
        <v>120</v>
      </c>
      <c r="CF295" s="3">
        <v>42886</v>
      </c>
      <c r="CI295" s="2">
        <v>1</v>
      </c>
      <c r="CJ295" s="2">
        <v>1</v>
      </c>
      <c r="CK295" s="2" t="s">
        <v>129</v>
      </c>
      <c r="CL295" s="2" t="s">
        <v>87</v>
      </c>
    </row>
    <row r="296" spans="1:90">
      <c r="A296" s="2" t="s">
        <v>88</v>
      </c>
      <c r="B296" s="2" t="s">
        <v>72</v>
      </c>
      <c r="C296" s="2" t="s">
        <v>73</v>
      </c>
      <c r="E296" s="2" t="str">
        <f>"009935903638"</f>
        <v>009935903638</v>
      </c>
      <c r="F296" s="3">
        <v>42884</v>
      </c>
      <c r="G296" s="2">
        <v>201711</v>
      </c>
      <c r="H296" s="2" t="s">
        <v>111</v>
      </c>
      <c r="I296" s="2" t="s">
        <v>112</v>
      </c>
      <c r="J296" s="2" t="s">
        <v>147</v>
      </c>
      <c r="K296" s="2" t="s">
        <v>77</v>
      </c>
      <c r="L296" s="2" t="s">
        <v>577</v>
      </c>
      <c r="M296" s="2" t="s">
        <v>578</v>
      </c>
      <c r="N296" s="2" t="s">
        <v>579</v>
      </c>
      <c r="O296" s="2" t="s">
        <v>95</v>
      </c>
      <c r="P296" s="2" t="str">
        <f>"                              "</f>
        <v xml:space="preserve">      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11.35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3</v>
      </c>
      <c r="BJ296" s="2">
        <v>3.8</v>
      </c>
      <c r="BK296" s="2">
        <v>4</v>
      </c>
      <c r="BL296" s="2">
        <v>107.61</v>
      </c>
      <c r="BM296" s="2">
        <v>15.07</v>
      </c>
      <c r="BN296" s="2">
        <v>122.68</v>
      </c>
      <c r="BO296" s="2">
        <v>122.68</v>
      </c>
      <c r="BQ296" s="2" t="s">
        <v>578</v>
      </c>
      <c r="BR296" s="2" t="s">
        <v>123</v>
      </c>
      <c r="BS296" s="3">
        <v>42885</v>
      </c>
      <c r="BT296" s="4">
        <v>0.42777777777777781</v>
      </c>
      <c r="BU296" s="2" t="s">
        <v>580</v>
      </c>
      <c r="BV296" s="2" t="s">
        <v>85</v>
      </c>
      <c r="BY296" s="2">
        <v>19200</v>
      </c>
      <c r="CC296" s="2" t="s">
        <v>578</v>
      </c>
      <c r="CD296" s="2">
        <v>1095</v>
      </c>
      <c r="CE296" s="2" t="s">
        <v>120</v>
      </c>
      <c r="CF296" s="3">
        <v>42886</v>
      </c>
      <c r="CI296" s="2">
        <v>3</v>
      </c>
      <c r="CJ296" s="2">
        <v>1</v>
      </c>
      <c r="CK296" s="2" t="s">
        <v>99</v>
      </c>
      <c r="CL296" s="2" t="s">
        <v>87</v>
      </c>
    </row>
    <row r="297" spans="1:90">
      <c r="A297" s="2" t="s">
        <v>88</v>
      </c>
      <c r="B297" s="2" t="s">
        <v>72</v>
      </c>
      <c r="C297" s="2" t="s">
        <v>73</v>
      </c>
      <c r="E297" s="2" t="str">
        <f>"019910366951"</f>
        <v>019910366951</v>
      </c>
      <c r="F297" s="3">
        <v>42884</v>
      </c>
      <c r="G297" s="2">
        <v>201711</v>
      </c>
      <c r="H297" s="2" t="s">
        <v>105</v>
      </c>
      <c r="I297" s="2" t="s">
        <v>106</v>
      </c>
      <c r="J297" s="2" t="s">
        <v>91</v>
      </c>
      <c r="K297" s="2" t="s">
        <v>77</v>
      </c>
      <c r="L297" s="2" t="s">
        <v>158</v>
      </c>
      <c r="M297" s="2" t="s">
        <v>159</v>
      </c>
      <c r="N297" s="2" t="s">
        <v>91</v>
      </c>
      <c r="O297" s="2" t="s">
        <v>95</v>
      </c>
      <c r="P297" s="2" t="str">
        <f>"CPT1705460745                 "</f>
        <v xml:space="preserve">CPT1705460745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107.87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6</v>
      </c>
      <c r="BI297" s="2">
        <v>188.8</v>
      </c>
      <c r="BJ297" s="2">
        <v>255.9</v>
      </c>
      <c r="BK297" s="2">
        <v>256</v>
      </c>
      <c r="BL297" s="2">
        <v>979.99</v>
      </c>
      <c r="BM297" s="2">
        <v>137.19999999999999</v>
      </c>
      <c r="BN297" s="2">
        <v>1117.19</v>
      </c>
      <c r="BO297" s="2">
        <v>1117.19</v>
      </c>
      <c r="BQ297" s="2" t="s">
        <v>100</v>
      </c>
      <c r="BR297" s="2" t="s">
        <v>109</v>
      </c>
      <c r="BS297" s="3">
        <v>42886</v>
      </c>
      <c r="BT297" s="4">
        <v>0.66041666666666665</v>
      </c>
      <c r="BU297" s="2" t="s">
        <v>98</v>
      </c>
      <c r="BV297" s="2" t="s">
        <v>85</v>
      </c>
      <c r="BY297" s="2">
        <v>1279662.47</v>
      </c>
      <c r="CC297" s="2" t="s">
        <v>159</v>
      </c>
      <c r="CD297" s="2">
        <v>2146</v>
      </c>
      <c r="CE297" s="2" t="s">
        <v>120</v>
      </c>
      <c r="CI297" s="2">
        <v>2</v>
      </c>
      <c r="CJ297" s="2">
        <v>2</v>
      </c>
      <c r="CK297" s="2" t="s">
        <v>104</v>
      </c>
      <c r="CL297" s="2" t="s">
        <v>87</v>
      </c>
    </row>
    <row r="298" spans="1:90">
      <c r="A298" s="2" t="s">
        <v>88</v>
      </c>
      <c r="B298" s="2" t="s">
        <v>72</v>
      </c>
      <c r="C298" s="2" t="s">
        <v>73</v>
      </c>
      <c r="E298" s="2" t="str">
        <f>"009935903637"</f>
        <v>009935903637</v>
      </c>
      <c r="F298" s="3">
        <v>42884</v>
      </c>
      <c r="G298" s="2">
        <v>201711</v>
      </c>
      <c r="H298" s="2" t="s">
        <v>111</v>
      </c>
      <c r="I298" s="2" t="s">
        <v>112</v>
      </c>
      <c r="J298" s="2" t="s">
        <v>147</v>
      </c>
      <c r="K298" s="2" t="s">
        <v>77</v>
      </c>
      <c r="L298" s="2" t="s">
        <v>78</v>
      </c>
      <c r="M298" s="2" t="s">
        <v>79</v>
      </c>
      <c r="N298" s="2" t="s">
        <v>91</v>
      </c>
      <c r="O298" s="2" t="s">
        <v>95</v>
      </c>
      <c r="P298" s="2" t="str">
        <f t="shared" ref="P298:P319" si="11">"                              "</f>
        <v xml:space="preserve">      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13.7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1</v>
      </c>
      <c r="BI298" s="2">
        <v>22</v>
      </c>
      <c r="BJ298" s="2">
        <v>37.9</v>
      </c>
      <c r="BK298" s="2">
        <v>38</v>
      </c>
      <c r="BL298" s="2">
        <v>128.82</v>
      </c>
      <c r="BM298" s="2">
        <v>18.03</v>
      </c>
      <c r="BN298" s="2">
        <v>146.85</v>
      </c>
      <c r="BO298" s="2">
        <v>146.85</v>
      </c>
      <c r="BQ298" s="2" t="s">
        <v>148</v>
      </c>
      <c r="BR298" s="2" t="s">
        <v>397</v>
      </c>
      <c r="BS298" s="3">
        <v>42885</v>
      </c>
      <c r="BT298" s="4">
        <v>0.45833333333333331</v>
      </c>
      <c r="BU298" s="2" t="s">
        <v>98</v>
      </c>
      <c r="BV298" s="2" t="s">
        <v>85</v>
      </c>
      <c r="BY298" s="2">
        <v>189440</v>
      </c>
      <c r="CC298" s="2" t="s">
        <v>79</v>
      </c>
      <c r="CD298" s="2">
        <v>2000</v>
      </c>
      <c r="CE298" s="2" t="s">
        <v>120</v>
      </c>
      <c r="CF298" s="3">
        <v>42886</v>
      </c>
      <c r="CI298" s="2">
        <v>1</v>
      </c>
      <c r="CJ298" s="2">
        <v>1</v>
      </c>
      <c r="CK298" s="2" t="s">
        <v>129</v>
      </c>
      <c r="CL298" s="2" t="s">
        <v>87</v>
      </c>
    </row>
    <row r="299" spans="1:90">
      <c r="A299" s="2" t="s">
        <v>88</v>
      </c>
      <c r="B299" s="2" t="s">
        <v>72</v>
      </c>
      <c r="C299" s="2" t="s">
        <v>73</v>
      </c>
      <c r="E299" s="2" t="str">
        <f>"009936078414"</f>
        <v>009936078414</v>
      </c>
      <c r="F299" s="3">
        <v>42881</v>
      </c>
      <c r="G299" s="2">
        <v>201711</v>
      </c>
      <c r="H299" s="2" t="s">
        <v>78</v>
      </c>
      <c r="I299" s="2" t="s">
        <v>79</v>
      </c>
      <c r="J299" s="2" t="s">
        <v>91</v>
      </c>
      <c r="K299" s="2" t="s">
        <v>77</v>
      </c>
      <c r="L299" s="2" t="s">
        <v>186</v>
      </c>
      <c r="M299" s="2" t="s">
        <v>106</v>
      </c>
      <c r="N299" s="2" t="s">
        <v>91</v>
      </c>
      <c r="O299" s="2" t="s">
        <v>95</v>
      </c>
      <c r="P299" s="2" t="str">
        <f t="shared" si="11"/>
        <v xml:space="preserve">              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109.91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7</v>
      </c>
      <c r="BI299" s="2">
        <v>182.3</v>
      </c>
      <c r="BJ299" s="2">
        <v>260.60000000000002</v>
      </c>
      <c r="BK299" s="2">
        <v>261</v>
      </c>
      <c r="BL299" s="2">
        <v>998.43</v>
      </c>
      <c r="BM299" s="2">
        <v>139.78</v>
      </c>
      <c r="BN299" s="2">
        <v>1138.21</v>
      </c>
      <c r="BO299" s="2">
        <v>1138.21</v>
      </c>
      <c r="BQ299" s="2" t="s">
        <v>109</v>
      </c>
      <c r="BR299" s="2" t="s">
        <v>581</v>
      </c>
      <c r="BS299" s="3">
        <v>42884</v>
      </c>
      <c r="BT299" s="4">
        <v>0.41944444444444445</v>
      </c>
      <c r="BU299" s="2" t="s">
        <v>187</v>
      </c>
      <c r="BV299" s="2" t="s">
        <v>85</v>
      </c>
      <c r="BY299" s="2">
        <v>1302989.3999999999</v>
      </c>
      <c r="CA299" s="2" t="s">
        <v>208</v>
      </c>
      <c r="CC299" s="2" t="s">
        <v>106</v>
      </c>
      <c r="CD299" s="2">
        <v>7700</v>
      </c>
      <c r="CE299" s="2" t="s">
        <v>120</v>
      </c>
      <c r="CF299" s="3">
        <v>42884</v>
      </c>
      <c r="CI299" s="2">
        <v>2</v>
      </c>
      <c r="CJ299" s="2">
        <v>1</v>
      </c>
      <c r="CK299" s="2" t="s">
        <v>104</v>
      </c>
      <c r="CL299" s="2" t="s">
        <v>87</v>
      </c>
    </row>
    <row r="300" spans="1:90">
      <c r="A300" s="2" t="s">
        <v>88</v>
      </c>
      <c r="B300" s="2" t="s">
        <v>72</v>
      </c>
      <c r="C300" s="2" t="s">
        <v>73</v>
      </c>
      <c r="E300" s="2" t="str">
        <f>"009935903636"</f>
        <v>009935903636</v>
      </c>
      <c r="F300" s="3">
        <v>42884</v>
      </c>
      <c r="G300" s="2">
        <v>201711</v>
      </c>
      <c r="H300" s="2" t="s">
        <v>111</v>
      </c>
      <c r="I300" s="2" t="s">
        <v>112</v>
      </c>
      <c r="J300" s="2" t="s">
        <v>147</v>
      </c>
      <c r="K300" s="2" t="s">
        <v>77</v>
      </c>
      <c r="L300" s="2" t="s">
        <v>242</v>
      </c>
      <c r="M300" s="2" t="s">
        <v>170</v>
      </c>
      <c r="N300" s="2" t="s">
        <v>91</v>
      </c>
      <c r="O300" s="2" t="s">
        <v>95</v>
      </c>
      <c r="P300" s="2" t="str">
        <f t="shared" si="11"/>
        <v xml:space="preserve">            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9.5299999999999994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2</v>
      </c>
      <c r="BI300" s="2">
        <v>13</v>
      </c>
      <c r="BJ300" s="2">
        <v>7.8</v>
      </c>
      <c r="BK300" s="2">
        <v>13</v>
      </c>
      <c r="BL300" s="2">
        <v>91.17</v>
      </c>
      <c r="BM300" s="2">
        <v>12.76</v>
      </c>
      <c r="BN300" s="2">
        <v>103.93</v>
      </c>
      <c r="BO300" s="2">
        <v>103.93</v>
      </c>
      <c r="BQ300" s="2" t="s">
        <v>582</v>
      </c>
      <c r="BR300" s="2" t="s">
        <v>397</v>
      </c>
      <c r="BS300" s="3">
        <v>42885</v>
      </c>
      <c r="BT300" s="4">
        <v>0.63541666666666663</v>
      </c>
      <c r="BU300" s="2" t="s">
        <v>204</v>
      </c>
      <c r="BV300" s="2" t="s">
        <v>85</v>
      </c>
      <c r="BY300" s="2">
        <v>39000</v>
      </c>
      <c r="CC300" s="2" t="s">
        <v>170</v>
      </c>
      <c r="CD300" s="2">
        <v>1200</v>
      </c>
      <c r="CE300" s="2" t="s">
        <v>120</v>
      </c>
      <c r="CF300" s="3">
        <v>42886</v>
      </c>
      <c r="CI300" s="2">
        <v>1</v>
      </c>
      <c r="CJ300" s="2">
        <v>1</v>
      </c>
      <c r="CK300" s="2" t="s">
        <v>104</v>
      </c>
      <c r="CL300" s="2" t="s">
        <v>87</v>
      </c>
    </row>
    <row r="301" spans="1:90">
      <c r="A301" s="2" t="s">
        <v>71</v>
      </c>
      <c r="B301" s="2" t="s">
        <v>72</v>
      </c>
      <c r="C301" s="2" t="s">
        <v>73</v>
      </c>
      <c r="E301" s="2" t="str">
        <f>"039902658219"</f>
        <v>039902658219</v>
      </c>
      <c r="F301" s="3">
        <v>42881</v>
      </c>
      <c r="G301" s="2">
        <v>201711</v>
      </c>
      <c r="H301" s="2" t="s">
        <v>138</v>
      </c>
      <c r="I301" s="2" t="s">
        <v>139</v>
      </c>
      <c r="J301" s="2" t="s">
        <v>91</v>
      </c>
      <c r="K301" s="2" t="s">
        <v>77</v>
      </c>
      <c r="L301" s="2" t="s">
        <v>78</v>
      </c>
      <c r="M301" s="2" t="s">
        <v>79</v>
      </c>
      <c r="N301" s="2" t="s">
        <v>76</v>
      </c>
      <c r="O301" s="2" t="s">
        <v>95</v>
      </c>
      <c r="P301" s="2" t="str">
        <f t="shared" si="11"/>
        <v xml:space="preserve">            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8.73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1</v>
      </c>
      <c r="BI301" s="2">
        <v>1</v>
      </c>
      <c r="BJ301" s="2">
        <v>0.2</v>
      </c>
      <c r="BK301" s="2">
        <v>1</v>
      </c>
      <c r="BL301" s="2">
        <v>83.93</v>
      </c>
      <c r="BM301" s="2">
        <v>11.75</v>
      </c>
      <c r="BN301" s="2">
        <v>95.68</v>
      </c>
      <c r="BO301" s="2">
        <v>95.68</v>
      </c>
      <c r="BQ301" s="2" t="s">
        <v>385</v>
      </c>
      <c r="BR301" s="2" t="s">
        <v>268</v>
      </c>
      <c r="BS301" s="3">
        <v>42884</v>
      </c>
      <c r="BT301" s="4">
        <v>0.43263888888888885</v>
      </c>
      <c r="BU301" s="2" t="s">
        <v>223</v>
      </c>
      <c r="BV301" s="2" t="s">
        <v>85</v>
      </c>
      <c r="BY301" s="2">
        <v>1200</v>
      </c>
      <c r="CC301" s="2" t="s">
        <v>79</v>
      </c>
      <c r="CD301" s="2">
        <v>2000</v>
      </c>
      <c r="CE301" s="2" t="s">
        <v>120</v>
      </c>
      <c r="CF301" s="3">
        <v>42885</v>
      </c>
      <c r="CI301" s="2">
        <v>1</v>
      </c>
      <c r="CJ301" s="2">
        <v>1</v>
      </c>
      <c r="CK301" s="2" t="s">
        <v>133</v>
      </c>
      <c r="CL301" s="2" t="s">
        <v>87</v>
      </c>
    </row>
    <row r="302" spans="1:90">
      <c r="A302" s="2" t="s">
        <v>88</v>
      </c>
      <c r="B302" s="2" t="s">
        <v>72</v>
      </c>
      <c r="C302" s="2" t="s">
        <v>73</v>
      </c>
      <c r="E302" s="2" t="str">
        <f>"009935473911"</f>
        <v>009935473911</v>
      </c>
      <c r="F302" s="3">
        <v>42884</v>
      </c>
      <c r="G302" s="2">
        <v>201711</v>
      </c>
      <c r="H302" s="2" t="s">
        <v>78</v>
      </c>
      <c r="I302" s="2" t="s">
        <v>79</v>
      </c>
      <c r="J302" s="2" t="s">
        <v>91</v>
      </c>
      <c r="K302" s="2" t="s">
        <v>77</v>
      </c>
      <c r="L302" s="2" t="s">
        <v>249</v>
      </c>
      <c r="M302" s="2" t="s">
        <v>250</v>
      </c>
      <c r="N302" s="2" t="s">
        <v>91</v>
      </c>
      <c r="O302" s="2" t="s">
        <v>81</v>
      </c>
      <c r="P302" s="2" t="str">
        <f t="shared" si="11"/>
        <v xml:space="preserve">                              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9.02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1</v>
      </c>
      <c r="BI302" s="2">
        <v>0.7</v>
      </c>
      <c r="BJ302" s="2">
        <v>1</v>
      </c>
      <c r="BK302" s="2">
        <v>1</v>
      </c>
      <c r="BL302" s="2">
        <v>81.56</v>
      </c>
      <c r="BM302" s="2">
        <v>11.42</v>
      </c>
      <c r="BN302" s="2">
        <v>92.98</v>
      </c>
      <c r="BO302" s="2">
        <v>92.98</v>
      </c>
      <c r="BQ302" s="2" t="s">
        <v>252</v>
      </c>
      <c r="BR302" s="2" t="s">
        <v>122</v>
      </c>
      <c r="BS302" s="3">
        <v>42885</v>
      </c>
      <c r="BT302" s="4">
        <v>0.60138888888888886</v>
      </c>
      <c r="BU302" s="2" t="s">
        <v>583</v>
      </c>
      <c r="BV302" s="2" t="s">
        <v>85</v>
      </c>
      <c r="BY302" s="2">
        <v>4854.1400000000003</v>
      </c>
      <c r="BZ302" s="2" t="s">
        <v>27</v>
      </c>
      <c r="CC302" s="2" t="s">
        <v>250</v>
      </c>
      <c r="CD302" s="2">
        <v>4252</v>
      </c>
      <c r="CE302" s="2" t="s">
        <v>120</v>
      </c>
      <c r="CF302" s="3">
        <v>42886</v>
      </c>
      <c r="CI302" s="2">
        <v>1</v>
      </c>
      <c r="CJ302" s="2">
        <v>1</v>
      </c>
      <c r="CK302" s="2">
        <v>23</v>
      </c>
      <c r="CL302" s="2" t="s">
        <v>87</v>
      </c>
    </row>
    <row r="303" spans="1:90">
      <c r="A303" s="2" t="s">
        <v>88</v>
      </c>
      <c r="B303" s="2" t="s">
        <v>72</v>
      </c>
      <c r="C303" s="2" t="s">
        <v>73</v>
      </c>
      <c r="E303" s="2" t="str">
        <f>"009935613984"</f>
        <v>009935613984</v>
      </c>
      <c r="F303" s="3">
        <v>42884</v>
      </c>
      <c r="G303" s="2">
        <v>201711</v>
      </c>
      <c r="H303" s="2" t="s">
        <v>78</v>
      </c>
      <c r="I303" s="2" t="s">
        <v>79</v>
      </c>
      <c r="J303" s="2" t="s">
        <v>91</v>
      </c>
      <c r="K303" s="2" t="s">
        <v>77</v>
      </c>
      <c r="L303" s="2" t="s">
        <v>243</v>
      </c>
      <c r="M303" s="2" t="s">
        <v>244</v>
      </c>
      <c r="N303" s="2" t="s">
        <v>107</v>
      </c>
      <c r="O303" s="2" t="s">
        <v>81</v>
      </c>
      <c r="P303" s="2" t="str">
        <f t="shared" si="11"/>
        <v xml:space="preserve">                              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9.02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1</v>
      </c>
      <c r="BI303" s="2">
        <v>0.1</v>
      </c>
      <c r="BJ303" s="2">
        <v>0.5</v>
      </c>
      <c r="BK303" s="2">
        <v>0.5</v>
      </c>
      <c r="BL303" s="2">
        <v>81.56</v>
      </c>
      <c r="BM303" s="2">
        <v>11.42</v>
      </c>
      <c r="BN303" s="2">
        <v>92.98</v>
      </c>
      <c r="BO303" s="2">
        <v>92.98</v>
      </c>
      <c r="BQ303" s="2" t="s">
        <v>541</v>
      </c>
      <c r="BS303" s="3">
        <v>42885</v>
      </c>
      <c r="BT303" s="4">
        <v>0.43472222222222223</v>
      </c>
      <c r="BU303" s="2" t="s">
        <v>245</v>
      </c>
      <c r="BV303" s="2" t="s">
        <v>85</v>
      </c>
      <c r="BY303" s="2">
        <v>2437.59</v>
      </c>
      <c r="BZ303" s="2" t="s">
        <v>27</v>
      </c>
      <c r="CC303" s="2" t="s">
        <v>244</v>
      </c>
      <c r="CD303" s="2">
        <v>8600</v>
      </c>
      <c r="CE303" s="2" t="s">
        <v>120</v>
      </c>
      <c r="CI303" s="2">
        <v>3</v>
      </c>
      <c r="CJ303" s="2">
        <v>1</v>
      </c>
      <c r="CK303" s="2">
        <v>23</v>
      </c>
      <c r="CL303" s="2" t="s">
        <v>87</v>
      </c>
    </row>
    <row r="304" spans="1:90">
      <c r="A304" s="2" t="s">
        <v>88</v>
      </c>
      <c r="B304" s="2" t="s">
        <v>72</v>
      </c>
      <c r="C304" s="2" t="s">
        <v>73</v>
      </c>
      <c r="E304" s="2" t="str">
        <f>"009934949890"</f>
        <v>009934949890</v>
      </c>
      <c r="F304" s="3">
        <v>42884</v>
      </c>
      <c r="G304" s="2">
        <v>201711</v>
      </c>
      <c r="H304" s="2" t="s">
        <v>78</v>
      </c>
      <c r="I304" s="2" t="s">
        <v>79</v>
      </c>
      <c r="J304" s="2" t="s">
        <v>91</v>
      </c>
      <c r="K304" s="2" t="s">
        <v>77</v>
      </c>
      <c r="L304" s="2" t="s">
        <v>151</v>
      </c>
      <c r="M304" s="2" t="s">
        <v>152</v>
      </c>
      <c r="N304" s="2" t="s">
        <v>91</v>
      </c>
      <c r="O304" s="2" t="s">
        <v>81</v>
      </c>
      <c r="P304" s="2" t="str">
        <f t="shared" si="11"/>
        <v xml:space="preserve">                              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10.48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1</v>
      </c>
      <c r="BI304" s="2">
        <v>4.2</v>
      </c>
      <c r="BJ304" s="2">
        <v>2.7</v>
      </c>
      <c r="BK304" s="2">
        <v>4.5</v>
      </c>
      <c r="BL304" s="2">
        <v>94.72</v>
      </c>
      <c r="BM304" s="2">
        <v>13.26</v>
      </c>
      <c r="BN304" s="2">
        <v>107.98</v>
      </c>
      <c r="BO304" s="2">
        <v>107.98</v>
      </c>
      <c r="BQ304" s="2" t="s">
        <v>153</v>
      </c>
      <c r="BR304" s="2" t="s">
        <v>226</v>
      </c>
      <c r="BS304" s="3">
        <v>42885</v>
      </c>
      <c r="BT304" s="4">
        <v>0.43055555555555558</v>
      </c>
      <c r="BU304" s="2" t="s">
        <v>365</v>
      </c>
      <c r="BV304" s="2" t="s">
        <v>85</v>
      </c>
      <c r="BY304" s="2">
        <v>13605.07</v>
      </c>
      <c r="BZ304" s="2" t="s">
        <v>27</v>
      </c>
      <c r="CC304" s="2" t="s">
        <v>152</v>
      </c>
      <c r="CD304" s="2">
        <v>700</v>
      </c>
      <c r="CE304" s="2" t="s">
        <v>120</v>
      </c>
      <c r="CF304" s="3">
        <v>42886</v>
      </c>
      <c r="CI304" s="2">
        <v>1</v>
      </c>
      <c r="CJ304" s="2">
        <v>1</v>
      </c>
      <c r="CK304" s="2">
        <v>21</v>
      </c>
      <c r="CL304" s="2" t="s">
        <v>87</v>
      </c>
    </row>
    <row r="305" spans="1:90">
      <c r="A305" s="2" t="s">
        <v>88</v>
      </c>
      <c r="B305" s="2" t="s">
        <v>72</v>
      </c>
      <c r="C305" s="2" t="s">
        <v>73</v>
      </c>
      <c r="E305" s="2" t="str">
        <f>"009935957170"</f>
        <v>009935957170</v>
      </c>
      <c r="F305" s="3">
        <v>42884</v>
      </c>
      <c r="G305" s="2">
        <v>201711</v>
      </c>
      <c r="H305" s="2" t="s">
        <v>78</v>
      </c>
      <c r="I305" s="2" t="s">
        <v>79</v>
      </c>
      <c r="J305" s="2" t="s">
        <v>91</v>
      </c>
      <c r="K305" s="2" t="s">
        <v>77</v>
      </c>
      <c r="L305" s="2" t="s">
        <v>111</v>
      </c>
      <c r="M305" s="2" t="s">
        <v>112</v>
      </c>
      <c r="N305" s="2" t="s">
        <v>91</v>
      </c>
      <c r="O305" s="2" t="s">
        <v>81</v>
      </c>
      <c r="P305" s="2" t="str">
        <f t="shared" si="11"/>
        <v xml:space="preserve">                              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6.54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1</v>
      </c>
      <c r="BI305" s="2">
        <v>1.6</v>
      </c>
      <c r="BJ305" s="2">
        <v>1.3</v>
      </c>
      <c r="BK305" s="2">
        <v>2</v>
      </c>
      <c r="BL305" s="2">
        <v>59.1</v>
      </c>
      <c r="BM305" s="2">
        <v>8.27</v>
      </c>
      <c r="BN305" s="2">
        <v>67.37</v>
      </c>
      <c r="BO305" s="2">
        <v>67.37</v>
      </c>
      <c r="BQ305" s="2" t="s">
        <v>121</v>
      </c>
      <c r="BR305" s="2" t="s">
        <v>122</v>
      </c>
      <c r="BS305" s="3">
        <v>42885</v>
      </c>
      <c r="BT305" s="4">
        <v>0.4375</v>
      </c>
      <c r="BU305" s="2" t="s">
        <v>584</v>
      </c>
      <c r="BV305" s="2" t="s">
        <v>85</v>
      </c>
      <c r="BY305" s="2">
        <v>6540.75</v>
      </c>
      <c r="BZ305" s="2" t="s">
        <v>27</v>
      </c>
      <c r="CA305" s="2" t="s">
        <v>175</v>
      </c>
      <c r="CC305" s="2" t="s">
        <v>112</v>
      </c>
      <c r="CD305" s="2">
        <v>1034</v>
      </c>
      <c r="CE305" s="2" t="s">
        <v>120</v>
      </c>
      <c r="CF305" s="3">
        <v>42886</v>
      </c>
      <c r="CI305" s="2">
        <v>1</v>
      </c>
      <c r="CJ305" s="2">
        <v>1</v>
      </c>
      <c r="CK305" s="2">
        <v>24</v>
      </c>
      <c r="CL305" s="2" t="s">
        <v>87</v>
      </c>
    </row>
    <row r="306" spans="1:90">
      <c r="A306" s="2" t="s">
        <v>88</v>
      </c>
      <c r="B306" s="2" t="s">
        <v>72</v>
      </c>
      <c r="C306" s="2" t="s">
        <v>73</v>
      </c>
      <c r="E306" s="2" t="str">
        <f>"009935474220"</f>
        <v>009935474220</v>
      </c>
      <c r="F306" s="3">
        <v>42884</v>
      </c>
      <c r="G306" s="2">
        <v>201711</v>
      </c>
      <c r="H306" s="2" t="s">
        <v>78</v>
      </c>
      <c r="I306" s="2" t="s">
        <v>79</v>
      </c>
      <c r="J306" s="2" t="s">
        <v>91</v>
      </c>
      <c r="K306" s="2" t="s">
        <v>77</v>
      </c>
      <c r="L306" s="2" t="s">
        <v>192</v>
      </c>
      <c r="M306" s="2" t="s">
        <v>193</v>
      </c>
      <c r="N306" s="2" t="s">
        <v>91</v>
      </c>
      <c r="O306" s="2" t="s">
        <v>81</v>
      </c>
      <c r="P306" s="2" t="str">
        <f t="shared" si="11"/>
        <v xml:space="preserve">                              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11.34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1</v>
      </c>
      <c r="BI306" s="2">
        <v>3.4</v>
      </c>
      <c r="BJ306" s="2">
        <v>3.4</v>
      </c>
      <c r="BK306" s="2">
        <v>3.5</v>
      </c>
      <c r="BL306" s="2">
        <v>102.51</v>
      </c>
      <c r="BM306" s="2">
        <v>14.35</v>
      </c>
      <c r="BN306" s="2">
        <v>116.86</v>
      </c>
      <c r="BO306" s="2">
        <v>116.86</v>
      </c>
      <c r="BQ306" s="2" t="s">
        <v>194</v>
      </c>
      <c r="BR306" s="2" t="s">
        <v>122</v>
      </c>
      <c r="BS306" s="3">
        <v>42885</v>
      </c>
      <c r="BT306" s="4">
        <v>0.41666666666666669</v>
      </c>
      <c r="BU306" s="2" t="s">
        <v>194</v>
      </c>
      <c r="BV306" s="2" t="s">
        <v>85</v>
      </c>
      <c r="BY306" s="2">
        <v>17227.2</v>
      </c>
      <c r="BZ306" s="2" t="s">
        <v>27</v>
      </c>
      <c r="CC306" s="2" t="s">
        <v>193</v>
      </c>
      <c r="CD306" s="2">
        <v>450</v>
      </c>
      <c r="CE306" s="2" t="s">
        <v>120</v>
      </c>
      <c r="CF306" s="3">
        <v>42886</v>
      </c>
      <c r="CI306" s="2">
        <v>1</v>
      </c>
      <c r="CJ306" s="2">
        <v>1</v>
      </c>
      <c r="CK306" s="2">
        <v>24</v>
      </c>
      <c r="CL306" s="2" t="s">
        <v>87</v>
      </c>
    </row>
    <row r="307" spans="1:90">
      <c r="A307" s="2" t="s">
        <v>88</v>
      </c>
      <c r="B307" s="2" t="s">
        <v>72</v>
      </c>
      <c r="C307" s="2" t="s">
        <v>73</v>
      </c>
      <c r="E307" s="2" t="str">
        <f>"009935613985"</f>
        <v>009935613985</v>
      </c>
      <c r="F307" s="3">
        <v>42884</v>
      </c>
      <c r="G307" s="2">
        <v>201711</v>
      </c>
      <c r="H307" s="2" t="s">
        <v>78</v>
      </c>
      <c r="I307" s="2" t="s">
        <v>79</v>
      </c>
      <c r="J307" s="2" t="s">
        <v>91</v>
      </c>
      <c r="K307" s="2" t="s">
        <v>77</v>
      </c>
      <c r="L307" s="2" t="s">
        <v>124</v>
      </c>
      <c r="M307" s="2" t="s">
        <v>125</v>
      </c>
      <c r="N307" s="2" t="s">
        <v>107</v>
      </c>
      <c r="O307" s="2" t="s">
        <v>81</v>
      </c>
      <c r="P307" s="2" t="str">
        <f t="shared" si="11"/>
        <v xml:space="preserve">                              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12.94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1</v>
      </c>
      <c r="BI307" s="2">
        <v>4</v>
      </c>
      <c r="BJ307" s="2">
        <v>0.3</v>
      </c>
      <c r="BK307" s="2">
        <v>4</v>
      </c>
      <c r="BL307" s="2">
        <v>116.98</v>
      </c>
      <c r="BM307" s="2">
        <v>16.38</v>
      </c>
      <c r="BN307" s="2">
        <v>133.36000000000001</v>
      </c>
      <c r="BO307" s="2">
        <v>133.36000000000001</v>
      </c>
      <c r="BQ307" s="2" t="s">
        <v>585</v>
      </c>
      <c r="BS307" s="2" t="s">
        <v>471</v>
      </c>
      <c r="BY307" s="2">
        <v>1292</v>
      </c>
      <c r="BZ307" s="2" t="s">
        <v>27</v>
      </c>
      <c r="CC307" s="2" t="s">
        <v>125</v>
      </c>
      <c r="CD307" s="2">
        <v>300</v>
      </c>
      <c r="CE307" s="2" t="s">
        <v>110</v>
      </c>
      <c r="CI307" s="2">
        <v>1</v>
      </c>
      <c r="CJ307" s="2" t="s">
        <v>471</v>
      </c>
      <c r="CK307" s="2">
        <v>24</v>
      </c>
      <c r="CL307" s="2" t="s">
        <v>87</v>
      </c>
    </row>
    <row r="308" spans="1:90">
      <c r="A308" s="2" t="s">
        <v>88</v>
      </c>
      <c r="B308" s="2" t="s">
        <v>72</v>
      </c>
      <c r="C308" s="2" t="s">
        <v>73</v>
      </c>
      <c r="E308" s="2" t="str">
        <f>"009936002675"</f>
        <v>009936002675</v>
      </c>
      <c r="F308" s="3">
        <v>42884</v>
      </c>
      <c r="G308" s="2">
        <v>201711</v>
      </c>
      <c r="H308" s="2" t="s">
        <v>78</v>
      </c>
      <c r="I308" s="2" t="s">
        <v>79</v>
      </c>
      <c r="J308" s="2" t="s">
        <v>91</v>
      </c>
      <c r="K308" s="2" t="s">
        <v>77</v>
      </c>
      <c r="L308" s="2" t="s">
        <v>176</v>
      </c>
      <c r="M308" s="2" t="s">
        <v>177</v>
      </c>
      <c r="N308" s="2" t="s">
        <v>91</v>
      </c>
      <c r="O308" s="2" t="s">
        <v>81</v>
      </c>
      <c r="P308" s="2" t="str">
        <f t="shared" si="11"/>
        <v xml:space="preserve">                              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4.66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1</v>
      </c>
      <c r="BI308" s="2">
        <v>1</v>
      </c>
      <c r="BJ308" s="2">
        <v>0.3</v>
      </c>
      <c r="BK308" s="2">
        <v>1</v>
      </c>
      <c r="BL308" s="2">
        <v>42.1</v>
      </c>
      <c r="BM308" s="2">
        <v>5.89</v>
      </c>
      <c r="BN308" s="2">
        <v>47.99</v>
      </c>
      <c r="BO308" s="2">
        <v>47.99</v>
      </c>
      <c r="BQ308" s="2" t="s">
        <v>178</v>
      </c>
      <c r="BR308" s="2" t="s">
        <v>122</v>
      </c>
      <c r="BS308" s="3">
        <v>42885</v>
      </c>
      <c r="BT308" s="4">
        <v>0.37847222222222227</v>
      </c>
      <c r="BU308" s="2" t="s">
        <v>586</v>
      </c>
      <c r="BV308" s="2" t="s">
        <v>85</v>
      </c>
      <c r="BY308" s="2">
        <v>1292</v>
      </c>
      <c r="BZ308" s="2" t="s">
        <v>27</v>
      </c>
      <c r="CC308" s="2" t="s">
        <v>177</v>
      </c>
      <c r="CD308" s="2">
        <v>4091</v>
      </c>
      <c r="CE308" s="2" t="s">
        <v>110</v>
      </c>
      <c r="CF308" s="3">
        <v>42887</v>
      </c>
      <c r="CI308" s="2">
        <v>1</v>
      </c>
      <c r="CJ308" s="2">
        <v>1</v>
      </c>
      <c r="CK308" s="2">
        <v>21</v>
      </c>
      <c r="CL308" s="2" t="s">
        <v>87</v>
      </c>
    </row>
    <row r="309" spans="1:90">
      <c r="A309" s="2" t="s">
        <v>88</v>
      </c>
      <c r="B309" s="2" t="s">
        <v>72</v>
      </c>
      <c r="C309" s="2" t="s">
        <v>73</v>
      </c>
      <c r="E309" s="2" t="str">
        <f>"009935802739"</f>
        <v>009935802739</v>
      </c>
      <c r="F309" s="3">
        <v>42884</v>
      </c>
      <c r="G309" s="2">
        <v>201711</v>
      </c>
      <c r="H309" s="2" t="s">
        <v>78</v>
      </c>
      <c r="I309" s="2" t="s">
        <v>79</v>
      </c>
      <c r="J309" s="2" t="s">
        <v>91</v>
      </c>
      <c r="K309" s="2" t="s">
        <v>77</v>
      </c>
      <c r="L309" s="2" t="s">
        <v>197</v>
      </c>
      <c r="M309" s="2" t="s">
        <v>198</v>
      </c>
      <c r="N309" s="2" t="s">
        <v>107</v>
      </c>
      <c r="O309" s="2" t="s">
        <v>95</v>
      </c>
      <c r="P309" s="2" t="str">
        <f t="shared" si="11"/>
        <v xml:space="preserve">                              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14.01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1</v>
      </c>
      <c r="BI309" s="2">
        <v>27.1</v>
      </c>
      <c r="BJ309" s="2">
        <v>41.7</v>
      </c>
      <c r="BK309" s="2">
        <v>42</v>
      </c>
      <c r="BL309" s="2">
        <v>131.6</v>
      </c>
      <c r="BM309" s="2">
        <v>18.420000000000002</v>
      </c>
      <c r="BN309" s="2">
        <v>150.02000000000001</v>
      </c>
      <c r="BO309" s="2">
        <v>150.02000000000001</v>
      </c>
      <c r="BQ309" s="2" t="s">
        <v>256</v>
      </c>
      <c r="BR309" s="2" t="s">
        <v>312</v>
      </c>
      <c r="BS309" s="3">
        <v>42885</v>
      </c>
      <c r="BT309" s="4">
        <v>0.3347222222222222</v>
      </c>
      <c r="BU309" s="2" t="s">
        <v>256</v>
      </c>
      <c r="BV309" s="2" t="s">
        <v>85</v>
      </c>
      <c r="BY309" s="2">
        <v>208497.38</v>
      </c>
      <c r="CC309" s="2" t="s">
        <v>198</v>
      </c>
      <c r="CD309" s="2">
        <v>2570</v>
      </c>
      <c r="CE309" s="2" t="s">
        <v>120</v>
      </c>
      <c r="CI309" s="2">
        <v>1</v>
      </c>
      <c r="CJ309" s="2">
        <v>1</v>
      </c>
      <c r="CK309" s="2" t="s">
        <v>142</v>
      </c>
      <c r="CL309" s="2" t="s">
        <v>87</v>
      </c>
    </row>
    <row r="310" spans="1:90">
      <c r="A310" s="2" t="s">
        <v>88</v>
      </c>
      <c r="B310" s="2" t="s">
        <v>72</v>
      </c>
      <c r="C310" s="2" t="s">
        <v>73</v>
      </c>
      <c r="E310" s="2" t="str">
        <f>"009935802736"</f>
        <v>009935802736</v>
      </c>
      <c r="F310" s="3">
        <v>42884</v>
      </c>
      <c r="G310" s="2">
        <v>201711</v>
      </c>
      <c r="H310" s="2" t="s">
        <v>78</v>
      </c>
      <c r="I310" s="2" t="s">
        <v>79</v>
      </c>
      <c r="J310" s="2" t="s">
        <v>91</v>
      </c>
      <c r="K310" s="2" t="s">
        <v>77</v>
      </c>
      <c r="L310" s="2" t="s">
        <v>166</v>
      </c>
      <c r="M310" s="2" t="s">
        <v>167</v>
      </c>
      <c r="N310" s="2" t="s">
        <v>91</v>
      </c>
      <c r="O310" s="2" t="s">
        <v>95</v>
      </c>
      <c r="P310" s="2" t="str">
        <f t="shared" si="11"/>
        <v xml:space="preserve">                              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18.05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1</v>
      </c>
      <c r="BI310" s="2">
        <v>11.2</v>
      </c>
      <c r="BJ310" s="2">
        <v>24.1</v>
      </c>
      <c r="BK310" s="2">
        <v>25</v>
      </c>
      <c r="BL310" s="2">
        <v>168.11</v>
      </c>
      <c r="BM310" s="2">
        <v>23.54</v>
      </c>
      <c r="BN310" s="2">
        <v>191.65</v>
      </c>
      <c r="BO310" s="2">
        <v>191.65</v>
      </c>
      <c r="BQ310" s="2" t="s">
        <v>168</v>
      </c>
      <c r="BS310" s="3">
        <v>42886</v>
      </c>
      <c r="BT310" s="4">
        <v>0.48333333333333334</v>
      </c>
      <c r="BU310" s="2" t="s">
        <v>168</v>
      </c>
      <c r="BV310" s="2" t="s">
        <v>87</v>
      </c>
      <c r="BY310" s="2">
        <v>120670.2</v>
      </c>
      <c r="CC310" s="2" t="s">
        <v>167</v>
      </c>
      <c r="CD310" s="2">
        <v>2745</v>
      </c>
      <c r="CE310" s="2" t="s">
        <v>120</v>
      </c>
      <c r="CI310" s="2">
        <v>1</v>
      </c>
      <c r="CJ310" s="2">
        <v>2</v>
      </c>
      <c r="CK310" s="2" t="s">
        <v>196</v>
      </c>
      <c r="CL310" s="2" t="s">
        <v>87</v>
      </c>
    </row>
    <row r="311" spans="1:90">
      <c r="A311" s="2" t="s">
        <v>88</v>
      </c>
      <c r="B311" s="2" t="s">
        <v>72</v>
      </c>
      <c r="C311" s="2" t="s">
        <v>73</v>
      </c>
      <c r="E311" s="2" t="str">
        <f>"009935802737"</f>
        <v>009935802737</v>
      </c>
      <c r="F311" s="3">
        <v>42884</v>
      </c>
      <c r="G311" s="2">
        <v>201711</v>
      </c>
      <c r="H311" s="2" t="s">
        <v>78</v>
      </c>
      <c r="I311" s="2" t="s">
        <v>79</v>
      </c>
      <c r="J311" s="2" t="s">
        <v>91</v>
      </c>
      <c r="K311" s="2" t="s">
        <v>77</v>
      </c>
      <c r="L311" s="2" t="s">
        <v>242</v>
      </c>
      <c r="M311" s="2" t="s">
        <v>170</v>
      </c>
      <c r="N311" s="2" t="s">
        <v>91</v>
      </c>
      <c r="O311" s="2" t="s">
        <v>95</v>
      </c>
      <c r="P311" s="2" t="str">
        <f t="shared" si="11"/>
        <v xml:space="preserve">                              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14.01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</v>
      </c>
      <c r="BI311" s="2">
        <v>22.5</v>
      </c>
      <c r="BJ311" s="2">
        <v>41.7</v>
      </c>
      <c r="BK311" s="2">
        <v>42</v>
      </c>
      <c r="BL311" s="2">
        <v>131.6</v>
      </c>
      <c r="BM311" s="2">
        <v>18.420000000000002</v>
      </c>
      <c r="BN311" s="2">
        <v>150.02000000000001</v>
      </c>
      <c r="BO311" s="2">
        <v>150.02000000000001</v>
      </c>
      <c r="BQ311" s="2" t="s">
        <v>83</v>
      </c>
      <c r="BS311" s="3">
        <v>42886</v>
      </c>
      <c r="BT311" s="4">
        <v>0.3298611111111111</v>
      </c>
      <c r="BU311" s="2" t="s">
        <v>83</v>
      </c>
      <c r="BV311" s="2" t="s">
        <v>87</v>
      </c>
      <c r="BY311" s="2">
        <v>208517.4</v>
      </c>
      <c r="CC311" s="2" t="s">
        <v>170</v>
      </c>
      <c r="CD311" s="2">
        <v>1200</v>
      </c>
      <c r="CE311" s="2" t="s">
        <v>120</v>
      </c>
      <c r="CI311" s="2">
        <v>1</v>
      </c>
      <c r="CJ311" s="2">
        <v>2</v>
      </c>
      <c r="CK311" s="2" t="s">
        <v>142</v>
      </c>
      <c r="CL311" s="2" t="s">
        <v>87</v>
      </c>
    </row>
    <row r="312" spans="1:90">
      <c r="A312" s="2" t="s">
        <v>88</v>
      </c>
      <c r="B312" s="2" t="s">
        <v>72</v>
      </c>
      <c r="C312" s="2" t="s">
        <v>73</v>
      </c>
      <c r="E312" s="2" t="str">
        <f>"009935474378"</f>
        <v>009935474378</v>
      </c>
      <c r="F312" s="3">
        <v>42884</v>
      </c>
      <c r="G312" s="2">
        <v>201711</v>
      </c>
      <c r="H312" s="2" t="s">
        <v>78</v>
      </c>
      <c r="I312" s="2" t="s">
        <v>79</v>
      </c>
      <c r="J312" s="2" t="s">
        <v>91</v>
      </c>
      <c r="K312" s="2" t="s">
        <v>77</v>
      </c>
      <c r="L312" s="2" t="s">
        <v>192</v>
      </c>
      <c r="M312" s="2" t="s">
        <v>193</v>
      </c>
      <c r="N312" s="2" t="s">
        <v>91</v>
      </c>
      <c r="O312" s="2" t="s">
        <v>95</v>
      </c>
      <c r="P312" s="2" t="str">
        <f t="shared" si="11"/>
        <v xml:space="preserve">                              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56.19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4</v>
      </c>
      <c r="BI312" s="2">
        <v>81.5</v>
      </c>
      <c r="BJ312" s="2">
        <v>26.7</v>
      </c>
      <c r="BK312" s="2">
        <v>82</v>
      </c>
      <c r="BL312" s="2">
        <v>512.91</v>
      </c>
      <c r="BM312" s="2">
        <v>71.81</v>
      </c>
      <c r="BN312" s="2">
        <v>584.72</v>
      </c>
      <c r="BO312" s="2">
        <v>584.72</v>
      </c>
      <c r="BQ312" s="2" t="s">
        <v>318</v>
      </c>
      <c r="BR312" s="2" t="s">
        <v>122</v>
      </c>
      <c r="BS312" s="3">
        <v>42885</v>
      </c>
      <c r="BT312" s="4">
        <v>0.41666666666666669</v>
      </c>
      <c r="BU312" s="2" t="s">
        <v>318</v>
      </c>
      <c r="BY312" s="2">
        <v>133392.06</v>
      </c>
      <c r="CC312" s="2" t="s">
        <v>193</v>
      </c>
      <c r="CD312" s="2">
        <v>450</v>
      </c>
      <c r="CE312" s="2" t="s">
        <v>120</v>
      </c>
      <c r="CF312" s="3">
        <v>42886</v>
      </c>
      <c r="CI312" s="2">
        <v>0</v>
      </c>
      <c r="CJ312" s="2">
        <v>0</v>
      </c>
      <c r="CK312" s="2" t="s">
        <v>196</v>
      </c>
      <c r="CL312" s="2" t="s">
        <v>87</v>
      </c>
    </row>
    <row r="313" spans="1:90">
      <c r="A313" s="2" t="s">
        <v>88</v>
      </c>
      <c r="B313" s="2" t="s">
        <v>72</v>
      </c>
      <c r="C313" s="2" t="s">
        <v>73</v>
      </c>
      <c r="E313" s="2" t="str">
        <f>"009935802738"</f>
        <v>009935802738</v>
      </c>
      <c r="F313" s="3">
        <v>42884</v>
      </c>
      <c r="G313" s="2">
        <v>201711</v>
      </c>
      <c r="H313" s="2" t="s">
        <v>78</v>
      </c>
      <c r="I313" s="2" t="s">
        <v>79</v>
      </c>
      <c r="J313" s="2" t="s">
        <v>91</v>
      </c>
      <c r="K313" s="2" t="s">
        <v>77</v>
      </c>
      <c r="L313" s="2" t="s">
        <v>92</v>
      </c>
      <c r="M313" s="2" t="s">
        <v>93</v>
      </c>
      <c r="N313" s="2" t="s">
        <v>91</v>
      </c>
      <c r="O313" s="2" t="s">
        <v>95</v>
      </c>
      <c r="P313" s="2" t="str">
        <f t="shared" si="11"/>
        <v xml:space="preserve">                              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24.74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2</v>
      </c>
      <c r="BI313" s="2">
        <v>34.4</v>
      </c>
      <c r="BJ313" s="2">
        <v>33.799999999999997</v>
      </c>
      <c r="BK313" s="2">
        <v>35</v>
      </c>
      <c r="BL313" s="2">
        <v>228.6</v>
      </c>
      <c r="BM313" s="2">
        <v>32</v>
      </c>
      <c r="BN313" s="2">
        <v>260.60000000000002</v>
      </c>
      <c r="BO313" s="2">
        <v>260.60000000000002</v>
      </c>
      <c r="BQ313" s="2" t="s">
        <v>98</v>
      </c>
      <c r="BS313" s="2" t="s">
        <v>471</v>
      </c>
      <c r="BY313" s="2">
        <v>169110.95</v>
      </c>
      <c r="CC313" s="2" t="s">
        <v>93</v>
      </c>
      <c r="CD313" s="2">
        <v>8801</v>
      </c>
      <c r="CE313" s="2" t="s">
        <v>120</v>
      </c>
      <c r="CI313" s="2">
        <v>2</v>
      </c>
      <c r="CJ313" s="2" t="s">
        <v>471</v>
      </c>
      <c r="CK313" s="2" t="s">
        <v>196</v>
      </c>
      <c r="CL313" s="2" t="s">
        <v>87</v>
      </c>
    </row>
    <row r="314" spans="1:90">
      <c r="A314" s="2" t="s">
        <v>88</v>
      </c>
      <c r="B314" s="2" t="s">
        <v>72</v>
      </c>
      <c r="C314" s="2" t="s">
        <v>73</v>
      </c>
      <c r="E314" s="2" t="str">
        <f>"009935802735"</f>
        <v>009935802735</v>
      </c>
      <c r="F314" s="3">
        <v>42884</v>
      </c>
      <c r="G314" s="2">
        <v>201711</v>
      </c>
      <c r="H314" s="2" t="s">
        <v>78</v>
      </c>
      <c r="I314" s="2" t="s">
        <v>79</v>
      </c>
      <c r="J314" s="2" t="s">
        <v>91</v>
      </c>
      <c r="K314" s="2" t="s">
        <v>77</v>
      </c>
      <c r="L314" s="2" t="s">
        <v>189</v>
      </c>
      <c r="M314" s="2" t="s">
        <v>98</v>
      </c>
      <c r="N314" s="2" t="s">
        <v>107</v>
      </c>
      <c r="O314" s="2" t="s">
        <v>95</v>
      </c>
      <c r="P314" s="2" t="str">
        <f t="shared" si="11"/>
        <v xml:space="preserve">                              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11.35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1</v>
      </c>
      <c r="BI314" s="2">
        <v>3.7</v>
      </c>
      <c r="BJ314" s="2">
        <v>9.8000000000000007</v>
      </c>
      <c r="BK314" s="2">
        <v>10</v>
      </c>
      <c r="BL314" s="2">
        <v>107.61</v>
      </c>
      <c r="BM314" s="2">
        <v>15.07</v>
      </c>
      <c r="BN314" s="2">
        <v>122.68</v>
      </c>
      <c r="BO314" s="2">
        <v>122.68</v>
      </c>
      <c r="BQ314" s="2" t="s">
        <v>190</v>
      </c>
      <c r="BS314" s="3">
        <v>42886</v>
      </c>
      <c r="BT314" s="4">
        <v>0.41319444444444442</v>
      </c>
      <c r="BU314" s="2" t="s">
        <v>587</v>
      </c>
      <c r="BY314" s="2">
        <v>49063.08</v>
      </c>
      <c r="CA314" s="2" t="s">
        <v>175</v>
      </c>
      <c r="CC314" s="2" t="s">
        <v>98</v>
      </c>
      <c r="CD314" s="2">
        <v>6530</v>
      </c>
      <c r="CE314" s="2" t="s">
        <v>120</v>
      </c>
      <c r="CI314" s="2">
        <v>0</v>
      </c>
      <c r="CJ314" s="2">
        <v>0</v>
      </c>
      <c r="CK314" s="2" t="s">
        <v>99</v>
      </c>
      <c r="CL314" s="2" t="s">
        <v>87</v>
      </c>
    </row>
    <row r="315" spans="1:90">
      <c r="A315" s="2" t="s">
        <v>88</v>
      </c>
      <c r="B315" s="2" t="s">
        <v>72</v>
      </c>
      <c r="C315" s="2" t="s">
        <v>73</v>
      </c>
      <c r="E315" s="2" t="str">
        <f>"009935802740"</f>
        <v>009935802740</v>
      </c>
      <c r="F315" s="3">
        <v>42884</v>
      </c>
      <c r="G315" s="2">
        <v>201711</v>
      </c>
      <c r="H315" s="2" t="s">
        <v>78</v>
      </c>
      <c r="I315" s="2" t="s">
        <v>79</v>
      </c>
      <c r="J315" s="2" t="s">
        <v>91</v>
      </c>
      <c r="K315" s="2" t="s">
        <v>77</v>
      </c>
      <c r="L315" s="2" t="s">
        <v>242</v>
      </c>
      <c r="M315" s="2" t="s">
        <v>170</v>
      </c>
      <c r="N315" s="2" t="s">
        <v>91</v>
      </c>
      <c r="O315" s="2" t="s">
        <v>95</v>
      </c>
      <c r="P315" s="2" t="str">
        <f t="shared" si="11"/>
        <v xml:space="preserve">                              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11.8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2</v>
      </c>
      <c r="BI315" s="2">
        <v>33.4</v>
      </c>
      <c r="BJ315" s="2">
        <v>13.7</v>
      </c>
      <c r="BK315" s="2">
        <v>34</v>
      </c>
      <c r="BL315" s="2">
        <v>111.63</v>
      </c>
      <c r="BM315" s="2">
        <v>15.63</v>
      </c>
      <c r="BN315" s="2">
        <v>127.26</v>
      </c>
      <c r="BO315" s="2">
        <v>127.26</v>
      </c>
      <c r="BQ315" s="2" t="s">
        <v>204</v>
      </c>
      <c r="BS315" s="3">
        <v>42885</v>
      </c>
      <c r="BT315" s="4">
        <v>0.63541666666666663</v>
      </c>
      <c r="BU315" s="2" t="s">
        <v>204</v>
      </c>
      <c r="BV315" s="2" t="s">
        <v>85</v>
      </c>
      <c r="BY315" s="2">
        <v>68674.55</v>
      </c>
      <c r="CC315" s="2" t="s">
        <v>170</v>
      </c>
      <c r="CD315" s="2">
        <v>1200</v>
      </c>
      <c r="CE315" s="2" t="s">
        <v>120</v>
      </c>
      <c r="CF315" s="3">
        <v>42886</v>
      </c>
      <c r="CI315" s="2">
        <v>1</v>
      </c>
      <c r="CJ315" s="2">
        <v>1</v>
      </c>
      <c r="CK315" s="2" t="s">
        <v>142</v>
      </c>
      <c r="CL315" s="2" t="s">
        <v>87</v>
      </c>
    </row>
    <row r="316" spans="1:90">
      <c r="A316" s="2" t="s">
        <v>88</v>
      </c>
      <c r="B316" s="2" t="s">
        <v>72</v>
      </c>
      <c r="C316" s="2" t="s">
        <v>73</v>
      </c>
      <c r="E316" s="2" t="str">
        <f>"009936078413"</f>
        <v>009936078413</v>
      </c>
      <c r="F316" s="3">
        <v>42884</v>
      </c>
      <c r="G316" s="2">
        <v>201711</v>
      </c>
      <c r="H316" s="2" t="s">
        <v>78</v>
      </c>
      <c r="I316" s="2" t="s">
        <v>79</v>
      </c>
      <c r="J316" s="2" t="s">
        <v>91</v>
      </c>
      <c r="K316" s="2" t="s">
        <v>77</v>
      </c>
      <c r="L316" s="2" t="s">
        <v>186</v>
      </c>
      <c r="M316" s="2" t="s">
        <v>106</v>
      </c>
      <c r="N316" s="2" t="s">
        <v>91</v>
      </c>
      <c r="O316" s="2" t="s">
        <v>95</v>
      </c>
      <c r="P316" s="2" t="str">
        <f t="shared" si="11"/>
        <v xml:space="preserve">                              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25.04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2</v>
      </c>
      <c r="BI316" s="2">
        <v>50</v>
      </c>
      <c r="BJ316" s="2">
        <v>52.6</v>
      </c>
      <c r="BK316" s="2">
        <v>53</v>
      </c>
      <c r="BL316" s="2">
        <v>231.32</v>
      </c>
      <c r="BM316" s="2">
        <v>32.380000000000003</v>
      </c>
      <c r="BN316" s="2">
        <v>263.7</v>
      </c>
      <c r="BO316" s="2">
        <v>263.7</v>
      </c>
      <c r="BQ316" s="2" t="s">
        <v>109</v>
      </c>
      <c r="BR316" s="2" t="s">
        <v>312</v>
      </c>
      <c r="BS316" s="3">
        <v>42886</v>
      </c>
      <c r="BT316" s="4">
        <v>0.45833333333333331</v>
      </c>
      <c r="BU316" s="2" t="s">
        <v>588</v>
      </c>
      <c r="BV316" s="2" t="s">
        <v>85</v>
      </c>
      <c r="BY316" s="2">
        <v>263207.32</v>
      </c>
      <c r="CA316" s="2" t="s">
        <v>208</v>
      </c>
      <c r="CC316" s="2" t="s">
        <v>106</v>
      </c>
      <c r="CD316" s="2">
        <v>7700</v>
      </c>
      <c r="CE316" s="2" t="s">
        <v>120</v>
      </c>
      <c r="CF316" s="3">
        <v>42886</v>
      </c>
      <c r="CI316" s="2">
        <v>2</v>
      </c>
      <c r="CJ316" s="2">
        <v>2</v>
      </c>
      <c r="CK316" s="2" t="s">
        <v>104</v>
      </c>
      <c r="CL316" s="2" t="s">
        <v>87</v>
      </c>
    </row>
    <row r="317" spans="1:90">
      <c r="A317" s="2" t="s">
        <v>88</v>
      </c>
      <c r="B317" s="2" t="s">
        <v>72</v>
      </c>
      <c r="C317" s="2" t="s">
        <v>73</v>
      </c>
      <c r="E317" s="2" t="str">
        <f>"009936458845"</f>
        <v>009936458845</v>
      </c>
      <c r="F317" s="3">
        <v>42884</v>
      </c>
      <c r="G317" s="2">
        <v>201711</v>
      </c>
      <c r="H317" s="2" t="s">
        <v>78</v>
      </c>
      <c r="I317" s="2" t="s">
        <v>79</v>
      </c>
      <c r="J317" s="2" t="s">
        <v>91</v>
      </c>
      <c r="K317" s="2" t="s">
        <v>77</v>
      </c>
      <c r="L317" s="2" t="s">
        <v>151</v>
      </c>
      <c r="M317" s="2" t="s">
        <v>152</v>
      </c>
      <c r="N317" s="2" t="s">
        <v>91</v>
      </c>
      <c r="O317" s="2" t="s">
        <v>95</v>
      </c>
      <c r="P317" s="2" t="str">
        <f t="shared" si="11"/>
        <v xml:space="preserve">                              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13.45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1</v>
      </c>
      <c r="BI317" s="2">
        <v>24.1</v>
      </c>
      <c r="BJ317" s="2">
        <v>39.6</v>
      </c>
      <c r="BK317" s="2">
        <v>40</v>
      </c>
      <c r="BL317" s="2">
        <v>126.6</v>
      </c>
      <c r="BM317" s="2">
        <v>17.72</v>
      </c>
      <c r="BN317" s="2">
        <v>144.32</v>
      </c>
      <c r="BO317" s="2">
        <v>144.32</v>
      </c>
      <c r="BQ317" s="2" t="s">
        <v>153</v>
      </c>
      <c r="BR317" s="2" t="s">
        <v>312</v>
      </c>
      <c r="BS317" s="3">
        <v>42885</v>
      </c>
      <c r="BT317" s="4">
        <v>0.43055555555555558</v>
      </c>
      <c r="BU317" s="2" t="s">
        <v>365</v>
      </c>
      <c r="BV317" s="2" t="s">
        <v>85</v>
      </c>
      <c r="BY317" s="2">
        <v>197897.12</v>
      </c>
      <c r="CC317" s="2" t="s">
        <v>152</v>
      </c>
      <c r="CD317" s="2">
        <v>699</v>
      </c>
      <c r="CE317" s="2" t="s">
        <v>120</v>
      </c>
      <c r="CF317" s="3">
        <v>42886</v>
      </c>
      <c r="CI317" s="2">
        <v>1</v>
      </c>
      <c r="CJ317" s="2">
        <v>1</v>
      </c>
      <c r="CK317" s="2" t="s">
        <v>142</v>
      </c>
      <c r="CL317" s="2" t="s">
        <v>87</v>
      </c>
    </row>
    <row r="318" spans="1:90">
      <c r="A318" s="2" t="s">
        <v>88</v>
      </c>
      <c r="B318" s="2" t="s">
        <v>72</v>
      </c>
      <c r="C318" s="2" t="s">
        <v>73</v>
      </c>
      <c r="E318" s="2" t="str">
        <f>"089901340945"</f>
        <v>089901340945</v>
      </c>
      <c r="F318" s="3">
        <v>42884</v>
      </c>
      <c r="G318" s="2">
        <v>201711</v>
      </c>
      <c r="H318" s="2" t="s">
        <v>327</v>
      </c>
      <c r="I318" s="2" t="s">
        <v>328</v>
      </c>
      <c r="J318" s="2" t="s">
        <v>589</v>
      </c>
      <c r="K318" s="2" t="s">
        <v>77</v>
      </c>
      <c r="L318" s="2" t="s">
        <v>186</v>
      </c>
      <c r="M318" s="2" t="s">
        <v>106</v>
      </c>
      <c r="N318" s="2" t="s">
        <v>590</v>
      </c>
      <c r="O318" s="2" t="s">
        <v>95</v>
      </c>
      <c r="P318" s="2" t="str">
        <f t="shared" si="11"/>
        <v xml:space="preserve">                              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11.35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1</v>
      </c>
      <c r="BI318" s="2">
        <v>1</v>
      </c>
      <c r="BJ318" s="2">
        <v>0.2</v>
      </c>
      <c r="BK318" s="2">
        <v>1</v>
      </c>
      <c r="BL318" s="2">
        <v>107.61</v>
      </c>
      <c r="BM318" s="2">
        <v>15.07</v>
      </c>
      <c r="BN318" s="2">
        <v>122.68</v>
      </c>
      <c r="BO318" s="2">
        <v>122.68</v>
      </c>
      <c r="BQ318" s="2" t="s">
        <v>591</v>
      </c>
      <c r="BS318" s="3">
        <v>42886</v>
      </c>
      <c r="BT318" s="4">
        <v>0.54097222222222219</v>
      </c>
      <c r="BU318" s="2" t="s">
        <v>592</v>
      </c>
      <c r="BV318" s="2" t="s">
        <v>85</v>
      </c>
      <c r="BY318" s="2">
        <v>1200</v>
      </c>
      <c r="CC318" s="2" t="s">
        <v>106</v>
      </c>
      <c r="CD318" s="2">
        <v>7459</v>
      </c>
      <c r="CE318" s="2" t="s">
        <v>120</v>
      </c>
      <c r="CF318" s="3">
        <v>42887</v>
      </c>
      <c r="CI318" s="2">
        <v>2</v>
      </c>
      <c r="CJ318" s="2">
        <v>2</v>
      </c>
      <c r="CK318" s="2" t="s">
        <v>196</v>
      </c>
      <c r="CL318" s="2" t="s">
        <v>87</v>
      </c>
    </row>
    <row r="319" spans="1:90">
      <c r="A319" s="2" t="s">
        <v>88</v>
      </c>
      <c r="B319" s="2" t="s">
        <v>72</v>
      </c>
      <c r="C319" s="2" t="s">
        <v>73</v>
      </c>
      <c r="E319" s="2" t="str">
        <f>"039902658220"</f>
        <v>039902658220</v>
      </c>
      <c r="F319" s="3">
        <v>42884</v>
      </c>
      <c r="G319" s="2">
        <v>201711</v>
      </c>
      <c r="H319" s="2" t="s">
        <v>138</v>
      </c>
      <c r="I319" s="2" t="s">
        <v>139</v>
      </c>
      <c r="J319" s="2" t="s">
        <v>91</v>
      </c>
      <c r="K319" s="2" t="s">
        <v>77</v>
      </c>
      <c r="L319" s="2" t="s">
        <v>327</v>
      </c>
      <c r="M319" s="2" t="s">
        <v>328</v>
      </c>
      <c r="N319" s="2" t="s">
        <v>91</v>
      </c>
      <c r="O319" s="2" t="s">
        <v>81</v>
      </c>
      <c r="P319" s="2" t="str">
        <f t="shared" si="11"/>
        <v xml:space="preserve">                              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6.54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1</v>
      </c>
      <c r="BI319" s="2">
        <v>1</v>
      </c>
      <c r="BJ319" s="2">
        <v>0.2</v>
      </c>
      <c r="BK319" s="2">
        <v>1</v>
      </c>
      <c r="BL319" s="2">
        <v>59.1</v>
      </c>
      <c r="BM319" s="2">
        <v>8.27</v>
      </c>
      <c r="BN319" s="2">
        <v>67.37</v>
      </c>
      <c r="BO319" s="2">
        <v>67.37</v>
      </c>
      <c r="BQ319" s="2">
        <v>836533547</v>
      </c>
      <c r="BR319" s="2" t="s">
        <v>268</v>
      </c>
      <c r="BS319" s="3">
        <v>42885</v>
      </c>
      <c r="BT319" s="4">
        <v>0.39583333333333331</v>
      </c>
      <c r="BU319" s="2" t="s">
        <v>331</v>
      </c>
      <c r="BV319" s="2" t="s">
        <v>85</v>
      </c>
      <c r="BY319" s="2">
        <v>1200</v>
      </c>
      <c r="BZ319" s="2" t="s">
        <v>27</v>
      </c>
      <c r="CC319" s="2" t="s">
        <v>328</v>
      </c>
      <c r="CD319" s="2">
        <v>9700</v>
      </c>
      <c r="CE319" s="2" t="s">
        <v>120</v>
      </c>
      <c r="CF319" s="3">
        <v>42886</v>
      </c>
      <c r="CI319" s="2">
        <v>1</v>
      </c>
      <c r="CJ319" s="2">
        <v>1</v>
      </c>
      <c r="CK319" s="2">
        <v>24</v>
      </c>
      <c r="CL319" s="2" t="s">
        <v>87</v>
      </c>
    </row>
    <row r="320" spans="1:90">
      <c r="A320" s="2" t="s">
        <v>88</v>
      </c>
      <c r="B320" s="2" t="s">
        <v>72</v>
      </c>
      <c r="C320" s="2" t="s">
        <v>73</v>
      </c>
      <c r="E320" s="2" t="str">
        <f>"069908328053"</f>
        <v>069908328053</v>
      </c>
      <c r="F320" s="3">
        <v>42884</v>
      </c>
      <c r="G320" s="2">
        <v>201711</v>
      </c>
      <c r="H320" s="2" t="s">
        <v>169</v>
      </c>
      <c r="I320" s="2" t="s">
        <v>170</v>
      </c>
      <c r="J320" s="2" t="s">
        <v>76</v>
      </c>
      <c r="K320" s="2" t="s">
        <v>77</v>
      </c>
      <c r="L320" s="2" t="s">
        <v>78</v>
      </c>
      <c r="M320" s="2" t="s">
        <v>79</v>
      </c>
      <c r="N320" s="2" t="s">
        <v>76</v>
      </c>
      <c r="O320" s="2" t="s">
        <v>81</v>
      </c>
      <c r="P320" s="2" t="str">
        <f>"SN01                          "</f>
        <v xml:space="preserve">SN01                          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81.510000000000005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2</v>
      </c>
      <c r="BI320" s="2">
        <v>35</v>
      </c>
      <c r="BJ320" s="2">
        <v>18.399999999999999</v>
      </c>
      <c r="BK320" s="2">
        <v>35</v>
      </c>
      <c r="BL320" s="2">
        <v>736.71</v>
      </c>
      <c r="BM320" s="2">
        <v>103.14</v>
      </c>
      <c r="BN320" s="2">
        <v>839.85</v>
      </c>
      <c r="BO320" s="2">
        <v>839.85</v>
      </c>
      <c r="BQ320" s="2" t="s">
        <v>82</v>
      </c>
      <c r="BR320" s="2" t="s">
        <v>510</v>
      </c>
      <c r="BS320" s="3">
        <v>42885</v>
      </c>
      <c r="BT320" s="4">
        <v>0.39444444444444443</v>
      </c>
      <c r="BU320" s="2" t="s">
        <v>98</v>
      </c>
      <c r="BV320" s="2" t="s">
        <v>85</v>
      </c>
      <c r="BY320" s="2">
        <v>91922</v>
      </c>
      <c r="BZ320" s="2" t="s">
        <v>27</v>
      </c>
      <c r="CC320" s="2" t="s">
        <v>79</v>
      </c>
      <c r="CD320" s="2">
        <v>2196</v>
      </c>
      <c r="CE320" s="2" t="s">
        <v>86</v>
      </c>
      <c r="CF320" s="3">
        <v>42886</v>
      </c>
      <c r="CI320" s="2">
        <v>1</v>
      </c>
      <c r="CJ320" s="2">
        <v>1</v>
      </c>
      <c r="CK320" s="2">
        <v>21</v>
      </c>
      <c r="CL320" s="2" t="s">
        <v>87</v>
      </c>
    </row>
    <row r="321" spans="1:90">
      <c r="A321" s="2" t="s">
        <v>71</v>
      </c>
      <c r="B321" s="2" t="s">
        <v>72</v>
      </c>
      <c r="C321" s="2" t="s">
        <v>73</v>
      </c>
      <c r="E321" s="2" t="str">
        <f>"039902658222"</f>
        <v>039902658222</v>
      </c>
      <c r="F321" s="3">
        <v>42886</v>
      </c>
      <c r="G321" s="2">
        <v>201711</v>
      </c>
      <c r="H321" s="2" t="s">
        <v>138</v>
      </c>
      <c r="I321" s="2" t="s">
        <v>139</v>
      </c>
      <c r="J321" s="2" t="s">
        <v>91</v>
      </c>
      <c r="K321" s="2" t="s">
        <v>77</v>
      </c>
      <c r="L321" s="2" t="s">
        <v>180</v>
      </c>
      <c r="M321" s="2" t="s">
        <v>181</v>
      </c>
      <c r="N321" s="2" t="s">
        <v>91</v>
      </c>
      <c r="O321" s="2" t="s">
        <v>95</v>
      </c>
      <c r="P321" s="2" t="str">
        <f>"                              "</f>
        <v xml:space="preserve">                              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8.01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1</v>
      </c>
      <c r="BI321" s="2">
        <v>1</v>
      </c>
      <c r="BJ321" s="2">
        <v>0.2</v>
      </c>
      <c r="BK321" s="2">
        <v>1</v>
      </c>
      <c r="BL321" s="2">
        <v>77.36</v>
      </c>
      <c r="BM321" s="2">
        <v>10.83</v>
      </c>
      <c r="BN321" s="2">
        <v>88.19</v>
      </c>
      <c r="BO321" s="2">
        <v>88.19</v>
      </c>
      <c r="BQ321" s="2" t="s">
        <v>184</v>
      </c>
      <c r="BR321" s="2" t="s">
        <v>268</v>
      </c>
      <c r="BS321" s="2" t="s">
        <v>471</v>
      </c>
      <c r="BV321" s="2" t="s">
        <v>87</v>
      </c>
      <c r="BY321" s="2">
        <v>1200</v>
      </c>
      <c r="CC321" s="2" t="s">
        <v>181</v>
      </c>
      <c r="CD321" s="2">
        <v>9460</v>
      </c>
      <c r="CE321" s="2" t="s">
        <v>120</v>
      </c>
      <c r="CI321" s="2">
        <v>1</v>
      </c>
      <c r="CJ321" s="2" t="s">
        <v>471</v>
      </c>
      <c r="CK321" s="2" t="s">
        <v>129</v>
      </c>
      <c r="CL321" s="2" t="s">
        <v>87</v>
      </c>
    </row>
    <row r="322" spans="1:90">
      <c r="A322" s="2" t="s">
        <v>88</v>
      </c>
      <c r="B322" s="2" t="s">
        <v>72</v>
      </c>
      <c r="C322" s="2" t="s">
        <v>73</v>
      </c>
      <c r="E322" s="2" t="str">
        <f>"009936372463"</f>
        <v>009936372463</v>
      </c>
      <c r="F322" s="3">
        <v>42884</v>
      </c>
      <c r="G322" s="2">
        <v>201711</v>
      </c>
      <c r="H322" s="2" t="s">
        <v>192</v>
      </c>
      <c r="I322" s="2" t="s">
        <v>193</v>
      </c>
      <c r="J322" s="2" t="s">
        <v>91</v>
      </c>
      <c r="K322" s="2" t="s">
        <v>77</v>
      </c>
      <c r="L322" s="2" t="s">
        <v>78</v>
      </c>
      <c r="M322" s="2" t="s">
        <v>79</v>
      </c>
      <c r="N322" s="2" t="s">
        <v>593</v>
      </c>
      <c r="O322" s="2" t="s">
        <v>95</v>
      </c>
      <c r="P322" s="2" t="str">
        <f>"                              "</f>
        <v xml:space="preserve">                              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24.22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2</v>
      </c>
      <c r="BI322" s="2">
        <v>31</v>
      </c>
      <c r="BJ322" s="2">
        <v>50.7</v>
      </c>
      <c r="BK322" s="2">
        <v>51</v>
      </c>
      <c r="BL322" s="2">
        <v>223.94</v>
      </c>
      <c r="BM322" s="2">
        <v>31.35</v>
      </c>
      <c r="BN322" s="2">
        <v>255.29</v>
      </c>
      <c r="BO322" s="2">
        <v>255.29</v>
      </c>
      <c r="BR322" s="2" t="s">
        <v>202</v>
      </c>
      <c r="BS322" s="3">
        <v>42885</v>
      </c>
      <c r="BT322" s="4">
        <v>0.45833333333333331</v>
      </c>
      <c r="BU322" s="2" t="s">
        <v>98</v>
      </c>
      <c r="BY322" s="2">
        <v>253500</v>
      </c>
      <c r="CC322" s="2" t="s">
        <v>79</v>
      </c>
      <c r="CD322" s="2">
        <v>2000</v>
      </c>
      <c r="CE322" s="2" t="s">
        <v>120</v>
      </c>
      <c r="CF322" s="3">
        <v>42886</v>
      </c>
      <c r="CI322" s="2">
        <v>0</v>
      </c>
      <c r="CJ322" s="2">
        <v>0</v>
      </c>
      <c r="CK322" s="2" t="s">
        <v>104</v>
      </c>
      <c r="CL322" s="2" t="s">
        <v>87</v>
      </c>
    </row>
    <row r="323" spans="1:90">
      <c r="A323" s="2" t="s">
        <v>88</v>
      </c>
      <c r="B323" s="2" t="s">
        <v>72</v>
      </c>
      <c r="C323" s="2" t="s">
        <v>73</v>
      </c>
      <c r="E323" s="2" t="str">
        <f>"049901264592"</f>
        <v>049901264592</v>
      </c>
      <c r="F323" s="3">
        <v>42884</v>
      </c>
      <c r="G323" s="2">
        <v>201711</v>
      </c>
      <c r="H323" s="2" t="s">
        <v>258</v>
      </c>
      <c r="I323" s="2" t="s">
        <v>259</v>
      </c>
      <c r="J323" s="2" t="s">
        <v>251</v>
      </c>
      <c r="K323" s="2" t="s">
        <v>77</v>
      </c>
      <c r="L323" s="2" t="s">
        <v>78</v>
      </c>
      <c r="M323" s="2" t="s">
        <v>79</v>
      </c>
      <c r="N323" s="2" t="s">
        <v>251</v>
      </c>
      <c r="O323" s="2" t="s">
        <v>95</v>
      </c>
      <c r="P323" s="2" t="str">
        <f>"                              "</f>
        <v xml:space="preserve">                              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18.32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1</v>
      </c>
      <c r="BI323" s="2">
        <v>45</v>
      </c>
      <c r="BJ323" s="2">
        <v>39</v>
      </c>
      <c r="BK323" s="2">
        <v>45</v>
      </c>
      <c r="BL323" s="2">
        <v>170.62</v>
      </c>
      <c r="BM323" s="2">
        <v>23.89</v>
      </c>
      <c r="BN323" s="2">
        <v>194.51</v>
      </c>
      <c r="BO323" s="2">
        <v>194.51</v>
      </c>
      <c r="BQ323" s="2" t="s">
        <v>127</v>
      </c>
      <c r="BR323" s="2" t="s">
        <v>261</v>
      </c>
      <c r="BS323" s="3">
        <v>42886</v>
      </c>
      <c r="BT323" s="4">
        <v>0.66041666666666665</v>
      </c>
      <c r="BU323" s="2" t="s">
        <v>98</v>
      </c>
      <c r="BV323" s="2" t="s">
        <v>85</v>
      </c>
      <c r="BY323" s="2">
        <v>195195</v>
      </c>
      <c r="CC323" s="2" t="s">
        <v>79</v>
      </c>
      <c r="CD323" s="2">
        <v>2000</v>
      </c>
      <c r="CE323" s="2" t="s">
        <v>120</v>
      </c>
      <c r="CI323" s="2">
        <v>2</v>
      </c>
      <c r="CJ323" s="2">
        <v>2</v>
      </c>
      <c r="CK323" s="2" t="s">
        <v>211</v>
      </c>
      <c r="CL323" s="2" t="s">
        <v>87</v>
      </c>
    </row>
    <row r="324" spans="1:90">
      <c r="A324" s="2" t="s">
        <v>88</v>
      </c>
      <c r="B324" s="2" t="s">
        <v>72</v>
      </c>
      <c r="C324" s="2" t="s">
        <v>73</v>
      </c>
      <c r="E324" s="2" t="str">
        <f>"009935660382"</f>
        <v>009935660382</v>
      </c>
      <c r="F324" s="3">
        <v>42885</v>
      </c>
      <c r="G324" s="2">
        <v>201711</v>
      </c>
      <c r="H324" s="2" t="s">
        <v>158</v>
      </c>
      <c r="I324" s="2" t="s">
        <v>159</v>
      </c>
      <c r="J324" s="2" t="s">
        <v>76</v>
      </c>
      <c r="K324" s="2" t="s">
        <v>77</v>
      </c>
      <c r="L324" s="2" t="s">
        <v>242</v>
      </c>
      <c r="M324" s="2" t="s">
        <v>170</v>
      </c>
      <c r="N324" s="2" t="s">
        <v>594</v>
      </c>
      <c r="O324" s="2" t="s">
        <v>95</v>
      </c>
      <c r="P324" s="2" t="str">
        <f>"STORE                         "</f>
        <v xml:space="preserve">STORE                         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6.55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1</v>
      </c>
      <c r="BI324" s="2">
        <v>2.6</v>
      </c>
      <c r="BJ324" s="2">
        <v>3.8</v>
      </c>
      <c r="BK324" s="2">
        <v>4</v>
      </c>
      <c r="BL324" s="2">
        <v>64.2</v>
      </c>
      <c r="BM324" s="2">
        <v>8.99</v>
      </c>
      <c r="BN324" s="2">
        <v>73.19</v>
      </c>
      <c r="BO324" s="2">
        <v>73.19</v>
      </c>
      <c r="BQ324" s="2" t="s">
        <v>595</v>
      </c>
      <c r="BR324" s="2" t="s">
        <v>122</v>
      </c>
      <c r="BS324" s="3">
        <v>42886</v>
      </c>
      <c r="BT324" s="4">
        <v>0.40625</v>
      </c>
      <c r="BU324" s="2" t="s">
        <v>204</v>
      </c>
      <c r="BV324" s="2" t="s">
        <v>85</v>
      </c>
      <c r="BY324" s="2">
        <v>18834.36</v>
      </c>
      <c r="CC324" s="2" t="s">
        <v>170</v>
      </c>
      <c r="CD324" s="2">
        <v>1200</v>
      </c>
      <c r="CE324" s="2" t="s">
        <v>120</v>
      </c>
      <c r="CI324" s="2">
        <v>1</v>
      </c>
      <c r="CJ324" s="2">
        <v>1</v>
      </c>
      <c r="CK324" s="2" t="s">
        <v>142</v>
      </c>
      <c r="CL324" s="2" t="s">
        <v>87</v>
      </c>
    </row>
    <row r="325" spans="1:90">
      <c r="A325" s="2" t="s">
        <v>88</v>
      </c>
      <c r="B325" s="2" t="s">
        <v>72</v>
      </c>
      <c r="C325" s="2" t="s">
        <v>73</v>
      </c>
      <c r="E325" s="2" t="str">
        <f>"009935903639"</f>
        <v>009935903639</v>
      </c>
      <c r="F325" s="3">
        <v>42885</v>
      </c>
      <c r="G325" s="2">
        <v>201711</v>
      </c>
      <c r="H325" s="2" t="s">
        <v>111</v>
      </c>
      <c r="I325" s="2" t="s">
        <v>112</v>
      </c>
      <c r="J325" s="2" t="s">
        <v>147</v>
      </c>
      <c r="K325" s="2" t="s">
        <v>77</v>
      </c>
      <c r="L325" s="2" t="s">
        <v>242</v>
      </c>
      <c r="M325" s="2" t="s">
        <v>170</v>
      </c>
      <c r="N325" s="2" t="s">
        <v>91</v>
      </c>
      <c r="O325" s="2" t="s">
        <v>95</v>
      </c>
      <c r="P325" s="2" t="str">
        <f>"                              "</f>
        <v xml:space="preserve">                              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9.5299999999999994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1</v>
      </c>
      <c r="BI325" s="2">
        <v>5</v>
      </c>
      <c r="BJ325" s="2">
        <v>3.8</v>
      </c>
      <c r="BK325" s="2">
        <v>5</v>
      </c>
      <c r="BL325" s="2">
        <v>91.17</v>
      </c>
      <c r="BM325" s="2">
        <v>12.76</v>
      </c>
      <c r="BN325" s="2">
        <v>103.93</v>
      </c>
      <c r="BO325" s="2">
        <v>103.93</v>
      </c>
      <c r="BQ325" s="2" t="s">
        <v>582</v>
      </c>
      <c r="BR325" s="2" t="s">
        <v>397</v>
      </c>
      <c r="BS325" s="2" t="s">
        <v>471</v>
      </c>
      <c r="BY325" s="2">
        <v>18750</v>
      </c>
      <c r="CC325" s="2" t="s">
        <v>170</v>
      </c>
      <c r="CD325" s="2">
        <v>1200</v>
      </c>
      <c r="CE325" s="2" t="s">
        <v>120</v>
      </c>
      <c r="CI325" s="2">
        <v>1</v>
      </c>
      <c r="CJ325" s="2" t="s">
        <v>471</v>
      </c>
      <c r="CK325" s="2" t="s">
        <v>104</v>
      </c>
      <c r="CL325" s="2" t="s">
        <v>87</v>
      </c>
    </row>
    <row r="326" spans="1:90">
      <c r="A326" s="2" t="s">
        <v>88</v>
      </c>
      <c r="B326" s="2" t="s">
        <v>72</v>
      </c>
      <c r="C326" s="2" t="s">
        <v>73</v>
      </c>
      <c r="E326" s="2" t="str">
        <f>"089901340991"</f>
        <v>089901340991</v>
      </c>
      <c r="F326" s="3">
        <v>42885</v>
      </c>
      <c r="G326" s="2">
        <v>201711</v>
      </c>
      <c r="H326" s="2" t="s">
        <v>327</v>
      </c>
      <c r="I326" s="2" t="s">
        <v>328</v>
      </c>
      <c r="J326" s="2" t="s">
        <v>91</v>
      </c>
      <c r="K326" s="2" t="s">
        <v>77</v>
      </c>
      <c r="L326" s="2" t="s">
        <v>138</v>
      </c>
      <c r="M326" s="2" t="s">
        <v>139</v>
      </c>
      <c r="N326" s="2" t="s">
        <v>76</v>
      </c>
      <c r="O326" s="2" t="s">
        <v>95</v>
      </c>
      <c r="P326" s="2" t="str">
        <f>"                              "</f>
        <v xml:space="preserve">                              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8.01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1</v>
      </c>
      <c r="BI326" s="2">
        <v>1</v>
      </c>
      <c r="BJ326" s="2">
        <v>0.2</v>
      </c>
      <c r="BK326" s="2">
        <v>1</v>
      </c>
      <c r="BL326" s="2">
        <v>77.36</v>
      </c>
      <c r="BM326" s="2">
        <v>10.83</v>
      </c>
      <c r="BN326" s="2">
        <v>88.19</v>
      </c>
      <c r="BO326" s="2">
        <v>88.19</v>
      </c>
      <c r="BQ326" s="2" t="s">
        <v>140</v>
      </c>
      <c r="BR326" s="2" t="s">
        <v>245</v>
      </c>
      <c r="BS326" s="3">
        <v>42886</v>
      </c>
      <c r="BT326" s="4">
        <v>0.42708333333333331</v>
      </c>
      <c r="BU326" s="2" t="s">
        <v>188</v>
      </c>
      <c r="BV326" s="2" t="s">
        <v>85</v>
      </c>
      <c r="BY326" s="2">
        <v>1200</v>
      </c>
      <c r="CC326" s="2" t="s">
        <v>139</v>
      </c>
      <c r="CD326" s="2">
        <v>9300</v>
      </c>
      <c r="CE326" s="2" t="s">
        <v>120</v>
      </c>
      <c r="CI326" s="2">
        <v>1</v>
      </c>
      <c r="CJ326" s="2">
        <v>1</v>
      </c>
      <c r="CK326" s="2" t="s">
        <v>129</v>
      </c>
      <c r="CL326" s="2" t="s">
        <v>87</v>
      </c>
    </row>
    <row r="327" spans="1:90">
      <c r="A327" s="2" t="s">
        <v>71</v>
      </c>
      <c r="B327" s="2" t="s">
        <v>72</v>
      </c>
      <c r="C327" s="2" t="s">
        <v>73</v>
      </c>
      <c r="E327" s="2" t="str">
        <f>"069908332790"</f>
        <v>069908332790</v>
      </c>
      <c r="F327" s="3">
        <v>42885</v>
      </c>
      <c r="G327" s="2">
        <v>201711</v>
      </c>
      <c r="H327" s="2" t="s">
        <v>169</v>
      </c>
      <c r="I327" s="2" t="s">
        <v>170</v>
      </c>
      <c r="J327" s="2" t="s">
        <v>76</v>
      </c>
      <c r="K327" s="2" t="s">
        <v>77</v>
      </c>
      <c r="L327" s="2" t="s">
        <v>158</v>
      </c>
      <c r="M327" s="2" t="s">
        <v>159</v>
      </c>
      <c r="N327" s="2" t="s">
        <v>76</v>
      </c>
      <c r="O327" s="2" t="s">
        <v>95</v>
      </c>
      <c r="P327" s="2" t="str">
        <f>"                              "</f>
        <v xml:space="preserve">                              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15.77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3</v>
      </c>
      <c r="BI327" s="2">
        <v>37</v>
      </c>
      <c r="BJ327" s="2">
        <v>22.2</v>
      </c>
      <c r="BK327" s="2">
        <v>37</v>
      </c>
      <c r="BL327" s="2">
        <v>147.51</v>
      </c>
      <c r="BM327" s="2">
        <v>20.65</v>
      </c>
      <c r="BN327" s="2">
        <v>168.16</v>
      </c>
      <c r="BO327" s="2">
        <v>168.16</v>
      </c>
      <c r="BQ327" s="2" t="s">
        <v>148</v>
      </c>
      <c r="BR327" s="2" t="s">
        <v>204</v>
      </c>
      <c r="BS327" s="3">
        <v>42886</v>
      </c>
      <c r="BT327" s="4">
        <v>0.66041666666666665</v>
      </c>
      <c r="BU327" s="2" t="s">
        <v>98</v>
      </c>
      <c r="BV327" s="2" t="s">
        <v>85</v>
      </c>
      <c r="BY327" s="2">
        <v>110880</v>
      </c>
      <c r="CC327" s="2" t="s">
        <v>159</v>
      </c>
      <c r="CD327" s="2">
        <v>2146</v>
      </c>
      <c r="CE327" s="2" t="s">
        <v>120</v>
      </c>
      <c r="CI327" s="2">
        <v>1</v>
      </c>
      <c r="CJ327" s="2">
        <v>1</v>
      </c>
      <c r="CK327" s="2" t="s">
        <v>133</v>
      </c>
      <c r="CL327" s="2" t="s">
        <v>87</v>
      </c>
    </row>
    <row r="328" spans="1:90">
      <c r="A328" s="2" t="s">
        <v>71</v>
      </c>
      <c r="B328" s="2" t="s">
        <v>72</v>
      </c>
      <c r="C328" s="2" t="s">
        <v>73</v>
      </c>
      <c r="E328" s="2" t="str">
        <f>"029907627787"</f>
        <v>029907627787</v>
      </c>
      <c r="F328" s="3">
        <v>42885</v>
      </c>
      <c r="G328" s="2">
        <v>201711</v>
      </c>
      <c r="H328" s="2" t="s">
        <v>176</v>
      </c>
      <c r="I328" s="2" t="s">
        <v>177</v>
      </c>
      <c r="J328" s="2" t="s">
        <v>209</v>
      </c>
      <c r="K328" s="2" t="s">
        <v>77</v>
      </c>
      <c r="L328" s="2" t="s">
        <v>158</v>
      </c>
      <c r="M328" s="2" t="s">
        <v>159</v>
      </c>
      <c r="N328" s="2" t="s">
        <v>596</v>
      </c>
      <c r="O328" s="2" t="s">
        <v>81</v>
      </c>
      <c r="P328" s="2" t="str">
        <f>"                              "</f>
        <v xml:space="preserve">                              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4.66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1</v>
      </c>
      <c r="BI328" s="2">
        <v>1</v>
      </c>
      <c r="BJ328" s="2">
        <v>0.2</v>
      </c>
      <c r="BK328" s="2">
        <v>1</v>
      </c>
      <c r="BL328" s="2">
        <v>42.1</v>
      </c>
      <c r="BM328" s="2">
        <v>5.89</v>
      </c>
      <c r="BN328" s="2">
        <v>47.99</v>
      </c>
      <c r="BO328" s="2">
        <v>47.99</v>
      </c>
      <c r="BQ328" s="2" t="s">
        <v>597</v>
      </c>
      <c r="BR328" s="2" t="s">
        <v>210</v>
      </c>
      <c r="BS328" s="3">
        <v>42886</v>
      </c>
      <c r="BT328" s="4">
        <v>0.3576388888888889</v>
      </c>
      <c r="BU328" s="2" t="s">
        <v>98</v>
      </c>
      <c r="BV328" s="2" t="s">
        <v>85</v>
      </c>
      <c r="BY328" s="2">
        <v>1200</v>
      </c>
      <c r="BZ328" s="2" t="s">
        <v>27</v>
      </c>
      <c r="CA328" s="2" t="s">
        <v>444</v>
      </c>
      <c r="CC328" s="2" t="s">
        <v>159</v>
      </c>
      <c r="CD328" s="2">
        <v>2146</v>
      </c>
      <c r="CE328" s="2" t="s">
        <v>120</v>
      </c>
      <c r="CF328" s="3">
        <v>42886</v>
      </c>
      <c r="CI328" s="2">
        <v>1</v>
      </c>
      <c r="CJ328" s="2">
        <v>1</v>
      </c>
      <c r="CK328" s="2">
        <v>21</v>
      </c>
      <c r="CL328" s="2" t="s">
        <v>87</v>
      </c>
    </row>
    <row r="329" spans="1:90">
      <c r="A329" s="2" t="s">
        <v>88</v>
      </c>
      <c r="B329" s="2" t="s">
        <v>72</v>
      </c>
      <c r="C329" s="2" t="s">
        <v>73</v>
      </c>
      <c r="E329" s="2" t="str">
        <f>"009935636059"</f>
        <v>009935636059</v>
      </c>
      <c r="F329" s="3">
        <v>42885</v>
      </c>
      <c r="G329" s="2">
        <v>201711</v>
      </c>
      <c r="H329" s="2" t="s">
        <v>158</v>
      </c>
      <c r="I329" s="2" t="s">
        <v>159</v>
      </c>
      <c r="J329" s="2" t="s">
        <v>91</v>
      </c>
      <c r="K329" s="2" t="s">
        <v>77</v>
      </c>
      <c r="L329" s="2" t="s">
        <v>189</v>
      </c>
      <c r="M329" s="2" t="s">
        <v>98</v>
      </c>
      <c r="N329" s="2" t="s">
        <v>340</v>
      </c>
      <c r="O329" s="2" t="s">
        <v>81</v>
      </c>
      <c r="P329" s="2" t="str">
        <f>"LOCKS                         "</f>
        <v xml:space="preserve">LOCKS                         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4.66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1</v>
      </c>
      <c r="BI329" s="2">
        <v>1</v>
      </c>
      <c r="BJ329" s="2">
        <v>0.2</v>
      </c>
      <c r="BK329" s="2">
        <v>1</v>
      </c>
      <c r="BL329" s="2">
        <v>42.1</v>
      </c>
      <c r="BM329" s="2">
        <v>5.89</v>
      </c>
      <c r="BN329" s="2">
        <v>47.99</v>
      </c>
      <c r="BO329" s="2">
        <v>47.99</v>
      </c>
      <c r="BS329" s="3">
        <v>42886</v>
      </c>
      <c r="BT329" s="4">
        <v>0.3263888888888889</v>
      </c>
      <c r="BU329" s="2" t="s">
        <v>191</v>
      </c>
      <c r="BV329" s="2" t="s">
        <v>85</v>
      </c>
      <c r="BY329" s="2">
        <v>1200</v>
      </c>
      <c r="BZ329" s="2" t="s">
        <v>27</v>
      </c>
      <c r="CC329" s="2" t="s">
        <v>98</v>
      </c>
      <c r="CD329" s="2">
        <v>6530</v>
      </c>
      <c r="CE329" s="2" t="s">
        <v>120</v>
      </c>
      <c r="CI329" s="2">
        <v>1</v>
      </c>
      <c r="CJ329" s="2">
        <v>1</v>
      </c>
      <c r="CK329" s="2">
        <v>21</v>
      </c>
      <c r="CL329" s="2" t="s">
        <v>87</v>
      </c>
    </row>
    <row r="330" spans="1:90">
      <c r="A330" s="2" t="s">
        <v>88</v>
      </c>
      <c r="B330" s="2" t="s">
        <v>72</v>
      </c>
      <c r="C330" s="2" t="s">
        <v>73</v>
      </c>
      <c r="E330" s="2" t="str">
        <f>"069907886418"</f>
        <v>069907886418</v>
      </c>
      <c r="F330" s="3">
        <v>42885</v>
      </c>
      <c r="G330" s="2">
        <v>201711</v>
      </c>
      <c r="H330" s="2" t="s">
        <v>151</v>
      </c>
      <c r="I330" s="2" t="s">
        <v>152</v>
      </c>
      <c r="J330" s="2" t="s">
        <v>91</v>
      </c>
      <c r="K330" s="2" t="s">
        <v>77</v>
      </c>
      <c r="L330" s="2" t="s">
        <v>158</v>
      </c>
      <c r="M330" s="2" t="s">
        <v>159</v>
      </c>
      <c r="N330" s="2" t="s">
        <v>91</v>
      </c>
      <c r="O330" s="2" t="s">
        <v>95</v>
      </c>
      <c r="P330" s="2" t="str">
        <f>"                              "</f>
        <v xml:space="preserve">                              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8.73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1</v>
      </c>
      <c r="BI330" s="2">
        <v>1</v>
      </c>
      <c r="BJ330" s="2">
        <v>0.2</v>
      </c>
      <c r="BK330" s="2">
        <v>1</v>
      </c>
      <c r="BL330" s="2">
        <v>83.93</v>
      </c>
      <c r="BM330" s="2">
        <v>11.75</v>
      </c>
      <c r="BN330" s="2">
        <v>95.68</v>
      </c>
      <c r="BO330" s="2">
        <v>95.68</v>
      </c>
      <c r="BQ330" s="2" t="s">
        <v>598</v>
      </c>
      <c r="BS330" s="3">
        <v>42886</v>
      </c>
      <c r="BT330" s="4">
        <v>0.37986111111111115</v>
      </c>
      <c r="BU330" s="2" t="s">
        <v>223</v>
      </c>
      <c r="BV330" s="2" t="s">
        <v>85</v>
      </c>
      <c r="BY330" s="2">
        <v>1200</v>
      </c>
      <c r="CA330" s="2" t="s">
        <v>444</v>
      </c>
      <c r="CC330" s="2" t="s">
        <v>159</v>
      </c>
      <c r="CD330" s="2">
        <v>2146</v>
      </c>
      <c r="CE330" s="2" t="s">
        <v>120</v>
      </c>
      <c r="CF330" s="3">
        <v>42886</v>
      </c>
      <c r="CI330" s="2">
        <v>1</v>
      </c>
      <c r="CJ330" s="2">
        <v>1</v>
      </c>
      <c r="CK330" s="2" t="s">
        <v>133</v>
      </c>
      <c r="CL330" s="2" t="s">
        <v>87</v>
      </c>
    </row>
    <row r="331" spans="1:90">
      <c r="A331" s="2" t="s">
        <v>88</v>
      </c>
      <c r="B331" s="2" t="s">
        <v>72</v>
      </c>
      <c r="C331" s="2" t="s">
        <v>73</v>
      </c>
      <c r="E331" s="2" t="str">
        <f>"009935989487"</f>
        <v>009935989487</v>
      </c>
      <c r="F331" s="3">
        <v>42885</v>
      </c>
      <c r="G331" s="2">
        <v>201711</v>
      </c>
      <c r="H331" s="2" t="s">
        <v>158</v>
      </c>
      <c r="I331" s="2" t="s">
        <v>159</v>
      </c>
      <c r="J331" s="2" t="s">
        <v>91</v>
      </c>
      <c r="K331" s="2" t="s">
        <v>77</v>
      </c>
      <c r="L331" s="2" t="s">
        <v>285</v>
      </c>
      <c r="M331" s="2" t="s">
        <v>286</v>
      </c>
      <c r="N331" s="2" t="s">
        <v>76</v>
      </c>
      <c r="O331" s="2" t="s">
        <v>95</v>
      </c>
      <c r="P331" s="2" t="str">
        <f>"                              "</f>
        <v xml:space="preserve">                              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14.01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1</v>
      </c>
      <c r="BI331" s="2">
        <v>28.3</v>
      </c>
      <c r="BJ331" s="2">
        <v>41.8</v>
      </c>
      <c r="BK331" s="2">
        <v>42</v>
      </c>
      <c r="BL331" s="2">
        <v>131.6</v>
      </c>
      <c r="BM331" s="2">
        <v>18.420000000000002</v>
      </c>
      <c r="BN331" s="2">
        <v>150.02000000000001</v>
      </c>
      <c r="BO331" s="2">
        <v>150.02000000000001</v>
      </c>
      <c r="BQ331" s="2" t="s">
        <v>439</v>
      </c>
      <c r="BR331" s="2" t="s">
        <v>122</v>
      </c>
      <c r="BS331" s="2" t="s">
        <v>471</v>
      </c>
      <c r="BY331" s="2">
        <v>209199.38</v>
      </c>
      <c r="CC331" s="2" t="s">
        <v>286</v>
      </c>
      <c r="CD331" s="2">
        <v>4037</v>
      </c>
      <c r="CE331" s="2" t="s">
        <v>120</v>
      </c>
      <c r="CI331" s="2">
        <v>1</v>
      </c>
      <c r="CJ331" s="2" t="s">
        <v>471</v>
      </c>
      <c r="CK331" s="2" t="s">
        <v>146</v>
      </c>
      <c r="CL331" s="2" t="s">
        <v>87</v>
      </c>
    </row>
    <row r="332" spans="1:90">
      <c r="A332" s="2" t="s">
        <v>88</v>
      </c>
      <c r="B332" s="2" t="s">
        <v>72</v>
      </c>
      <c r="C332" s="2" t="s">
        <v>73</v>
      </c>
      <c r="E332" s="2" t="str">
        <f>"009936078412"</f>
        <v>009936078412</v>
      </c>
      <c r="F332" s="3">
        <v>42885</v>
      </c>
      <c r="G332" s="2">
        <v>201711</v>
      </c>
      <c r="H332" s="2" t="s">
        <v>158</v>
      </c>
      <c r="I332" s="2" t="s">
        <v>159</v>
      </c>
      <c r="J332" s="2" t="s">
        <v>76</v>
      </c>
      <c r="K332" s="2" t="s">
        <v>77</v>
      </c>
      <c r="L332" s="2" t="s">
        <v>186</v>
      </c>
      <c r="M332" s="2" t="s">
        <v>106</v>
      </c>
      <c r="N332" s="2" t="s">
        <v>599</v>
      </c>
      <c r="O332" s="2" t="s">
        <v>95</v>
      </c>
      <c r="P332" s="2" t="str">
        <f>"STORE                         "</f>
        <v xml:space="preserve">STORE                         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21.37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1</v>
      </c>
      <c r="BI332" s="2">
        <v>21</v>
      </c>
      <c r="BJ332" s="2">
        <v>43.2</v>
      </c>
      <c r="BK332" s="2">
        <v>44</v>
      </c>
      <c r="BL332" s="2">
        <v>198.13</v>
      </c>
      <c r="BM332" s="2">
        <v>27.74</v>
      </c>
      <c r="BN332" s="2">
        <v>225.87</v>
      </c>
      <c r="BO332" s="2">
        <v>225.87</v>
      </c>
      <c r="BS332" s="3">
        <v>42887</v>
      </c>
      <c r="BT332" s="4">
        <v>0.53263888888888888</v>
      </c>
      <c r="BU332" s="2" t="s">
        <v>600</v>
      </c>
      <c r="BY332" s="2">
        <v>216153</v>
      </c>
      <c r="CA332" s="2" t="s">
        <v>208</v>
      </c>
      <c r="CC332" s="2" t="s">
        <v>106</v>
      </c>
      <c r="CD332" s="2">
        <v>7700</v>
      </c>
      <c r="CE332" s="2" t="s">
        <v>601</v>
      </c>
      <c r="CF332" s="3">
        <v>42887</v>
      </c>
      <c r="CI332" s="2">
        <v>2</v>
      </c>
      <c r="CJ332" s="2">
        <v>2</v>
      </c>
      <c r="CK332" s="2" t="s">
        <v>104</v>
      </c>
      <c r="CL332" s="2" t="s">
        <v>87</v>
      </c>
    </row>
    <row r="333" spans="1:90">
      <c r="A333" s="2" t="s">
        <v>88</v>
      </c>
      <c r="B333" s="2" t="s">
        <v>72</v>
      </c>
      <c r="C333" s="2" t="s">
        <v>73</v>
      </c>
      <c r="E333" s="2" t="str">
        <f>"009935802731"</f>
        <v>009935802731</v>
      </c>
      <c r="F333" s="3">
        <v>42885</v>
      </c>
      <c r="G333" s="2">
        <v>201711</v>
      </c>
      <c r="H333" s="2" t="s">
        <v>158</v>
      </c>
      <c r="I333" s="2" t="s">
        <v>159</v>
      </c>
      <c r="J333" s="2" t="s">
        <v>76</v>
      </c>
      <c r="K333" s="2" t="s">
        <v>77</v>
      </c>
      <c r="L333" s="2" t="s">
        <v>143</v>
      </c>
      <c r="M333" s="2" t="s">
        <v>144</v>
      </c>
      <c r="N333" s="2" t="s">
        <v>602</v>
      </c>
      <c r="O333" s="2" t="s">
        <v>95</v>
      </c>
      <c r="P333" s="2" t="str">
        <f>"STORE                         "</f>
        <v xml:space="preserve">STORE                         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9.0399999999999991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1</v>
      </c>
      <c r="BI333" s="2">
        <v>11.5</v>
      </c>
      <c r="BJ333" s="2">
        <v>24.1</v>
      </c>
      <c r="BK333" s="2">
        <v>24</v>
      </c>
      <c r="BL333" s="2">
        <v>86.67</v>
      </c>
      <c r="BM333" s="2">
        <v>12.13</v>
      </c>
      <c r="BN333" s="2">
        <v>98.8</v>
      </c>
      <c r="BO333" s="2">
        <v>98.8</v>
      </c>
      <c r="BQ333" s="2" t="s">
        <v>145</v>
      </c>
      <c r="BS333" s="2" t="s">
        <v>471</v>
      </c>
      <c r="BY333" s="2">
        <v>120362.48</v>
      </c>
      <c r="CC333" s="2" t="s">
        <v>144</v>
      </c>
      <c r="CD333" s="2">
        <v>2940</v>
      </c>
      <c r="CE333" s="2" t="s">
        <v>120</v>
      </c>
      <c r="CI333" s="2">
        <v>1</v>
      </c>
      <c r="CJ333" s="2" t="s">
        <v>471</v>
      </c>
      <c r="CK333" s="2" t="s">
        <v>146</v>
      </c>
      <c r="CL333" s="2" t="s">
        <v>87</v>
      </c>
    </row>
    <row r="334" spans="1:90">
      <c r="A334" s="2" t="s">
        <v>88</v>
      </c>
      <c r="B334" s="2" t="s">
        <v>72</v>
      </c>
      <c r="C334" s="2" t="s">
        <v>73</v>
      </c>
      <c r="E334" s="2" t="str">
        <f>"009935998989"</f>
        <v>009935998989</v>
      </c>
      <c r="F334" s="3">
        <v>42885</v>
      </c>
      <c r="G334" s="2">
        <v>201711</v>
      </c>
      <c r="H334" s="2" t="s">
        <v>158</v>
      </c>
      <c r="I334" s="2" t="s">
        <v>159</v>
      </c>
      <c r="J334" s="2" t="s">
        <v>76</v>
      </c>
      <c r="K334" s="2" t="s">
        <v>77</v>
      </c>
      <c r="L334" s="2" t="s">
        <v>176</v>
      </c>
      <c r="M334" s="2" t="s">
        <v>177</v>
      </c>
      <c r="N334" s="2" t="s">
        <v>299</v>
      </c>
      <c r="O334" s="2" t="s">
        <v>95</v>
      </c>
      <c r="P334" s="2" t="str">
        <f>"STORE                         "</f>
        <v xml:space="preserve">STORE                         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43.56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4</v>
      </c>
      <c r="BI334" s="2">
        <v>113.5</v>
      </c>
      <c r="BJ334" s="2">
        <v>148.6</v>
      </c>
      <c r="BK334" s="2">
        <v>149</v>
      </c>
      <c r="BL334" s="2">
        <v>398.69</v>
      </c>
      <c r="BM334" s="2">
        <v>55.82</v>
      </c>
      <c r="BN334" s="2">
        <v>454.51</v>
      </c>
      <c r="BO334" s="2">
        <v>454.51</v>
      </c>
      <c r="BQ334" s="2" t="s">
        <v>178</v>
      </c>
      <c r="BR334" s="2" t="s">
        <v>122</v>
      </c>
      <c r="BS334" s="3">
        <v>42886</v>
      </c>
      <c r="BT334" s="4">
        <v>0.51041666666666663</v>
      </c>
      <c r="BU334" s="2" t="s">
        <v>603</v>
      </c>
      <c r="BV334" s="2" t="s">
        <v>85</v>
      </c>
      <c r="BY334" s="2">
        <v>743063.26</v>
      </c>
      <c r="CC334" s="2" t="s">
        <v>177</v>
      </c>
      <c r="CD334" s="2">
        <v>4091</v>
      </c>
      <c r="CE334" s="2" t="s">
        <v>120</v>
      </c>
      <c r="CI334" s="2">
        <v>1</v>
      </c>
      <c r="CJ334" s="2">
        <v>1</v>
      </c>
      <c r="CK334" s="2" t="s">
        <v>146</v>
      </c>
      <c r="CL334" s="2" t="s">
        <v>87</v>
      </c>
    </row>
    <row r="335" spans="1:90">
      <c r="A335" s="2" t="s">
        <v>88</v>
      </c>
      <c r="B335" s="2" t="s">
        <v>72</v>
      </c>
      <c r="C335" s="2" t="s">
        <v>73</v>
      </c>
      <c r="E335" s="2" t="str">
        <f>"009935957090"</f>
        <v>009935957090</v>
      </c>
      <c r="F335" s="3">
        <v>42885</v>
      </c>
      <c r="G335" s="2">
        <v>201711</v>
      </c>
      <c r="H335" s="2" t="s">
        <v>158</v>
      </c>
      <c r="I335" s="2" t="s">
        <v>159</v>
      </c>
      <c r="J335" s="2" t="s">
        <v>91</v>
      </c>
      <c r="K335" s="2" t="s">
        <v>77</v>
      </c>
      <c r="L335" s="2" t="s">
        <v>111</v>
      </c>
      <c r="M335" s="2" t="s">
        <v>112</v>
      </c>
      <c r="N335" s="2" t="s">
        <v>604</v>
      </c>
      <c r="O335" s="2" t="s">
        <v>95</v>
      </c>
      <c r="P335" s="2" t="str">
        <f>"STORE                         "</f>
        <v xml:space="preserve">STORE                         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8.73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1</v>
      </c>
      <c r="BI335" s="2">
        <v>0.1</v>
      </c>
      <c r="BJ335" s="2">
        <v>0.5</v>
      </c>
      <c r="BK335" s="2">
        <v>1</v>
      </c>
      <c r="BL335" s="2">
        <v>83.93</v>
      </c>
      <c r="BM335" s="2">
        <v>11.75</v>
      </c>
      <c r="BN335" s="2">
        <v>95.68</v>
      </c>
      <c r="BO335" s="2">
        <v>95.68</v>
      </c>
      <c r="BQ335" s="2" t="s">
        <v>121</v>
      </c>
      <c r="BS335" s="3">
        <v>42886</v>
      </c>
      <c r="BT335" s="4">
        <v>0.41666666666666669</v>
      </c>
      <c r="BU335" s="2" t="s">
        <v>225</v>
      </c>
      <c r="BV335" s="2" t="s">
        <v>85</v>
      </c>
      <c r="BY335" s="2">
        <v>2432.3000000000002</v>
      </c>
      <c r="CC335" s="2" t="s">
        <v>112</v>
      </c>
      <c r="CD335" s="2">
        <v>1034</v>
      </c>
      <c r="CE335" s="2" t="s">
        <v>120</v>
      </c>
      <c r="CI335" s="2">
        <v>1</v>
      </c>
      <c r="CJ335" s="2">
        <v>1</v>
      </c>
      <c r="CK335" s="2" t="s">
        <v>133</v>
      </c>
      <c r="CL335" s="2" t="s">
        <v>87</v>
      </c>
    </row>
    <row r="336" spans="1:90">
      <c r="A336" s="2" t="s">
        <v>88</v>
      </c>
      <c r="B336" s="2" t="s">
        <v>72</v>
      </c>
      <c r="C336" s="2" t="s">
        <v>73</v>
      </c>
      <c r="E336" s="2" t="str">
        <f>"009936054039"</f>
        <v>009936054039</v>
      </c>
      <c r="F336" s="3">
        <v>42885</v>
      </c>
      <c r="G336" s="2">
        <v>201711</v>
      </c>
      <c r="H336" s="2" t="s">
        <v>158</v>
      </c>
      <c r="I336" s="2" t="s">
        <v>159</v>
      </c>
      <c r="J336" s="2" t="s">
        <v>91</v>
      </c>
      <c r="K336" s="2" t="s">
        <v>77</v>
      </c>
      <c r="L336" s="2" t="s">
        <v>151</v>
      </c>
      <c r="M336" s="2" t="s">
        <v>152</v>
      </c>
      <c r="N336" s="2" t="s">
        <v>91</v>
      </c>
      <c r="O336" s="2" t="s">
        <v>95</v>
      </c>
      <c r="P336" s="2" t="str">
        <f>"STORE                         "</f>
        <v xml:space="preserve">STORE                         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6.55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1</v>
      </c>
      <c r="BI336" s="2">
        <v>0.1</v>
      </c>
      <c r="BJ336" s="2">
        <v>0.2</v>
      </c>
      <c r="BK336" s="2">
        <v>1</v>
      </c>
      <c r="BL336" s="2">
        <v>64.2</v>
      </c>
      <c r="BM336" s="2">
        <v>8.99</v>
      </c>
      <c r="BN336" s="2">
        <v>73.19</v>
      </c>
      <c r="BO336" s="2">
        <v>73.19</v>
      </c>
      <c r="BQ336" s="2" t="s">
        <v>153</v>
      </c>
      <c r="BS336" s="3">
        <v>42886</v>
      </c>
      <c r="BT336" s="4">
        <v>0.42083333333333334</v>
      </c>
      <c r="BU336" s="2" t="s">
        <v>153</v>
      </c>
      <c r="BV336" s="2" t="s">
        <v>85</v>
      </c>
      <c r="BY336" s="2">
        <v>835.38</v>
      </c>
      <c r="CC336" s="2" t="s">
        <v>152</v>
      </c>
      <c r="CD336" s="2">
        <v>699</v>
      </c>
      <c r="CE336" s="2" t="s">
        <v>120</v>
      </c>
      <c r="CI336" s="2">
        <v>1</v>
      </c>
      <c r="CJ336" s="2">
        <v>1</v>
      </c>
      <c r="CK336" s="2" t="s">
        <v>142</v>
      </c>
      <c r="CL336" s="2" t="s">
        <v>87</v>
      </c>
    </row>
    <row r="337" spans="1:90">
      <c r="A337" s="2" t="s">
        <v>71</v>
      </c>
      <c r="B337" s="2" t="s">
        <v>72</v>
      </c>
      <c r="C337" s="2" t="s">
        <v>73</v>
      </c>
      <c r="E337" s="2" t="str">
        <f>"039902658221"</f>
        <v>039902658221</v>
      </c>
      <c r="F337" s="3">
        <v>42885</v>
      </c>
      <c r="G337" s="2">
        <v>201711</v>
      </c>
      <c r="H337" s="2" t="s">
        <v>138</v>
      </c>
      <c r="I337" s="2" t="s">
        <v>139</v>
      </c>
      <c r="J337" s="2" t="s">
        <v>91</v>
      </c>
      <c r="K337" s="2" t="s">
        <v>77</v>
      </c>
      <c r="L337" s="2" t="s">
        <v>78</v>
      </c>
      <c r="M337" s="2" t="s">
        <v>79</v>
      </c>
      <c r="N337" s="2" t="s">
        <v>605</v>
      </c>
      <c r="O337" s="2" t="s">
        <v>95</v>
      </c>
      <c r="P337" s="2" t="str">
        <f>"                              "</f>
        <v xml:space="preserve">                              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18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6</v>
      </c>
      <c r="BI337" s="2">
        <v>24</v>
      </c>
      <c r="BJ337" s="2">
        <v>43.2</v>
      </c>
      <c r="BK337" s="2">
        <v>44</v>
      </c>
      <c r="BL337" s="2">
        <v>167.73</v>
      </c>
      <c r="BM337" s="2">
        <v>23.48</v>
      </c>
      <c r="BN337" s="2">
        <v>191.21</v>
      </c>
      <c r="BO337" s="2">
        <v>191.21</v>
      </c>
      <c r="BQ337" s="2" t="s">
        <v>606</v>
      </c>
      <c r="BR337" s="2" t="s">
        <v>268</v>
      </c>
      <c r="BS337" s="3">
        <v>42886</v>
      </c>
      <c r="BT337" s="4">
        <v>0.66041666666666665</v>
      </c>
      <c r="BU337" s="2" t="s">
        <v>98</v>
      </c>
      <c r="BV337" s="2" t="s">
        <v>85</v>
      </c>
      <c r="BY337" s="2">
        <v>215946</v>
      </c>
      <c r="CC337" s="2" t="s">
        <v>79</v>
      </c>
      <c r="CD337" s="2">
        <v>2000</v>
      </c>
      <c r="CE337" s="2" t="s">
        <v>120</v>
      </c>
      <c r="CI337" s="2">
        <v>1</v>
      </c>
      <c r="CJ337" s="2">
        <v>1</v>
      </c>
      <c r="CK337" s="2" t="s">
        <v>133</v>
      </c>
      <c r="CL337" s="2" t="s">
        <v>87</v>
      </c>
    </row>
    <row r="338" spans="1:90">
      <c r="A338" s="2" t="s">
        <v>88</v>
      </c>
      <c r="B338" s="2" t="s">
        <v>72</v>
      </c>
      <c r="C338" s="2" t="s">
        <v>73</v>
      </c>
      <c r="E338" s="2" t="str">
        <f>"009935802732"</f>
        <v>009935802732</v>
      </c>
      <c r="F338" s="3">
        <v>42885</v>
      </c>
      <c r="G338" s="2">
        <v>201711</v>
      </c>
      <c r="H338" s="2" t="s">
        <v>158</v>
      </c>
      <c r="I338" s="2" t="s">
        <v>159</v>
      </c>
      <c r="J338" s="2" t="s">
        <v>91</v>
      </c>
      <c r="K338" s="2" t="s">
        <v>77</v>
      </c>
      <c r="L338" s="2" t="s">
        <v>216</v>
      </c>
      <c r="M338" s="2" t="s">
        <v>217</v>
      </c>
      <c r="N338" s="2" t="s">
        <v>607</v>
      </c>
      <c r="O338" s="2" t="s">
        <v>95</v>
      </c>
      <c r="P338" s="2" t="str">
        <f>"STORE                         "</f>
        <v xml:space="preserve">STORE                         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13.61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1</v>
      </c>
      <c r="BI338" s="2">
        <v>24.1</v>
      </c>
      <c r="BJ338" s="2">
        <v>24</v>
      </c>
      <c r="BK338" s="2">
        <v>25</v>
      </c>
      <c r="BL338" s="2">
        <v>128.05000000000001</v>
      </c>
      <c r="BM338" s="2">
        <v>17.93</v>
      </c>
      <c r="BN338" s="2">
        <v>145.97999999999999</v>
      </c>
      <c r="BO338" s="2">
        <v>145.97999999999999</v>
      </c>
      <c r="BQ338" s="2" t="s">
        <v>438</v>
      </c>
      <c r="BR338" s="2" t="s">
        <v>330</v>
      </c>
      <c r="BS338" s="3">
        <v>42887</v>
      </c>
      <c r="BT338" s="4">
        <v>0.35416666666666669</v>
      </c>
      <c r="BU338" s="2" t="s">
        <v>219</v>
      </c>
      <c r="BY338" s="2">
        <v>120025.92</v>
      </c>
      <c r="CC338" s="2" t="s">
        <v>217</v>
      </c>
      <c r="CD338" s="2">
        <v>3900</v>
      </c>
      <c r="CE338" s="2" t="s">
        <v>120</v>
      </c>
      <c r="CI338" s="2">
        <v>2</v>
      </c>
      <c r="CJ338" s="2">
        <v>2</v>
      </c>
      <c r="CK338" s="2" t="s">
        <v>221</v>
      </c>
      <c r="CL338" s="2" t="s">
        <v>87</v>
      </c>
    </row>
    <row r="339" spans="1:90">
      <c r="A339" s="2" t="s">
        <v>88</v>
      </c>
      <c r="B339" s="2" t="s">
        <v>72</v>
      </c>
      <c r="C339" s="2" t="s">
        <v>73</v>
      </c>
      <c r="E339" s="2" t="str">
        <f>"039902642735"</f>
        <v>039902642735</v>
      </c>
      <c r="F339" s="3">
        <v>42886</v>
      </c>
      <c r="G339" s="2">
        <v>201711</v>
      </c>
      <c r="H339" s="2" t="s">
        <v>89</v>
      </c>
      <c r="I339" s="2" t="s">
        <v>90</v>
      </c>
      <c r="J339" s="2" t="s">
        <v>91</v>
      </c>
      <c r="K339" s="2" t="s">
        <v>77</v>
      </c>
      <c r="L339" s="2" t="s">
        <v>78</v>
      </c>
      <c r="M339" s="2" t="s">
        <v>79</v>
      </c>
      <c r="N339" s="2" t="s">
        <v>91</v>
      </c>
      <c r="O339" s="2" t="s">
        <v>95</v>
      </c>
      <c r="P339" s="2" t="str">
        <f>"                              "</f>
        <v xml:space="preserve">                              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97.67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4</v>
      </c>
      <c r="BI339" s="2">
        <v>99</v>
      </c>
      <c r="BJ339" s="2">
        <v>230.8</v>
      </c>
      <c r="BK339" s="2">
        <v>231</v>
      </c>
      <c r="BL339" s="2">
        <v>887.79</v>
      </c>
      <c r="BM339" s="2">
        <v>124.29</v>
      </c>
      <c r="BN339" s="2">
        <v>1012.08</v>
      </c>
      <c r="BO339" s="2">
        <v>1012.08</v>
      </c>
      <c r="BQ339" s="2" t="s">
        <v>100</v>
      </c>
      <c r="BR339" s="2" t="s">
        <v>101</v>
      </c>
      <c r="BS339" s="2" t="s">
        <v>471</v>
      </c>
      <c r="BY339" s="2">
        <v>392212</v>
      </c>
      <c r="CC339" s="2" t="s">
        <v>79</v>
      </c>
      <c r="CD339" s="2">
        <v>2090</v>
      </c>
      <c r="CE339" s="2" t="s">
        <v>103</v>
      </c>
      <c r="CI339" s="2">
        <v>2</v>
      </c>
      <c r="CJ339" s="2" t="s">
        <v>471</v>
      </c>
      <c r="CK339" s="2" t="s">
        <v>104</v>
      </c>
      <c r="CL339" s="2" t="s">
        <v>87</v>
      </c>
    </row>
    <row r="340" spans="1:90">
      <c r="A340" s="2" t="s">
        <v>88</v>
      </c>
      <c r="B340" s="2" t="s">
        <v>72</v>
      </c>
      <c r="C340" s="2" t="s">
        <v>73</v>
      </c>
      <c r="E340" s="2" t="str">
        <f>"009936281135"</f>
        <v>009936281135</v>
      </c>
      <c r="F340" s="3">
        <v>42885</v>
      </c>
      <c r="G340" s="2">
        <v>201711</v>
      </c>
      <c r="H340" s="2" t="s">
        <v>166</v>
      </c>
      <c r="I340" s="2" t="s">
        <v>167</v>
      </c>
      <c r="J340" s="2" t="s">
        <v>76</v>
      </c>
      <c r="K340" s="2" t="s">
        <v>77</v>
      </c>
      <c r="L340" s="2" t="s">
        <v>78</v>
      </c>
      <c r="M340" s="2" t="s">
        <v>79</v>
      </c>
      <c r="N340" s="2" t="s">
        <v>76</v>
      </c>
      <c r="O340" s="2" t="s">
        <v>95</v>
      </c>
      <c r="P340" s="2" t="str">
        <f>"                              "</f>
        <v xml:space="preserve">                              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18.54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1</v>
      </c>
      <c r="BI340" s="2">
        <v>25.5</v>
      </c>
      <c r="BJ340" s="2">
        <v>39.1</v>
      </c>
      <c r="BK340" s="2">
        <v>39</v>
      </c>
      <c r="BL340" s="2">
        <v>172.55</v>
      </c>
      <c r="BM340" s="2">
        <v>24.16</v>
      </c>
      <c r="BN340" s="2">
        <v>196.71</v>
      </c>
      <c r="BO340" s="2">
        <v>196.71</v>
      </c>
      <c r="BQ340" s="2" t="s">
        <v>127</v>
      </c>
      <c r="BR340" s="2" t="s">
        <v>245</v>
      </c>
      <c r="BS340" s="3">
        <v>42886</v>
      </c>
      <c r="BT340" s="4">
        <v>0.36944444444444446</v>
      </c>
      <c r="BU340" s="2" t="s">
        <v>494</v>
      </c>
      <c r="BV340" s="2" t="s">
        <v>85</v>
      </c>
      <c r="BY340" s="2">
        <v>195360</v>
      </c>
      <c r="CA340" s="2" t="s">
        <v>533</v>
      </c>
      <c r="CC340" s="2" t="s">
        <v>79</v>
      </c>
      <c r="CD340" s="2">
        <v>2000</v>
      </c>
      <c r="CE340" s="2" t="s">
        <v>120</v>
      </c>
      <c r="CF340" s="3">
        <v>42886</v>
      </c>
      <c r="CI340" s="2">
        <v>1</v>
      </c>
      <c r="CJ340" s="2">
        <v>1</v>
      </c>
      <c r="CK340" s="2" t="s">
        <v>161</v>
      </c>
      <c r="CL340" s="2" t="s">
        <v>87</v>
      </c>
    </row>
    <row r="341" spans="1:90">
      <c r="A341" s="2" t="s">
        <v>88</v>
      </c>
      <c r="B341" s="2" t="s">
        <v>72</v>
      </c>
      <c r="C341" s="2" t="s">
        <v>73</v>
      </c>
      <c r="E341" s="2" t="str">
        <f>"029907512155"</f>
        <v>029907512155</v>
      </c>
      <c r="F341" s="3">
        <v>42881</v>
      </c>
      <c r="G341" s="2">
        <v>201711</v>
      </c>
      <c r="H341" s="2" t="s">
        <v>176</v>
      </c>
      <c r="I341" s="2" t="s">
        <v>177</v>
      </c>
      <c r="J341" s="2" t="s">
        <v>209</v>
      </c>
      <c r="K341" s="2" t="s">
        <v>77</v>
      </c>
      <c r="L341" s="2" t="s">
        <v>158</v>
      </c>
      <c r="M341" s="2" t="s">
        <v>159</v>
      </c>
      <c r="N341" s="2" t="s">
        <v>76</v>
      </c>
      <c r="O341" s="2" t="s">
        <v>95</v>
      </c>
      <c r="P341" s="2" t="str">
        <f>"1705430628                    "</f>
        <v xml:space="preserve">1705430628                    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46.14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3</v>
      </c>
      <c r="BI341" s="2">
        <v>109</v>
      </c>
      <c r="BJ341" s="2">
        <v>131.5</v>
      </c>
      <c r="BK341" s="2">
        <v>132</v>
      </c>
      <c r="BL341" s="2">
        <v>422.03</v>
      </c>
      <c r="BM341" s="2">
        <v>59.08</v>
      </c>
      <c r="BN341" s="2">
        <v>481.11</v>
      </c>
      <c r="BO341" s="2">
        <v>481.11</v>
      </c>
      <c r="BQ341" s="2" t="s">
        <v>608</v>
      </c>
      <c r="BR341" s="2" t="s">
        <v>210</v>
      </c>
      <c r="BS341" s="3">
        <v>42884</v>
      </c>
      <c r="BT341" s="4">
        <v>8.3333333333333329E-2</v>
      </c>
      <c r="BU341" s="2" t="s">
        <v>98</v>
      </c>
      <c r="BV341" s="2" t="s">
        <v>85</v>
      </c>
      <c r="BY341" s="2">
        <v>219186</v>
      </c>
      <c r="CC341" s="2" t="s">
        <v>159</v>
      </c>
      <c r="CD341" s="2">
        <v>2148</v>
      </c>
      <c r="CE341" s="2" t="s">
        <v>120</v>
      </c>
      <c r="CF341" s="3">
        <v>42885</v>
      </c>
      <c r="CI341" s="2">
        <v>1</v>
      </c>
      <c r="CJ341" s="2">
        <v>1</v>
      </c>
      <c r="CK341" s="2" t="s">
        <v>211</v>
      </c>
      <c r="CL341" s="2" t="s">
        <v>87</v>
      </c>
    </row>
    <row r="342" spans="1:90">
      <c r="A342" s="2" t="s">
        <v>88</v>
      </c>
      <c r="B342" s="2" t="s">
        <v>72</v>
      </c>
      <c r="C342" s="2" t="s">
        <v>73</v>
      </c>
      <c r="E342" s="2" t="str">
        <f>"069908298018"</f>
        <v>069908298018</v>
      </c>
      <c r="F342" s="3">
        <v>42886</v>
      </c>
      <c r="G342" s="2">
        <v>201711</v>
      </c>
      <c r="H342" s="2" t="s">
        <v>169</v>
      </c>
      <c r="I342" s="2" t="s">
        <v>170</v>
      </c>
      <c r="J342" s="2" t="s">
        <v>76</v>
      </c>
      <c r="K342" s="2" t="s">
        <v>77</v>
      </c>
      <c r="L342" s="2" t="s">
        <v>158</v>
      </c>
      <c r="M342" s="2" t="s">
        <v>159</v>
      </c>
      <c r="N342" s="2" t="s">
        <v>91</v>
      </c>
      <c r="O342" s="2" t="s">
        <v>95</v>
      </c>
      <c r="P342" s="2" t="str">
        <f>"                              "</f>
        <v xml:space="preserve">                              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8.73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1</v>
      </c>
      <c r="BI342" s="2">
        <v>1</v>
      </c>
      <c r="BJ342" s="2">
        <v>0.2</v>
      </c>
      <c r="BK342" s="2">
        <v>1</v>
      </c>
      <c r="BL342" s="2">
        <v>83.93</v>
      </c>
      <c r="BM342" s="2">
        <v>11.75</v>
      </c>
      <c r="BN342" s="2">
        <v>95.68</v>
      </c>
      <c r="BO342" s="2">
        <v>95.68</v>
      </c>
      <c r="BQ342" s="2" t="s">
        <v>609</v>
      </c>
      <c r="BR342" s="2" t="s">
        <v>173</v>
      </c>
      <c r="BS342" s="2" t="s">
        <v>471</v>
      </c>
      <c r="BY342" s="2">
        <v>1200</v>
      </c>
      <c r="CC342" s="2" t="s">
        <v>159</v>
      </c>
      <c r="CD342" s="2">
        <v>2146</v>
      </c>
      <c r="CE342" s="2" t="s">
        <v>120</v>
      </c>
      <c r="CI342" s="2">
        <v>1</v>
      </c>
      <c r="CJ342" s="2" t="s">
        <v>471</v>
      </c>
      <c r="CK342" s="2" t="s">
        <v>133</v>
      </c>
      <c r="CL342" s="2" t="s">
        <v>87</v>
      </c>
    </row>
    <row r="343" spans="1:90">
      <c r="A343" s="2" t="s">
        <v>88</v>
      </c>
      <c r="B343" s="2" t="s">
        <v>72</v>
      </c>
      <c r="C343" s="2" t="s">
        <v>73</v>
      </c>
      <c r="E343" s="2" t="str">
        <f>"009936458846"</f>
        <v>009936458846</v>
      </c>
      <c r="F343" s="3">
        <v>42885</v>
      </c>
      <c r="G343" s="2">
        <v>201711</v>
      </c>
      <c r="H343" s="2" t="s">
        <v>158</v>
      </c>
      <c r="I343" s="2" t="s">
        <v>159</v>
      </c>
      <c r="J343" s="2" t="s">
        <v>91</v>
      </c>
      <c r="K343" s="2" t="s">
        <v>77</v>
      </c>
      <c r="L343" s="2" t="s">
        <v>151</v>
      </c>
      <c r="M343" s="2" t="s">
        <v>152</v>
      </c>
      <c r="N343" s="2" t="s">
        <v>91</v>
      </c>
      <c r="O343" s="2" t="s">
        <v>95</v>
      </c>
      <c r="P343" s="2" t="str">
        <f>"STORE                         "</f>
        <v xml:space="preserve">STORE                         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200.14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8</v>
      </c>
      <c r="BI343" s="2">
        <v>452.1</v>
      </c>
      <c r="BJ343" s="2">
        <v>715.6</v>
      </c>
      <c r="BK343" s="2">
        <v>716</v>
      </c>
      <c r="BL343" s="2">
        <v>1814.01</v>
      </c>
      <c r="BM343" s="2">
        <v>253.96</v>
      </c>
      <c r="BN343" s="2">
        <v>2067.9699999999998</v>
      </c>
      <c r="BO343" s="2">
        <v>2067.9699999999998</v>
      </c>
      <c r="BQ343" s="2" t="s">
        <v>153</v>
      </c>
      <c r="BS343" s="3">
        <v>42886</v>
      </c>
      <c r="BT343" s="4">
        <v>0.42083333333333334</v>
      </c>
      <c r="BU343" s="2" t="s">
        <v>153</v>
      </c>
      <c r="BV343" s="2" t="s">
        <v>85</v>
      </c>
      <c r="BY343" s="2">
        <v>3577919.94</v>
      </c>
      <c r="CC343" s="2" t="s">
        <v>152</v>
      </c>
      <c r="CD343" s="2">
        <v>699</v>
      </c>
      <c r="CE343" s="2" t="s">
        <v>120</v>
      </c>
      <c r="CI343" s="2">
        <v>1</v>
      </c>
      <c r="CJ343" s="2">
        <v>1</v>
      </c>
      <c r="CK343" s="2" t="s">
        <v>142</v>
      </c>
      <c r="CL343" s="2" t="s">
        <v>87</v>
      </c>
    </row>
    <row r="344" spans="1:90">
      <c r="A344" s="2" t="s">
        <v>88</v>
      </c>
      <c r="B344" s="2" t="s">
        <v>72</v>
      </c>
      <c r="C344" s="2" t="s">
        <v>73</v>
      </c>
      <c r="E344" s="2" t="str">
        <f>"039902587416"</f>
        <v>039902587416</v>
      </c>
      <c r="F344" s="3">
        <v>42886</v>
      </c>
      <c r="G344" s="2">
        <v>201711</v>
      </c>
      <c r="H344" s="2" t="s">
        <v>189</v>
      </c>
      <c r="I344" s="2" t="s">
        <v>98</v>
      </c>
      <c r="J344" s="2" t="s">
        <v>91</v>
      </c>
      <c r="K344" s="2" t="s">
        <v>77</v>
      </c>
      <c r="L344" s="2" t="s">
        <v>78</v>
      </c>
      <c r="M344" s="2" t="s">
        <v>79</v>
      </c>
      <c r="N344" s="2" t="s">
        <v>91</v>
      </c>
      <c r="O344" s="2" t="s">
        <v>95</v>
      </c>
      <c r="P344" s="2" t="str">
        <f>"                              "</f>
        <v xml:space="preserve">                              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30.09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1</v>
      </c>
      <c r="BI344" s="2">
        <v>19</v>
      </c>
      <c r="BJ344" s="2">
        <v>42.9</v>
      </c>
      <c r="BK344" s="2">
        <v>43</v>
      </c>
      <c r="BL344" s="2">
        <v>276.99</v>
      </c>
      <c r="BM344" s="2">
        <v>38.78</v>
      </c>
      <c r="BN344" s="2">
        <v>315.77</v>
      </c>
      <c r="BO344" s="2">
        <v>315.77</v>
      </c>
      <c r="BQ344" s="2" t="s">
        <v>148</v>
      </c>
      <c r="BR344" s="2" t="s">
        <v>610</v>
      </c>
      <c r="BS344" s="2" t="s">
        <v>471</v>
      </c>
      <c r="BY344" s="2">
        <v>214400</v>
      </c>
      <c r="CC344" s="2" t="s">
        <v>79</v>
      </c>
      <c r="CD344" s="2">
        <v>2196</v>
      </c>
      <c r="CE344" s="2" t="s">
        <v>120</v>
      </c>
      <c r="CI344" s="2">
        <v>0</v>
      </c>
      <c r="CJ344" s="2">
        <v>0</v>
      </c>
      <c r="CK344" s="2" t="s">
        <v>196</v>
      </c>
      <c r="CL344" s="2" t="s">
        <v>87</v>
      </c>
    </row>
    <row r="345" spans="1:90">
      <c r="A345" s="2" t="s">
        <v>88</v>
      </c>
      <c r="B345" s="2" t="s">
        <v>72</v>
      </c>
      <c r="C345" s="2" t="s">
        <v>73</v>
      </c>
      <c r="E345" s="2" t="str">
        <f>"009935627131"</f>
        <v>009935627131</v>
      </c>
      <c r="F345" s="3">
        <v>42886</v>
      </c>
      <c r="G345" s="2">
        <v>201711</v>
      </c>
      <c r="H345" s="2" t="s">
        <v>192</v>
      </c>
      <c r="I345" s="2" t="s">
        <v>193</v>
      </c>
      <c r="J345" s="2" t="s">
        <v>91</v>
      </c>
      <c r="K345" s="2" t="s">
        <v>77</v>
      </c>
      <c r="L345" s="2" t="s">
        <v>78</v>
      </c>
      <c r="M345" s="2" t="s">
        <v>79</v>
      </c>
      <c r="N345" s="2" t="s">
        <v>593</v>
      </c>
      <c r="O345" s="2" t="s">
        <v>95</v>
      </c>
      <c r="P345" s="2" t="str">
        <f>"                              "</f>
        <v xml:space="preserve">                              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9.5299999999999994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1</v>
      </c>
      <c r="BI345" s="2">
        <v>10</v>
      </c>
      <c r="BJ345" s="2">
        <v>2.4</v>
      </c>
      <c r="BK345" s="2">
        <v>10</v>
      </c>
      <c r="BL345" s="2">
        <v>91.17</v>
      </c>
      <c r="BM345" s="2">
        <v>12.76</v>
      </c>
      <c r="BN345" s="2">
        <v>103.93</v>
      </c>
      <c r="BO345" s="2">
        <v>103.93</v>
      </c>
      <c r="BQ345" s="2" t="s">
        <v>127</v>
      </c>
      <c r="BR345" s="2" t="s">
        <v>202</v>
      </c>
      <c r="BS345" s="2" t="s">
        <v>471</v>
      </c>
      <c r="BY345" s="2">
        <v>12000</v>
      </c>
      <c r="CC345" s="2" t="s">
        <v>79</v>
      </c>
      <c r="CD345" s="2">
        <v>2000</v>
      </c>
      <c r="CE345" s="2" t="s">
        <v>120</v>
      </c>
      <c r="CI345" s="2">
        <v>0</v>
      </c>
      <c r="CJ345" s="2">
        <v>0</v>
      </c>
      <c r="CK345" s="2" t="s">
        <v>104</v>
      </c>
      <c r="CL345" s="2" t="s">
        <v>87</v>
      </c>
    </row>
    <row r="346" spans="1:90">
      <c r="A346" s="2" t="s">
        <v>88</v>
      </c>
      <c r="B346" s="2" t="s">
        <v>72</v>
      </c>
      <c r="C346" s="2" t="s">
        <v>73</v>
      </c>
      <c r="E346" s="2" t="str">
        <f>"009936458847"</f>
        <v>009936458847</v>
      </c>
      <c r="F346" s="3">
        <v>42886</v>
      </c>
      <c r="G346" s="2">
        <v>201711</v>
      </c>
      <c r="H346" s="2" t="s">
        <v>78</v>
      </c>
      <c r="I346" s="2" t="s">
        <v>79</v>
      </c>
      <c r="J346" s="2" t="s">
        <v>91</v>
      </c>
      <c r="K346" s="2" t="s">
        <v>77</v>
      </c>
      <c r="L346" s="2" t="s">
        <v>151</v>
      </c>
      <c r="M346" s="2" t="s">
        <v>152</v>
      </c>
      <c r="N346" s="2" t="s">
        <v>76</v>
      </c>
      <c r="O346" s="2" t="s">
        <v>95</v>
      </c>
      <c r="P346" s="2" t="str">
        <f>"STORES                        "</f>
        <v xml:space="preserve">STORES                        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324.97000000000003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5</v>
      </c>
      <c r="BI346" s="2">
        <v>1168</v>
      </c>
      <c r="BJ346" s="2">
        <v>326.7</v>
      </c>
      <c r="BK346" s="2">
        <v>1168</v>
      </c>
      <c r="BL346" s="2">
        <v>2942.28</v>
      </c>
      <c r="BM346" s="2">
        <v>411.92</v>
      </c>
      <c r="BN346" s="2">
        <v>3354.2</v>
      </c>
      <c r="BO346" s="2">
        <v>3354.2</v>
      </c>
      <c r="BQ346" s="2" t="s">
        <v>153</v>
      </c>
      <c r="BR346" s="2" t="s">
        <v>611</v>
      </c>
      <c r="BS346" s="3">
        <v>42887</v>
      </c>
      <c r="BT346" s="4">
        <v>0.33333333333333331</v>
      </c>
      <c r="BU346" s="2" t="s">
        <v>247</v>
      </c>
      <c r="BY346" s="2">
        <v>326700</v>
      </c>
      <c r="CC346" s="2" t="s">
        <v>152</v>
      </c>
      <c r="CD346" s="2">
        <v>699</v>
      </c>
      <c r="CE346" s="2" t="s">
        <v>271</v>
      </c>
      <c r="CI346" s="2">
        <v>1</v>
      </c>
      <c r="CJ346" s="2">
        <v>1</v>
      </c>
      <c r="CK346" s="2" t="s">
        <v>142</v>
      </c>
      <c r="CL346" s="2" t="s">
        <v>87</v>
      </c>
    </row>
    <row r="347" spans="1:90">
      <c r="A347" s="2" t="s">
        <v>88</v>
      </c>
      <c r="B347" s="2" t="s">
        <v>72</v>
      </c>
      <c r="C347" s="2" t="s">
        <v>73</v>
      </c>
      <c r="E347" s="2" t="str">
        <f>"009936115729"</f>
        <v>009936115729</v>
      </c>
      <c r="F347" s="3">
        <v>42886</v>
      </c>
      <c r="G347" s="2">
        <v>201711</v>
      </c>
      <c r="H347" s="2" t="s">
        <v>158</v>
      </c>
      <c r="I347" s="2" t="s">
        <v>159</v>
      </c>
      <c r="J347" s="2" t="s">
        <v>91</v>
      </c>
      <c r="K347" s="2" t="s">
        <v>77</v>
      </c>
      <c r="L347" s="2" t="s">
        <v>89</v>
      </c>
      <c r="M347" s="2" t="s">
        <v>90</v>
      </c>
      <c r="N347" s="2" t="s">
        <v>612</v>
      </c>
      <c r="O347" s="2" t="s">
        <v>81</v>
      </c>
      <c r="P347" s="2" t="str">
        <f>"                              "</f>
        <v xml:space="preserve">                              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4.66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1</v>
      </c>
      <c r="BI347" s="2">
        <v>0.5</v>
      </c>
      <c r="BJ347" s="2">
        <v>0.2</v>
      </c>
      <c r="BK347" s="2">
        <v>0.5</v>
      </c>
      <c r="BL347" s="2">
        <v>42.1</v>
      </c>
      <c r="BM347" s="2">
        <v>5.89</v>
      </c>
      <c r="BN347" s="2">
        <v>47.99</v>
      </c>
      <c r="BO347" s="2">
        <v>47.99</v>
      </c>
      <c r="BQ347" s="2" t="s">
        <v>278</v>
      </c>
      <c r="BS347" s="2" t="s">
        <v>471</v>
      </c>
      <c r="BY347" s="2">
        <v>1200</v>
      </c>
      <c r="BZ347" s="2" t="s">
        <v>27</v>
      </c>
      <c r="CC347" s="2" t="s">
        <v>90</v>
      </c>
      <c r="CD347" s="2">
        <v>6045</v>
      </c>
      <c r="CE347" s="2" t="s">
        <v>120</v>
      </c>
      <c r="CI347" s="2">
        <v>1</v>
      </c>
      <c r="CJ347" s="2" t="s">
        <v>471</v>
      </c>
      <c r="CK347" s="2">
        <v>21</v>
      </c>
      <c r="CL347" s="2" t="s">
        <v>87</v>
      </c>
    </row>
    <row r="348" spans="1:90">
      <c r="A348" s="2" t="s">
        <v>88</v>
      </c>
      <c r="B348" s="2" t="s">
        <v>72</v>
      </c>
      <c r="C348" s="2" t="s">
        <v>73</v>
      </c>
      <c r="E348" s="2" t="str">
        <f>"009935957169"</f>
        <v>009935957169</v>
      </c>
      <c r="F348" s="3">
        <v>42886</v>
      </c>
      <c r="G348" s="2">
        <v>201711</v>
      </c>
      <c r="H348" s="2" t="s">
        <v>158</v>
      </c>
      <c r="I348" s="2" t="s">
        <v>159</v>
      </c>
      <c r="J348" s="2" t="s">
        <v>91</v>
      </c>
      <c r="K348" s="2" t="s">
        <v>77</v>
      </c>
      <c r="L348" s="2" t="s">
        <v>111</v>
      </c>
      <c r="M348" s="2" t="s">
        <v>112</v>
      </c>
      <c r="N348" s="2" t="s">
        <v>613</v>
      </c>
      <c r="O348" s="2" t="s">
        <v>81</v>
      </c>
      <c r="P348" s="2" t="str">
        <f>"LOCKS                         "</f>
        <v xml:space="preserve">LOCKS                         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6.54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1</v>
      </c>
      <c r="BI348" s="2">
        <v>1.3</v>
      </c>
      <c r="BJ348" s="2">
        <v>1.5</v>
      </c>
      <c r="BK348" s="2">
        <v>1.5</v>
      </c>
      <c r="BL348" s="2">
        <v>59.1</v>
      </c>
      <c r="BM348" s="2">
        <v>8.27</v>
      </c>
      <c r="BN348" s="2">
        <v>67.37</v>
      </c>
      <c r="BO348" s="2">
        <v>67.37</v>
      </c>
      <c r="BS348" s="2" t="s">
        <v>471</v>
      </c>
      <c r="BY348" s="2">
        <v>7665</v>
      </c>
      <c r="BZ348" s="2" t="s">
        <v>27</v>
      </c>
      <c r="CC348" s="2" t="s">
        <v>112</v>
      </c>
      <c r="CD348" s="2">
        <v>1034</v>
      </c>
      <c r="CE348" s="2" t="s">
        <v>120</v>
      </c>
      <c r="CI348" s="2">
        <v>1</v>
      </c>
      <c r="CJ348" s="2" t="s">
        <v>471</v>
      </c>
      <c r="CK348" s="2">
        <v>24</v>
      </c>
      <c r="CL348" s="2" t="s">
        <v>87</v>
      </c>
    </row>
    <row r="349" spans="1:90">
      <c r="A349" s="2" t="s">
        <v>88</v>
      </c>
      <c r="B349" s="2" t="s">
        <v>72</v>
      </c>
      <c r="C349" s="2" t="s">
        <v>73</v>
      </c>
      <c r="E349" s="2" t="str">
        <f>"009935501357"</f>
        <v>009935501357</v>
      </c>
      <c r="F349" s="3">
        <v>42886</v>
      </c>
      <c r="G349" s="2">
        <v>201711</v>
      </c>
      <c r="H349" s="2" t="s">
        <v>158</v>
      </c>
      <c r="I349" s="2" t="s">
        <v>159</v>
      </c>
      <c r="J349" s="2" t="s">
        <v>91</v>
      </c>
      <c r="K349" s="2" t="s">
        <v>77</v>
      </c>
      <c r="L349" s="2" t="s">
        <v>138</v>
      </c>
      <c r="M349" s="2" t="s">
        <v>139</v>
      </c>
      <c r="N349" s="2" t="s">
        <v>368</v>
      </c>
      <c r="O349" s="2" t="s">
        <v>81</v>
      </c>
      <c r="P349" s="2" t="str">
        <f>"LCK                           "</f>
        <v xml:space="preserve">LCK                           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4.66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1</v>
      </c>
      <c r="BI349" s="2">
        <v>0.5</v>
      </c>
      <c r="BJ349" s="2">
        <v>0.2</v>
      </c>
      <c r="BK349" s="2">
        <v>0.5</v>
      </c>
      <c r="BL349" s="2">
        <v>42.1</v>
      </c>
      <c r="BM349" s="2">
        <v>5.89</v>
      </c>
      <c r="BN349" s="2">
        <v>47.99</v>
      </c>
      <c r="BO349" s="2">
        <v>47.99</v>
      </c>
      <c r="BQ349" s="2" t="s">
        <v>140</v>
      </c>
      <c r="BR349" s="2" t="s">
        <v>122</v>
      </c>
      <c r="BS349" s="2" t="s">
        <v>471</v>
      </c>
      <c r="BY349" s="2">
        <v>1200</v>
      </c>
      <c r="BZ349" s="2" t="s">
        <v>27</v>
      </c>
      <c r="CC349" s="2" t="s">
        <v>139</v>
      </c>
      <c r="CD349" s="2">
        <v>9301</v>
      </c>
      <c r="CE349" s="2" t="s">
        <v>120</v>
      </c>
      <c r="CI349" s="2">
        <v>1</v>
      </c>
      <c r="CJ349" s="2" t="s">
        <v>471</v>
      </c>
      <c r="CK349" s="2">
        <v>21</v>
      </c>
      <c r="CL349" s="2" t="s">
        <v>87</v>
      </c>
    </row>
    <row r="350" spans="1:90">
      <c r="A350" s="2" t="s">
        <v>88</v>
      </c>
      <c r="B350" s="2" t="s">
        <v>72</v>
      </c>
      <c r="C350" s="2" t="s">
        <v>73</v>
      </c>
      <c r="E350" s="2" t="str">
        <f>"009935957026"</f>
        <v>009935957026</v>
      </c>
      <c r="F350" s="3">
        <v>42886</v>
      </c>
      <c r="G350" s="2">
        <v>201711</v>
      </c>
      <c r="H350" s="2" t="s">
        <v>158</v>
      </c>
      <c r="I350" s="2" t="s">
        <v>159</v>
      </c>
      <c r="J350" s="2" t="s">
        <v>614</v>
      </c>
      <c r="K350" s="2" t="s">
        <v>77</v>
      </c>
      <c r="L350" s="2" t="s">
        <v>192</v>
      </c>
      <c r="M350" s="2" t="s">
        <v>193</v>
      </c>
      <c r="N350" s="2" t="s">
        <v>615</v>
      </c>
      <c r="O350" s="2" t="s">
        <v>95</v>
      </c>
      <c r="P350" s="2" t="str">
        <f>"                              "</f>
        <v xml:space="preserve">                              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34.11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1</v>
      </c>
      <c r="BI350" s="2">
        <v>36</v>
      </c>
      <c r="BJ350" s="2">
        <v>48.1</v>
      </c>
      <c r="BK350" s="2">
        <v>49</v>
      </c>
      <c r="BL350" s="2">
        <v>313.29000000000002</v>
      </c>
      <c r="BM350" s="2">
        <v>43.86</v>
      </c>
      <c r="BN350" s="2">
        <v>357.15</v>
      </c>
      <c r="BO350" s="2">
        <v>357.15</v>
      </c>
      <c r="BS350" s="2" t="s">
        <v>471</v>
      </c>
      <c r="BY350" s="2">
        <v>240570</v>
      </c>
      <c r="CC350" s="2" t="s">
        <v>193</v>
      </c>
      <c r="CD350" s="2">
        <v>450</v>
      </c>
      <c r="CE350" s="2" t="s">
        <v>86</v>
      </c>
      <c r="CI350" s="2">
        <v>0</v>
      </c>
      <c r="CJ350" s="2">
        <v>0</v>
      </c>
      <c r="CK350" s="2" t="s">
        <v>196</v>
      </c>
      <c r="CL350" s="2" t="s">
        <v>87</v>
      </c>
    </row>
    <row r="351" spans="1:90">
      <c r="A351" s="2" t="s">
        <v>88</v>
      </c>
      <c r="B351" s="2" t="s">
        <v>72</v>
      </c>
      <c r="C351" s="2" t="s">
        <v>73</v>
      </c>
      <c r="E351" s="2" t="str">
        <f>"009935957089"</f>
        <v>009935957089</v>
      </c>
      <c r="F351" s="3">
        <v>42886</v>
      </c>
      <c r="G351" s="2">
        <v>201711</v>
      </c>
      <c r="H351" s="2" t="s">
        <v>158</v>
      </c>
      <c r="I351" s="2" t="s">
        <v>159</v>
      </c>
      <c r="J351" s="2" t="s">
        <v>91</v>
      </c>
      <c r="K351" s="2" t="s">
        <v>77</v>
      </c>
      <c r="L351" s="2" t="s">
        <v>111</v>
      </c>
      <c r="M351" s="2" t="s">
        <v>112</v>
      </c>
      <c r="N351" s="2" t="s">
        <v>613</v>
      </c>
      <c r="O351" s="2" t="s">
        <v>95</v>
      </c>
      <c r="P351" s="2" t="str">
        <f>"                              "</f>
        <v xml:space="preserve">                              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41.34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4</v>
      </c>
      <c r="BI351" s="2">
        <v>112</v>
      </c>
      <c r="BJ351" s="2">
        <v>116.5</v>
      </c>
      <c r="BK351" s="2">
        <v>117</v>
      </c>
      <c r="BL351" s="2">
        <v>378.68</v>
      </c>
      <c r="BM351" s="2">
        <v>53.02</v>
      </c>
      <c r="BN351" s="2">
        <v>431.7</v>
      </c>
      <c r="BO351" s="2">
        <v>431.7</v>
      </c>
      <c r="BQ351" s="2" t="s">
        <v>616</v>
      </c>
      <c r="BS351" s="2" t="s">
        <v>471</v>
      </c>
      <c r="BY351" s="2">
        <v>363302</v>
      </c>
      <c r="CC351" s="2" t="s">
        <v>112</v>
      </c>
      <c r="CD351" s="2">
        <v>1034</v>
      </c>
      <c r="CE351" s="2" t="s">
        <v>86</v>
      </c>
      <c r="CI351" s="2">
        <v>1</v>
      </c>
      <c r="CJ351" s="2" t="s">
        <v>471</v>
      </c>
      <c r="CK351" s="2" t="s">
        <v>133</v>
      </c>
      <c r="CL351" s="2" t="s">
        <v>87</v>
      </c>
    </row>
    <row r="352" spans="1:90">
      <c r="A352" s="2" t="s">
        <v>88</v>
      </c>
      <c r="B352" s="2" t="s">
        <v>72</v>
      </c>
      <c r="C352" s="2" t="s">
        <v>73</v>
      </c>
      <c r="E352" s="2" t="str">
        <f>"009935474377"</f>
        <v>009935474377</v>
      </c>
      <c r="F352" s="3">
        <v>42886</v>
      </c>
      <c r="G352" s="2">
        <v>201711</v>
      </c>
      <c r="H352" s="2" t="s">
        <v>158</v>
      </c>
      <c r="I352" s="2" t="s">
        <v>159</v>
      </c>
      <c r="J352" s="2" t="s">
        <v>617</v>
      </c>
      <c r="K352" s="2" t="s">
        <v>77</v>
      </c>
      <c r="L352" s="2" t="s">
        <v>192</v>
      </c>
      <c r="M352" s="2" t="s">
        <v>193</v>
      </c>
      <c r="N352" s="2" t="s">
        <v>618</v>
      </c>
      <c r="O352" s="2" t="s">
        <v>95</v>
      </c>
      <c r="P352" s="2" t="str">
        <f>"STORES                        "</f>
        <v xml:space="preserve">STORES                        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33.44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2</v>
      </c>
      <c r="BI352" s="2">
        <v>22</v>
      </c>
      <c r="BJ352" s="2">
        <v>47.7</v>
      </c>
      <c r="BK352" s="2">
        <v>48</v>
      </c>
      <c r="BL352" s="2">
        <v>307.24</v>
      </c>
      <c r="BM352" s="2">
        <v>43.01</v>
      </c>
      <c r="BN352" s="2">
        <v>350.25</v>
      </c>
      <c r="BO352" s="2">
        <v>350.25</v>
      </c>
      <c r="BR352" s="2" t="s">
        <v>122</v>
      </c>
      <c r="BS352" s="2" t="s">
        <v>471</v>
      </c>
      <c r="BY352" s="2">
        <v>238344</v>
      </c>
      <c r="CC352" s="2" t="s">
        <v>193</v>
      </c>
      <c r="CD352" s="2">
        <v>450</v>
      </c>
      <c r="CE352" s="2" t="s">
        <v>86</v>
      </c>
      <c r="CI352" s="2">
        <v>0</v>
      </c>
      <c r="CJ352" s="2">
        <v>0</v>
      </c>
      <c r="CK352" s="2" t="s">
        <v>196</v>
      </c>
      <c r="CL352" s="2" t="s">
        <v>87</v>
      </c>
    </row>
    <row r="353" spans="1:90">
      <c r="A353" s="2" t="s">
        <v>88</v>
      </c>
      <c r="B353" s="2" t="s">
        <v>72</v>
      </c>
      <c r="C353" s="2" t="s">
        <v>73</v>
      </c>
      <c r="E353" s="2" t="str">
        <f>"009935802734"</f>
        <v>009935802734</v>
      </c>
      <c r="F353" s="3">
        <v>42886</v>
      </c>
      <c r="G353" s="2">
        <v>201711</v>
      </c>
      <c r="H353" s="2" t="s">
        <v>158</v>
      </c>
      <c r="I353" s="2" t="s">
        <v>159</v>
      </c>
      <c r="J353" s="2" t="s">
        <v>91</v>
      </c>
      <c r="K353" s="2" t="s">
        <v>77</v>
      </c>
      <c r="L353" s="2" t="s">
        <v>180</v>
      </c>
      <c r="M353" s="2" t="s">
        <v>181</v>
      </c>
      <c r="N353" s="2" t="s">
        <v>269</v>
      </c>
      <c r="O353" s="2" t="s">
        <v>95</v>
      </c>
      <c r="P353" s="2" t="str">
        <f>"STORES                        "</f>
        <v xml:space="preserve">STORES                        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14.38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1</v>
      </c>
      <c r="BI353" s="2">
        <v>16.8</v>
      </c>
      <c r="BJ353" s="2">
        <v>27.6</v>
      </c>
      <c r="BK353" s="2">
        <v>28</v>
      </c>
      <c r="BL353" s="2">
        <v>134.94999999999999</v>
      </c>
      <c r="BM353" s="2">
        <v>18.89</v>
      </c>
      <c r="BN353" s="2">
        <v>153.84</v>
      </c>
      <c r="BO353" s="2">
        <v>153.84</v>
      </c>
      <c r="BS353" s="2" t="s">
        <v>471</v>
      </c>
      <c r="BY353" s="2">
        <v>137795.76</v>
      </c>
      <c r="CC353" s="2" t="s">
        <v>181</v>
      </c>
      <c r="CD353" s="2">
        <v>9460</v>
      </c>
      <c r="CE353" s="2" t="s">
        <v>120</v>
      </c>
      <c r="CI353" s="2">
        <v>1</v>
      </c>
      <c r="CJ353" s="2" t="s">
        <v>471</v>
      </c>
      <c r="CK353" s="2" t="s">
        <v>161</v>
      </c>
      <c r="CL353" s="2" t="s">
        <v>87</v>
      </c>
    </row>
    <row r="354" spans="1:90">
      <c r="A354" s="2" t="s">
        <v>88</v>
      </c>
      <c r="B354" s="2" t="s">
        <v>72</v>
      </c>
      <c r="C354" s="2" t="s">
        <v>73</v>
      </c>
      <c r="E354" s="2" t="str">
        <f>"009936054040"</f>
        <v>009936054040</v>
      </c>
      <c r="F354" s="3">
        <v>42886</v>
      </c>
      <c r="G354" s="2">
        <v>201711</v>
      </c>
      <c r="H354" s="2" t="s">
        <v>158</v>
      </c>
      <c r="I354" s="2" t="s">
        <v>159</v>
      </c>
      <c r="J354" s="2" t="s">
        <v>91</v>
      </c>
      <c r="K354" s="2" t="s">
        <v>77</v>
      </c>
      <c r="L354" s="2" t="s">
        <v>151</v>
      </c>
      <c r="M354" s="2" t="s">
        <v>152</v>
      </c>
      <c r="N354" s="2" t="s">
        <v>91</v>
      </c>
      <c r="O354" s="2" t="s">
        <v>95</v>
      </c>
      <c r="P354" s="2" t="str">
        <f>"STORES                        "</f>
        <v xml:space="preserve">STORES                        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15.94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1</v>
      </c>
      <c r="BI354" s="2">
        <v>48.4</v>
      </c>
      <c r="BJ354" s="2">
        <v>41.4</v>
      </c>
      <c r="BK354" s="2">
        <v>49</v>
      </c>
      <c r="BL354" s="2">
        <v>149.07</v>
      </c>
      <c r="BM354" s="2">
        <v>20.87</v>
      </c>
      <c r="BN354" s="2">
        <v>169.94</v>
      </c>
      <c r="BO354" s="2">
        <v>169.94</v>
      </c>
      <c r="BQ354" s="2" t="s">
        <v>619</v>
      </c>
      <c r="BS354" s="3">
        <v>42887</v>
      </c>
      <c r="BT354" s="4">
        <v>0.45833333333333331</v>
      </c>
      <c r="BU354" s="2" t="s">
        <v>365</v>
      </c>
      <c r="BY354" s="2">
        <v>207070.2</v>
      </c>
      <c r="CC354" s="2" t="s">
        <v>152</v>
      </c>
      <c r="CD354" s="2">
        <v>699</v>
      </c>
      <c r="CE354" s="2" t="s">
        <v>120</v>
      </c>
      <c r="CI354" s="2">
        <v>1</v>
      </c>
      <c r="CJ354" s="2">
        <v>1</v>
      </c>
      <c r="CK354" s="2" t="s">
        <v>142</v>
      </c>
      <c r="CL354" s="2" t="s">
        <v>87</v>
      </c>
    </row>
    <row r="355" spans="1:90">
      <c r="A355" s="2" t="s">
        <v>88</v>
      </c>
      <c r="B355" s="2" t="s">
        <v>72</v>
      </c>
      <c r="C355" s="2" t="s">
        <v>73</v>
      </c>
      <c r="E355" s="2" t="str">
        <f>"009936115946"</f>
        <v>009936115946</v>
      </c>
      <c r="F355" s="3">
        <v>42886</v>
      </c>
      <c r="G355" s="2">
        <v>201711</v>
      </c>
      <c r="H355" s="2" t="s">
        <v>158</v>
      </c>
      <c r="I355" s="2" t="s">
        <v>159</v>
      </c>
      <c r="J355" s="2" t="s">
        <v>91</v>
      </c>
      <c r="K355" s="2" t="s">
        <v>77</v>
      </c>
      <c r="L355" s="2" t="s">
        <v>138</v>
      </c>
      <c r="M355" s="2" t="s">
        <v>139</v>
      </c>
      <c r="N355" s="2" t="s">
        <v>368</v>
      </c>
      <c r="O355" s="2" t="s">
        <v>95</v>
      </c>
      <c r="P355" s="2" t="str">
        <f>"STORES                        "</f>
        <v xml:space="preserve">STORES                        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38.590000000000003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3</v>
      </c>
      <c r="BI355" s="2">
        <v>103.6</v>
      </c>
      <c r="BJ355" s="2">
        <v>130.19999999999999</v>
      </c>
      <c r="BK355" s="2">
        <v>131</v>
      </c>
      <c r="BL355" s="2">
        <v>353.76</v>
      </c>
      <c r="BM355" s="2">
        <v>49.53</v>
      </c>
      <c r="BN355" s="2">
        <v>403.29</v>
      </c>
      <c r="BO355" s="2">
        <v>403.29</v>
      </c>
      <c r="BS355" s="2" t="s">
        <v>471</v>
      </c>
      <c r="BY355" s="2">
        <v>651039.92000000004</v>
      </c>
      <c r="CC355" s="2" t="s">
        <v>139</v>
      </c>
      <c r="CD355" s="2">
        <v>9301</v>
      </c>
      <c r="CE355" s="2" t="s">
        <v>120</v>
      </c>
      <c r="CI355" s="2">
        <v>1</v>
      </c>
      <c r="CJ355" s="2" t="s">
        <v>471</v>
      </c>
      <c r="CK355" s="2" t="s">
        <v>142</v>
      </c>
      <c r="CL355" s="2" t="s">
        <v>87</v>
      </c>
    </row>
    <row r="356" spans="1:90">
      <c r="A356" s="2" t="s">
        <v>88</v>
      </c>
      <c r="B356" s="2" t="s">
        <v>72</v>
      </c>
      <c r="C356" s="2" t="s">
        <v>73</v>
      </c>
      <c r="E356" s="2" t="str">
        <f>"009935941515"</f>
        <v>009935941515</v>
      </c>
      <c r="F356" s="3">
        <v>42886</v>
      </c>
      <c r="G356" s="2">
        <v>201711</v>
      </c>
      <c r="H356" s="2" t="s">
        <v>197</v>
      </c>
      <c r="I356" s="2" t="s">
        <v>198</v>
      </c>
      <c r="J356" s="2" t="s">
        <v>91</v>
      </c>
      <c r="K356" s="2" t="s">
        <v>77</v>
      </c>
      <c r="L356" s="2" t="s">
        <v>78</v>
      </c>
      <c r="M356" s="2" t="s">
        <v>79</v>
      </c>
      <c r="N356" s="2" t="s">
        <v>91</v>
      </c>
      <c r="O356" s="2" t="s">
        <v>95</v>
      </c>
      <c r="P356" s="2" t="str">
        <f>"                              "</f>
        <v xml:space="preserve">                              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11.29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1</v>
      </c>
      <c r="BI356" s="2">
        <v>21</v>
      </c>
      <c r="BJ356" s="2">
        <v>22.3</v>
      </c>
      <c r="BK356" s="2">
        <v>23</v>
      </c>
      <c r="BL356" s="2">
        <v>107.05</v>
      </c>
      <c r="BM356" s="2">
        <v>14.99</v>
      </c>
      <c r="BN356" s="2">
        <v>122.04</v>
      </c>
      <c r="BO356" s="2">
        <v>122.04</v>
      </c>
      <c r="BQ356" s="2" t="s">
        <v>100</v>
      </c>
      <c r="BR356" s="2" t="s">
        <v>200</v>
      </c>
      <c r="BS356" s="2" t="s">
        <v>471</v>
      </c>
      <c r="BY356" s="2">
        <v>111724</v>
      </c>
      <c r="CC356" s="2" t="s">
        <v>79</v>
      </c>
      <c r="CD356" s="2">
        <v>2000</v>
      </c>
      <c r="CE356" s="2" t="s">
        <v>120</v>
      </c>
      <c r="CI356" s="2">
        <v>1</v>
      </c>
      <c r="CJ356" s="2" t="s">
        <v>471</v>
      </c>
      <c r="CK356" s="2" t="s">
        <v>133</v>
      </c>
      <c r="CL356" s="2" t="s">
        <v>87</v>
      </c>
    </row>
    <row r="357" spans="1:90">
      <c r="A357" s="2" t="s">
        <v>88</v>
      </c>
      <c r="B357" s="2" t="s">
        <v>72</v>
      </c>
      <c r="C357" s="2" t="s">
        <v>73</v>
      </c>
      <c r="E357" s="2" t="str">
        <f>"009935660395"</f>
        <v>009935660395</v>
      </c>
      <c r="F357" s="3">
        <v>42886</v>
      </c>
      <c r="G357" s="2">
        <v>201711</v>
      </c>
      <c r="H357" s="2" t="s">
        <v>158</v>
      </c>
      <c r="I357" s="2" t="s">
        <v>159</v>
      </c>
      <c r="J357" s="2" t="s">
        <v>91</v>
      </c>
      <c r="K357" s="2" t="s">
        <v>77</v>
      </c>
      <c r="L357" s="2" t="s">
        <v>620</v>
      </c>
      <c r="M357" s="2" t="s">
        <v>621</v>
      </c>
      <c r="N357" s="2" t="s">
        <v>622</v>
      </c>
      <c r="O357" s="2" t="s">
        <v>95</v>
      </c>
      <c r="P357" s="2" t="str">
        <f>"STORES                        "</f>
        <v xml:space="preserve">STORES                        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6.55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1</v>
      </c>
      <c r="BI357" s="2">
        <v>1</v>
      </c>
      <c r="BJ357" s="2">
        <v>0.3</v>
      </c>
      <c r="BK357" s="2">
        <v>1</v>
      </c>
      <c r="BL357" s="2">
        <v>64.2</v>
      </c>
      <c r="BM357" s="2">
        <v>8.99</v>
      </c>
      <c r="BN357" s="2">
        <v>73.19</v>
      </c>
      <c r="BO357" s="2">
        <v>73.19</v>
      </c>
      <c r="BQ357" s="2" t="s">
        <v>623</v>
      </c>
      <c r="BR357" s="2" t="s">
        <v>122</v>
      </c>
      <c r="BS357" s="3">
        <v>42887</v>
      </c>
      <c r="BT357" s="4">
        <v>0.41180555555555554</v>
      </c>
      <c r="BY357" s="2">
        <v>1292</v>
      </c>
      <c r="CA357" s="2" t="s">
        <v>624</v>
      </c>
      <c r="CC357" s="2" t="s">
        <v>621</v>
      </c>
      <c r="CD357" s="2">
        <v>1422</v>
      </c>
      <c r="CE357" s="2" t="s">
        <v>316</v>
      </c>
      <c r="CF357" s="3">
        <v>42887</v>
      </c>
      <c r="CI357" s="2">
        <v>1</v>
      </c>
      <c r="CJ357" s="2">
        <v>1</v>
      </c>
      <c r="CK357" s="2" t="s">
        <v>625</v>
      </c>
      <c r="CL357" s="2" t="s">
        <v>87</v>
      </c>
    </row>
    <row r="358" spans="1:90">
      <c r="A358" s="2" t="s">
        <v>88</v>
      </c>
      <c r="B358" s="2" t="s">
        <v>72</v>
      </c>
      <c r="C358" s="2" t="s">
        <v>73</v>
      </c>
      <c r="E358" s="2" t="str">
        <f>"009935802733"</f>
        <v>009935802733</v>
      </c>
      <c r="F358" s="3">
        <v>42886</v>
      </c>
      <c r="G358" s="2">
        <v>201711</v>
      </c>
      <c r="H358" s="2" t="s">
        <v>158</v>
      </c>
      <c r="I358" s="2" t="s">
        <v>159</v>
      </c>
      <c r="J358" s="2" t="s">
        <v>626</v>
      </c>
      <c r="K358" s="2" t="s">
        <v>77</v>
      </c>
      <c r="L358" s="2" t="s">
        <v>124</v>
      </c>
      <c r="M358" s="2" t="s">
        <v>125</v>
      </c>
      <c r="N358" s="2" t="s">
        <v>627</v>
      </c>
      <c r="O358" s="2" t="s">
        <v>95</v>
      </c>
      <c r="P358" s="2" t="str">
        <f>"STORES                        "</f>
        <v xml:space="preserve">STORES                        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18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1</v>
      </c>
      <c r="BI358" s="2">
        <v>38.6</v>
      </c>
      <c r="BJ358" s="2">
        <v>43.2</v>
      </c>
      <c r="BK358" s="2">
        <v>44</v>
      </c>
      <c r="BL358" s="2">
        <v>167.73</v>
      </c>
      <c r="BM358" s="2">
        <v>23.48</v>
      </c>
      <c r="BN358" s="2">
        <v>191.21</v>
      </c>
      <c r="BO358" s="2">
        <v>191.21</v>
      </c>
      <c r="BR358" s="2" t="s">
        <v>330</v>
      </c>
      <c r="BS358" s="2" t="s">
        <v>471</v>
      </c>
      <c r="BY358" s="2">
        <v>215970.48</v>
      </c>
      <c r="CC358" s="2" t="s">
        <v>125</v>
      </c>
      <c r="CD358" s="2">
        <v>300</v>
      </c>
      <c r="CE358" s="2" t="s">
        <v>120</v>
      </c>
      <c r="CI358" s="2">
        <v>1</v>
      </c>
      <c r="CJ358" s="2" t="s">
        <v>471</v>
      </c>
      <c r="CK358" s="2" t="s">
        <v>133</v>
      </c>
      <c r="CL358" s="2" t="s">
        <v>87</v>
      </c>
    </row>
    <row r="359" spans="1:90">
      <c r="A359" s="2" t="s">
        <v>88</v>
      </c>
      <c r="B359" s="2" t="s">
        <v>72</v>
      </c>
      <c r="C359" s="2" t="s">
        <v>73</v>
      </c>
      <c r="E359" s="2" t="str">
        <f>"009935552899"</f>
        <v>009935552899</v>
      </c>
      <c r="F359" s="3">
        <v>42886</v>
      </c>
      <c r="G359" s="2">
        <v>201711</v>
      </c>
      <c r="H359" s="2" t="s">
        <v>158</v>
      </c>
      <c r="I359" s="2" t="s">
        <v>159</v>
      </c>
      <c r="J359" s="2" t="s">
        <v>91</v>
      </c>
      <c r="K359" s="2" t="s">
        <v>77</v>
      </c>
      <c r="L359" s="2" t="s">
        <v>105</v>
      </c>
      <c r="M359" s="2" t="s">
        <v>106</v>
      </c>
      <c r="N359" s="2" t="s">
        <v>628</v>
      </c>
      <c r="O359" s="2" t="s">
        <v>81</v>
      </c>
      <c r="P359" s="2" t="str">
        <f>"LOCKS                         "</f>
        <v xml:space="preserve">LOCKS                         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4.66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1</v>
      </c>
      <c r="BI359" s="2">
        <v>0.5</v>
      </c>
      <c r="BJ359" s="2">
        <v>0.2</v>
      </c>
      <c r="BK359" s="2">
        <v>0.5</v>
      </c>
      <c r="BL359" s="2">
        <v>42.1</v>
      </c>
      <c r="BM359" s="2">
        <v>5.89</v>
      </c>
      <c r="BN359" s="2">
        <v>47.99</v>
      </c>
      <c r="BO359" s="2">
        <v>47.99</v>
      </c>
      <c r="BS359" s="2" t="s">
        <v>471</v>
      </c>
      <c r="BY359" s="2">
        <v>1200</v>
      </c>
      <c r="CC359" s="2" t="s">
        <v>106</v>
      </c>
      <c r="CD359" s="2">
        <v>7700</v>
      </c>
      <c r="CE359" s="2" t="s">
        <v>120</v>
      </c>
      <c r="CI359" s="2">
        <v>1</v>
      </c>
      <c r="CJ359" s="2" t="s">
        <v>471</v>
      </c>
      <c r="CK359" s="2">
        <v>21</v>
      </c>
      <c r="CL359" s="2" t="s">
        <v>87</v>
      </c>
    </row>
    <row r="361" spans="1:90">
      <c r="E361" s="2" t="s">
        <v>629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8676.35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I361" s="2">
        <v>13090.5</v>
      </c>
      <c r="BJ361" s="2">
        <v>15253.7</v>
      </c>
      <c r="BK361" s="2">
        <v>17982</v>
      </c>
      <c r="BL361" s="2">
        <v>79985.11</v>
      </c>
      <c r="BM361" s="2">
        <v>11197.76</v>
      </c>
      <c r="BN361" s="2">
        <v>91182.87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2017-06-01T13:31:06Z</dcterms:created>
  <dcterms:modified xsi:type="dcterms:W3CDTF">2017-06-01T13:31:21Z</dcterms:modified>
</cp:coreProperties>
</file>