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sdrascd7-IEHAZMA161576" sheetId="1" r:id="rId1"/>
  </sheets>
  <calcPr calcId="145621"/>
</workbook>
</file>

<file path=xl/calcChain.xml><?xml version="1.0" encoding="utf-8"?>
<calcChain xmlns="http://schemas.openxmlformats.org/spreadsheetml/2006/main">
  <c r="P858" i="1" l="1"/>
  <c r="E858" i="1"/>
  <c r="P857" i="1"/>
  <c r="E857" i="1"/>
  <c r="P856" i="1"/>
  <c r="E856" i="1"/>
  <c r="P855" i="1"/>
  <c r="E855" i="1"/>
  <c r="P854" i="1"/>
  <c r="E854" i="1"/>
  <c r="P853" i="1"/>
  <c r="E853" i="1"/>
  <c r="P852" i="1"/>
  <c r="E852" i="1"/>
  <c r="P851" i="1"/>
  <c r="E851" i="1"/>
  <c r="P850" i="1"/>
  <c r="E850" i="1"/>
  <c r="P849" i="1"/>
  <c r="E849" i="1"/>
  <c r="P848" i="1"/>
  <c r="E848" i="1"/>
  <c r="P847" i="1"/>
  <c r="E847" i="1"/>
  <c r="P846" i="1"/>
  <c r="E846" i="1"/>
  <c r="P845" i="1"/>
  <c r="E845" i="1"/>
  <c r="P844" i="1"/>
  <c r="E844" i="1"/>
  <c r="P843" i="1"/>
  <c r="E843" i="1"/>
  <c r="P842" i="1"/>
  <c r="E842" i="1"/>
  <c r="P841" i="1"/>
  <c r="E841" i="1"/>
  <c r="P840" i="1"/>
  <c r="E840" i="1"/>
  <c r="P839" i="1"/>
  <c r="E839" i="1"/>
  <c r="P838" i="1"/>
  <c r="E838" i="1"/>
  <c r="P837" i="1"/>
  <c r="E837" i="1"/>
  <c r="P836" i="1"/>
  <c r="E836" i="1"/>
  <c r="P835" i="1"/>
  <c r="E835" i="1"/>
  <c r="P834" i="1"/>
  <c r="E834" i="1"/>
  <c r="P833" i="1"/>
  <c r="E833" i="1"/>
  <c r="P832" i="1"/>
  <c r="E832" i="1"/>
  <c r="P831" i="1"/>
  <c r="E831" i="1"/>
  <c r="P830" i="1"/>
  <c r="E830" i="1"/>
  <c r="P829" i="1"/>
  <c r="E829" i="1"/>
  <c r="P828" i="1"/>
  <c r="E828" i="1"/>
  <c r="P827" i="1"/>
  <c r="E827" i="1"/>
  <c r="P826" i="1"/>
  <c r="E826" i="1"/>
  <c r="P825" i="1"/>
  <c r="E825" i="1"/>
  <c r="P824" i="1"/>
  <c r="E824" i="1"/>
  <c r="P823" i="1"/>
  <c r="E823" i="1"/>
  <c r="P822" i="1"/>
  <c r="E822" i="1"/>
  <c r="P821" i="1"/>
  <c r="E821" i="1"/>
  <c r="P820" i="1"/>
  <c r="E820" i="1"/>
  <c r="P819" i="1"/>
  <c r="E819" i="1"/>
  <c r="P818" i="1"/>
  <c r="E818" i="1"/>
  <c r="P817" i="1"/>
  <c r="E817" i="1"/>
  <c r="P816" i="1"/>
  <c r="E816" i="1"/>
  <c r="P815" i="1"/>
  <c r="E815" i="1"/>
  <c r="P814" i="1"/>
  <c r="E814" i="1"/>
  <c r="P813" i="1"/>
  <c r="E813" i="1"/>
  <c r="P812" i="1"/>
  <c r="E812" i="1"/>
  <c r="P811" i="1"/>
  <c r="E811" i="1"/>
  <c r="P810" i="1"/>
  <c r="E810" i="1"/>
  <c r="P809" i="1"/>
  <c r="E809" i="1"/>
  <c r="P808" i="1"/>
  <c r="E808" i="1"/>
  <c r="P807" i="1"/>
  <c r="E807" i="1"/>
  <c r="P806" i="1"/>
  <c r="E806" i="1"/>
  <c r="P805" i="1"/>
  <c r="E805" i="1"/>
  <c r="P804" i="1"/>
  <c r="E804" i="1"/>
  <c r="P803" i="1"/>
  <c r="E803" i="1"/>
  <c r="P802" i="1"/>
  <c r="E802" i="1"/>
  <c r="P801" i="1"/>
  <c r="E801" i="1"/>
  <c r="P800" i="1"/>
  <c r="E800" i="1"/>
  <c r="P799" i="1"/>
  <c r="E799" i="1"/>
  <c r="P798" i="1"/>
  <c r="E798" i="1"/>
  <c r="P797" i="1"/>
  <c r="E797" i="1"/>
  <c r="P796" i="1"/>
  <c r="E796" i="1"/>
  <c r="P795" i="1"/>
  <c r="E795" i="1"/>
  <c r="P794" i="1"/>
  <c r="E794" i="1"/>
  <c r="P793" i="1"/>
  <c r="E793" i="1"/>
  <c r="P792" i="1"/>
  <c r="E792" i="1"/>
  <c r="P791" i="1"/>
  <c r="E791" i="1"/>
  <c r="P790" i="1"/>
  <c r="E790" i="1"/>
  <c r="P789" i="1"/>
  <c r="E789" i="1"/>
  <c r="P788" i="1"/>
  <c r="E788" i="1"/>
  <c r="P787" i="1"/>
  <c r="E787" i="1"/>
  <c r="P786" i="1"/>
  <c r="E786" i="1"/>
  <c r="P785" i="1"/>
  <c r="E785" i="1"/>
  <c r="P784" i="1"/>
  <c r="E784" i="1"/>
  <c r="P783" i="1"/>
  <c r="E783" i="1"/>
  <c r="P779" i="1"/>
  <c r="E779" i="1"/>
  <c r="P778" i="1"/>
  <c r="E778" i="1"/>
  <c r="P777" i="1"/>
  <c r="E777" i="1"/>
  <c r="P776" i="1"/>
  <c r="E776" i="1"/>
  <c r="P775" i="1"/>
  <c r="E775" i="1"/>
  <c r="P771" i="1"/>
  <c r="E771" i="1"/>
  <c r="P770" i="1"/>
  <c r="E770" i="1"/>
  <c r="P769" i="1"/>
  <c r="E769" i="1"/>
  <c r="P768" i="1"/>
  <c r="E768" i="1"/>
  <c r="P767" i="1"/>
  <c r="E767" i="1"/>
  <c r="P766" i="1"/>
  <c r="E766" i="1"/>
  <c r="P765" i="1"/>
  <c r="E765" i="1"/>
  <c r="P764" i="1"/>
  <c r="E764" i="1"/>
  <c r="P763" i="1"/>
  <c r="E763" i="1"/>
  <c r="P762" i="1"/>
  <c r="E762" i="1"/>
  <c r="P761" i="1"/>
  <c r="E761" i="1"/>
  <c r="P760" i="1"/>
  <c r="E760" i="1"/>
  <c r="P759" i="1"/>
  <c r="E759" i="1"/>
  <c r="P758" i="1"/>
  <c r="E758" i="1"/>
  <c r="P757" i="1"/>
  <c r="E757" i="1"/>
  <c r="P756" i="1"/>
  <c r="E756" i="1"/>
  <c r="P755" i="1"/>
  <c r="E755" i="1"/>
  <c r="P754" i="1"/>
  <c r="E754" i="1"/>
  <c r="P753" i="1"/>
  <c r="E753" i="1"/>
  <c r="P752" i="1"/>
  <c r="E752" i="1"/>
  <c r="P751" i="1"/>
  <c r="E751" i="1"/>
  <c r="P750" i="1"/>
  <c r="E750" i="1"/>
  <c r="P749" i="1"/>
  <c r="E749" i="1"/>
  <c r="P748" i="1"/>
  <c r="E748" i="1"/>
  <c r="P747" i="1"/>
  <c r="E747" i="1"/>
  <c r="P746" i="1"/>
  <c r="E746" i="1"/>
  <c r="P745" i="1"/>
  <c r="E745" i="1"/>
  <c r="P744" i="1"/>
  <c r="E744" i="1"/>
  <c r="P743" i="1"/>
  <c r="E743" i="1"/>
  <c r="P742" i="1"/>
  <c r="E742" i="1"/>
  <c r="P741" i="1"/>
  <c r="E741" i="1"/>
  <c r="P740" i="1"/>
  <c r="E740" i="1"/>
  <c r="P739" i="1"/>
  <c r="E739" i="1"/>
  <c r="P738" i="1"/>
  <c r="E738" i="1"/>
  <c r="P737" i="1"/>
  <c r="E737" i="1"/>
  <c r="P736" i="1"/>
  <c r="E736" i="1"/>
  <c r="P735" i="1"/>
  <c r="E735" i="1"/>
  <c r="P734" i="1"/>
  <c r="E734" i="1"/>
  <c r="P733" i="1"/>
  <c r="E733" i="1"/>
  <c r="P732" i="1"/>
  <c r="E732" i="1"/>
  <c r="P731" i="1"/>
  <c r="E731" i="1"/>
  <c r="P730" i="1"/>
  <c r="E730" i="1"/>
  <c r="P729" i="1"/>
  <c r="E729" i="1"/>
  <c r="P728" i="1"/>
  <c r="E728" i="1"/>
  <c r="P727" i="1"/>
  <c r="E727" i="1"/>
  <c r="P726" i="1"/>
  <c r="E726" i="1"/>
  <c r="P725" i="1"/>
  <c r="E725" i="1"/>
  <c r="P724" i="1"/>
  <c r="E724" i="1"/>
  <c r="P723" i="1"/>
  <c r="E723" i="1"/>
  <c r="P722" i="1"/>
  <c r="E722" i="1"/>
  <c r="P721" i="1"/>
  <c r="E721" i="1"/>
  <c r="P720" i="1"/>
  <c r="E720" i="1"/>
  <c r="P719" i="1"/>
  <c r="E719" i="1"/>
  <c r="P718" i="1"/>
  <c r="E718" i="1"/>
  <c r="P717" i="1"/>
  <c r="E717" i="1"/>
  <c r="P716" i="1"/>
  <c r="E716" i="1"/>
  <c r="P715" i="1"/>
  <c r="E715" i="1"/>
  <c r="P714" i="1"/>
  <c r="E714" i="1"/>
  <c r="P713" i="1"/>
  <c r="E713" i="1"/>
  <c r="P712" i="1"/>
  <c r="E712" i="1"/>
  <c r="P711" i="1"/>
  <c r="E711" i="1"/>
  <c r="P710" i="1"/>
  <c r="E710" i="1"/>
  <c r="P709" i="1"/>
  <c r="E709" i="1"/>
  <c r="P708" i="1"/>
  <c r="E708" i="1"/>
  <c r="P707" i="1"/>
  <c r="E707" i="1"/>
  <c r="P706" i="1"/>
  <c r="E706" i="1"/>
  <c r="P705" i="1"/>
  <c r="E705" i="1"/>
  <c r="P704" i="1"/>
  <c r="E704" i="1"/>
  <c r="P703" i="1"/>
  <c r="E703" i="1"/>
  <c r="P702" i="1"/>
  <c r="E702" i="1"/>
  <c r="P701" i="1"/>
  <c r="E701" i="1"/>
  <c r="P700" i="1"/>
  <c r="E700" i="1"/>
  <c r="P699" i="1"/>
  <c r="E699" i="1"/>
  <c r="P698" i="1"/>
  <c r="E698" i="1"/>
  <c r="P697" i="1"/>
  <c r="E697" i="1"/>
  <c r="P696" i="1"/>
  <c r="E696" i="1"/>
  <c r="P695" i="1"/>
  <c r="E695" i="1"/>
  <c r="P694" i="1"/>
  <c r="E694" i="1"/>
  <c r="P693" i="1"/>
  <c r="E693" i="1"/>
  <c r="P692" i="1"/>
  <c r="E692" i="1"/>
  <c r="P691" i="1"/>
  <c r="E691" i="1"/>
  <c r="P690" i="1"/>
  <c r="E690" i="1"/>
  <c r="P689" i="1"/>
  <c r="E689" i="1"/>
  <c r="P688" i="1"/>
  <c r="E688" i="1"/>
  <c r="P687" i="1"/>
  <c r="E687" i="1"/>
  <c r="P686" i="1"/>
  <c r="E686" i="1"/>
  <c r="P685" i="1"/>
  <c r="E685" i="1"/>
  <c r="P684" i="1"/>
  <c r="E684" i="1"/>
  <c r="P683" i="1"/>
  <c r="E683" i="1"/>
  <c r="P682" i="1"/>
  <c r="E682" i="1"/>
  <c r="P681" i="1"/>
  <c r="E681" i="1"/>
  <c r="P680" i="1"/>
  <c r="E680" i="1"/>
  <c r="P679" i="1"/>
  <c r="E679" i="1"/>
  <c r="P678" i="1"/>
  <c r="E678" i="1"/>
  <c r="P677" i="1"/>
  <c r="E677" i="1"/>
  <c r="P676" i="1"/>
  <c r="E676" i="1"/>
  <c r="P675" i="1"/>
  <c r="E675" i="1"/>
  <c r="P674" i="1"/>
  <c r="E674" i="1"/>
  <c r="P673" i="1"/>
  <c r="E673" i="1"/>
  <c r="P672" i="1"/>
  <c r="E672" i="1"/>
  <c r="P671" i="1"/>
  <c r="E671" i="1"/>
  <c r="P670" i="1"/>
  <c r="E670" i="1"/>
  <c r="P669" i="1"/>
  <c r="E669" i="1"/>
  <c r="P668" i="1"/>
  <c r="E668" i="1"/>
  <c r="P667" i="1"/>
  <c r="E667" i="1"/>
  <c r="P666" i="1"/>
  <c r="E666" i="1"/>
  <c r="P665" i="1"/>
  <c r="E665" i="1"/>
  <c r="P664" i="1"/>
  <c r="E664" i="1"/>
  <c r="P663" i="1"/>
  <c r="E663" i="1"/>
  <c r="P662" i="1"/>
  <c r="E662" i="1"/>
  <c r="P661" i="1"/>
  <c r="E661" i="1"/>
  <c r="P660" i="1"/>
  <c r="E660" i="1"/>
  <c r="P659" i="1"/>
  <c r="E659" i="1"/>
  <c r="P658" i="1"/>
  <c r="E658" i="1"/>
  <c r="P657" i="1"/>
  <c r="E657" i="1"/>
  <c r="P656" i="1"/>
  <c r="E656" i="1"/>
  <c r="P655" i="1"/>
  <c r="E655" i="1"/>
  <c r="P654" i="1"/>
  <c r="E654" i="1"/>
  <c r="P653" i="1"/>
  <c r="E653" i="1"/>
  <c r="P652" i="1"/>
  <c r="E652" i="1"/>
  <c r="P651" i="1"/>
  <c r="E651" i="1"/>
  <c r="P650" i="1"/>
  <c r="E650" i="1"/>
  <c r="P649" i="1"/>
  <c r="E649" i="1"/>
  <c r="P648" i="1"/>
  <c r="E648" i="1"/>
  <c r="P647" i="1"/>
  <c r="E647" i="1"/>
  <c r="P646" i="1"/>
  <c r="E646" i="1"/>
  <c r="P645" i="1"/>
  <c r="E645" i="1"/>
  <c r="P644" i="1"/>
  <c r="E644" i="1"/>
  <c r="P643" i="1"/>
  <c r="E643" i="1"/>
  <c r="P642" i="1"/>
  <c r="E642" i="1"/>
  <c r="P641" i="1"/>
  <c r="E641" i="1"/>
  <c r="P640" i="1"/>
  <c r="E640" i="1"/>
  <c r="P639" i="1"/>
  <c r="E639" i="1"/>
  <c r="P638" i="1"/>
  <c r="E638" i="1"/>
  <c r="P637" i="1"/>
  <c r="E637" i="1"/>
  <c r="P636" i="1"/>
  <c r="E636" i="1"/>
  <c r="P635" i="1"/>
  <c r="E635" i="1"/>
  <c r="P634" i="1"/>
  <c r="E634" i="1"/>
  <c r="P633" i="1"/>
  <c r="E633" i="1"/>
  <c r="P632" i="1"/>
  <c r="E632" i="1"/>
  <c r="P631" i="1"/>
  <c r="E631" i="1"/>
  <c r="P630" i="1"/>
  <c r="E630" i="1"/>
  <c r="P629" i="1"/>
  <c r="E629" i="1"/>
  <c r="P628" i="1"/>
  <c r="E628" i="1"/>
  <c r="P627" i="1"/>
  <c r="E627" i="1"/>
  <c r="P626" i="1"/>
  <c r="E626" i="1"/>
  <c r="P625" i="1"/>
  <c r="E625" i="1"/>
  <c r="P624" i="1"/>
  <c r="E624" i="1"/>
  <c r="P623" i="1"/>
  <c r="E623" i="1"/>
  <c r="P622" i="1"/>
  <c r="E622" i="1"/>
  <c r="P621" i="1"/>
  <c r="E621" i="1"/>
  <c r="P620" i="1"/>
  <c r="E620" i="1"/>
  <c r="P619" i="1"/>
  <c r="E619" i="1"/>
  <c r="P618" i="1"/>
  <c r="E618" i="1"/>
  <c r="P617" i="1"/>
  <c r="E617" i="1"/>
  <c r="P616" i="1"/>
  <c r="E616" i="1"/>
  <c r="P615" i="1"/>
  <c r="E615" i="1"/>
  <c r="P614" i="1"/>
  <c r="E614" i="1"/>
  <c r="P613" i="1"/>
  <c r="E613" i="1"/>
  <c r="P612" i="1"/>
  <c r="E612" i="1"/>
  <c r="P611" i="1"/>
  <c r="E611" i="1"/>
  <c r="P610" i="1"/>
  <c r="E610" i="1"/>
  <c r="P609" i="1"/>
  <c r="E609" i="1"/>
  <c r="P608" i="1"/>
  <c r="E608" i="1"/>
  <c r="P607" i="1"/>
  <c r="E607" i="1"/>
  <c r="P606" i="1"/>
  <c r="E606" i="1"/>
  <c r="P605" i="1"/>
  <c r="E605" i="1"/>
  <c r="P604" i="1"/>
  <c r="E604" i="1"/>
  <c r="P603" i="1"/>
  <c r="E603" i="1"/>
  <c r="P602" i="1"/>
  <c r="E602" i="1"/>
  <c r="P601" i="1"/>
  <c r="E601" i="1"/>
  <c r="P600" i="1"/>
  <c r="E600" i="1"/>
  <c r="P599" i="1"/>
  <c r="E599" i="1"/>
  <c r="P598" i="1"/>
  <c r="E598" i="1"/>
  <c r="P597" i="1"/>
  <c r="E597" i="1"/>
  <c r="P596" i="1"/>
  <c r="E596" i="1"/>
  <c r="P595" i="1"/>
  <c r="E595" i="1"/>
  <c r="P594" i="1"/>
  <c r="E594" i="1"/>
  <c r="P593" i="1"/>
  <c r="E593" i="1"/>
  <c r="P592" i="1"/>
  <c r="E592" i="1"/>
  <c r="P591" i="1"/>
  <c r="E591" i="1"/>
  <c r="P590" i="1"/>
  <c r="E590" i="1"/>
  <c r="P589" i="1"/>
  <c r="E589" i="1"/>
  <c r="P588" i="1"/>
  <c r="E588" i="1"/>
  <c r="P587" i="1"/>
  <c r="E587" i="1"/>
  <c r="P586" i="1"/>
  <c r="E586" i="1"/>
  <c r="P585" i="1"/>
  <c r="E585" i="1"/>
  <c r="P584" i="1"/>
  <c r="E584" i="1"/>
  <c r="P583" i="1"/>
  <c r="E583" i="1"/>
  <c r="P582" i="1"/>
  <c r="E582" i="1"/>
  <c r="P581" i="1"/>
  <c r="E581" i="1"/>
  <c r="P580" i="1"/>
  <c r="E580" i="1"/>
  <c r="P579" i="1"/>
  <c r="E579" i="1"/>
  <c r="P578" i="1"/>
  <c r="E578" i="1"/>
  <c r="P577" i="1"/>
  <c r="E577" i="1"/>
  <c r="P576" i="1"/>
  <c r="E576" i="1"/>
  <c r="P575" i="1"/>
  <c r="E575" i="1"/>
  <c r="P574" i="1"/>
  <c r="E574" i="1"/>
  <c r="P573" i="1"/>
  <c r="E573" i="1"/>
  <c r="P572" i="1"/>
  <c r="E572" i="1"/>
  <c r="P571" i="1"/>
  <c r="E571" i="1"/>
  <c r="P570" i="1"/>
  <c r="E570" i="1"/>
  <c r="P569" i="1"/>
  <c r="E569" i="1"/>
  <c r="P568" i="1"/>
  <c r="E568" i="1"/>
  <c r="P567" i="1"/>
  <c r="E567" i="1"/>
  <c r="P566" i="1"/>
  <c r="E566" i="1"/>
  <c r="P565" i="1"/>
  <c r="E565" i="1"/>
  <c r="P564" i="1"/>
  <c r="E564" i="1"/>
  <c r="P563" i="1"/>
  <c r="E563" i="1"/>
  <c r="P562" i="1"/>
  <c r="E562" i="1"/>
  <c r="P561" i="1"/>
  <c r="E561" i="1"/>
  <c r="P560" i="1"/>
  <c r="E560" i="1"/>
  <c r="P559" i="1"/>
  <c r="E559" i="1"/>
  <c r="P558" i="1"/>
  <c r="E558" i="1"/>
  <c r="P557" i="1"/>
  <c r="E557" i="1"/>
  <c r="P556" i="1"/>
  <c r="E556" i="1"/>
  <c r="P555" i="1"/>
  <c r="E555" i="1"/>
  <c r="P554" i="1"/>
  <c r="E554" i="1"/>
  <c r="P553" i="1"/>
  <c r="E553" i="1"/>
  <c r="P552" i="1"/>
  <c r="E552" i="1"/>
  <c r="P551" i="1"/>
  <c r="E551" i="1"/>
  <c r="P550" i="1"/>
  <c r="E550" i="1"/>
  <c r="P549" i="1"/>
  <c r="E549" i="1"/>
  <c r="P548" i="1"/>
  <c r="E548" i="1"/>
  <c r="P547" i="1"/>
  <c r="E547" i="1"/>
  <c r="P546" i="1"/>
  <c r="E546" i="1"/>
  <c r="P545" i="1"/>
  <c r="E545" i="1"/>
  <c r="P544" i="1"/>
  <c r="E544" i="1"/>
  <c r="P543" i="1"/>
  <c r="E543" i="1"/>
  <c r="P542" i="1"/>
  <c r="E542" i="1"/>
  <c r="P541" i="1"/>
  <c r="E541" i="1"/>
  <c r="P540" i="1"/>
  <c r="E540" i="1"/>
  <c r="P539" i="1"/>
  <c r="E539" i="1"/>
  <c r="P538" i="1"/>
  <c r="E538" i="1"/>
  <c r="P537" i="1"/>
  <c r="E537" i="1"/>
  <c r="P536" i="1"/>
  <c r="E536" i="1"/>
  <c r="P535" i="1"/>
  <c r="E535" i="1"/>
  <c r="P534" i="1"/>
  <c r="E534" i="1"/>
  <c r="P533" i="1"/>
  <c r="E533" i="1"/>
  <c r="P532" i="1"/>
  <c r="E532" i="1"/>
  <c r="P531" i="1"/>
  <c r="E531" i="1"/>
  <c r="P530" i="1"/>
  <c r="E530" i="1"/>
  <c r="P529" i="1"/>
  <c r="E529" i="1"/>
  <c r="P528" i="1"/>
  <c r="E528" i="1"/>
  <c r="P527" i="1"/>
  <c r="E527" i="1"/>
  <c r="P526" i="1"/>
  <c r="E526" i="1"/>
  <c r="P525" i="1"/>
  <c r="E525" i="1"/>
  <c r="P524" i="1"/>
  <c r="E524" i="1"/>
  <c r="P523" i="1"/>
  <c r="E523" i="1"/>
  <c r="P522" i="1"/>
  <c r="E522" i="1"/>
  <c r="P521" i="1"/>
  <c r="E521" i="1"/>
  <c r="P520" i="1"/>
  <c r="E520" i="1"/>
  <c r="P519" i="1"/>
  <c r="E519" i="1"/>
  <c r="P518" i="1"/>
  <c r="E518" i="1"/>
  <c r="P517" i="1"/>
  <c r="E517" i="1"/>
  <c r="P516" i="1"/>
  <c r="E516" i="1"/>
  <c r="P515" i="1"/>
  <c r="E515" i="1"/>
  <c r="P514" i="1"/>
  <c r="E514" i="1"/>
  <c r="P513" i="1"/>
  <c r="E513" i="1"/>
  <c r="P512" i="1"/>
  <c r="E512" i="1"/>
  <c r="P511" i="1"/>
  <c r="E511" i="1"/>
  <c r="P510" i="1"/>
  <c r="E510" i="1"/>
  <c r="P509" i="1"/>
  <c r="E509" i="1"/>
  <c r="P508" i="1"/>
  <c r="E508" i="1"/>
  <c r="P507" i="1"/>
  <c r="E507" i="1"/>
  <c r="P506" i="1"/>
  <c r="E506" i="1"/>
  <c r="P505" i="1"/>
  <c r="E505" i="1"/>
  <c r="P504" i="1"/>
  <c r="E504" i="1"/>
  <c r="P503" i="1"/>
  <c r="E503" i="1"/>
  <c r="P502" i="1"/>
  <c r="E502" i="1"/>
  <c r="P501" i="1"/>
  <c r="E501" i="1"/>
  <c r="P500" i="1"/>
  <c r="E500" i="1"/>
  <c r="P499" i="1"/>
  <c r="E499" i="1"/>
  <c r="P498" i="1"/>
  <c r="E498" i="1"/>
  <c r="P497" i="1"/>
  <c r="E497" i="1"/>
  <c r="P496" i="1"/>
  <c r="E496" i="1"/>
  <c r="P495" i="1"/>
  <c r="E495" i="1"/>
  <c r="P494" i="1"/>
  <c r="E494" i="1"/>
  <c r="P493" i="1"/>
  <c r="E493" i="1"/>
  <c r="P492" i="1"/>
  <c r="E492" i="1"/>
  <c r="P491" i="1"/>
  <c r="E491" i="1"/>
  <c r="P490" i="1"/>
  <c r="E490" i="1"/>
  <c r="P489" i="1"/>
  <c r="E489" i="1"/>
  <c r="P488" i="1"/>
  <c r="E488" i="1"/>
  <c r="P487" i="1"/>
  <c r="E487" i="1"/>
  <c r="P486" i="1"/>
  <c r="E486" i="1"/>
  <c r="P485" i="1"/>
  <c r="E485" i="1"/>
  <c r="P484" i="1"/>
  <c r="E484" i="1"/>
  <c r="P483" i="1"/>
  <c r="E483" i="1"/>
  <c r="P482" i="1"/>
  <c r="E482" i="1"/>
  <c r="P481" i="1"/>
  <c r="E481" i="1"/>
  <c r="P480" i="1"/>
  <c r="E480" i="1"/>
  <c r="P479" i="1"/>
  <c r="E479" i="1"/>
  <c r="P475" i="1"/>
  <c r="E475" i="1"/>
  <c r="P474" i="1"/>
  <c r="E474" i="1"/>
  <c r="P473" i="1"/>
  <c r="E473" i="1"/>
  <c r="P472" i="1"/>
  <c r="E472" i="1"/>
  <c r="P471" i="1"/>
  <c r="E471" i="1"/>
  <c r="P470" i="1"/>
  <c r="E470" i="1"/>
  <c r="P469" i="1"/>
  <c r="E469" i="1"/>
  <c r="P468" i="1"/>
  <c r="E468" i="1"/>
  <c r="P467" i="1"/>
  <c r="E467" i="1"/>
  <c r="P466" i="1"/>
  <c r="E466" i="1"/>
  <c r="P465" i="1"/>
  <c r="E465" i="1"/>
  <c r="P464" i="1"/>
  <c r="E464" i="1"/>
  <c r="P463" i="1"/>
  <c r="E463" i="1"/>
  <c r="P462" i="1"/>
  <c r="E462" i="1"/>
  <c r="P461" i="1"/>
  <c r="E461" i="1"/>
  <c r="P460" i="1"/>
  <c r="E460" i="1"/>
  <c r="P459" i="1"/>
  <c r="E459" i="1"/>
  <c r="P458" i="1"/>
  <c r="E458" i="1"/>
  <c r="P457" i="1"/>
  <c r="E457" i="1"/>
  <c r="P456" i="1"/>
  <c r="E456" i="1"/>
  <c r="P455" i="1"/>
  <c r="E455" i="1"/>
  <c r="P454" i="1"/>
  <c r="E454" i="1"/>
  <c r="P453" i="1"/>
  <c r="E453" i="1"/>
  <c r="P452" i="1"/>
  <c r="E452" i="1"/>
  <c r="P451" i="1"/>
  <c r="E451" i="1"/>
  <c r="P450" i="1"/>
  <c r="E450" i="1"/>
  <c r="P449" i="1"/>
  <c r="E449" i="1"/>
  <c r="P448" i="1"/>
  <c r="E448" i="1"/>
  <c r="P447" i="1"/>
  <c r="E447" i="1"/>
  <c r="P446" i="1"/>
  <c r="E446" i="1"/>
  <c r="P445" i="1"/>
  <c r="E445" i="1"/>
  <c r="P444" i="1"/>
  <c r="E444" i="1"/>
  <c r="P443" i="1"/>
  <c r="E443" i="1"/>
  <c r="P442" i="1"/>
  <c r="E442" i="1"/>
  <c r="P441" i="1"/>
  <c r="E441" i="1"/>
  <c r="P440" i="1"/>
  <c r="E440" i="1"/>
  <c r="P439" i="1"/>
  <c r="E439" i="1"/>
  <c r="P438" i="1"/>
  <c r="E438" i="1"/>
  <c r="P437" i="1"/>
  <c r="E437" i="1"/>
  <c r="P436" i="1"/>
  <c r="E436" i="1"/>
  <c r="P435" i="1"/>
  <c r="E435" i="1"/>
  <c r="P434" i="1"/>
  <c r="E434" i="1"/>
  <c r="P433" i="1"/>
  <c r="E433" i="1"/>
  <c r="P432" i="1"/>
  <c r="E432" i="1"/>
  <c r="P431" i="1"/>
  <c r="E431" i="1"/>
  <c r="P430" i="1"/>
  <c r="E430" i="1"/>
  <c r="P429" i="1"/>
  <c r="E429" i="1"/>
  <c r="P428" i="1"/>
  <c r="E428" i="1"/>
  <c r="P427" i="1"/>
  <c r="E427" i="1"/>
  <c r="P426" i="1"/>
  <c r="E426" i="1"/>
  <c r="P425" i="1"/>
  <c r="E425" i="1"/>
  <c r="P424" i="1"/>
  <c r="E424" i="1"/>
  <c r="P423" i="1"/>
  <c r="E423" i="1"/>
  <c r="P422" i="1"/>
  <c r="E422" i="1"/>
  <c r="P421" i="1"/>
  <c r="E421" i="1"/>
  <c r="P420" i="1"/>
  <c r="E420" i="1"/>
  <c r="P419" i="1"/>
  <c r="E419" i="1"/>
  <c r="P418" i="1"/>
  <c r="E418" i="1"/>
  <c r="P417" i="1"/>
  <c r="E417" i="1"/>
  <c r="P416" i="1"/>
  <c r="E416" i="1"/>
  <c r="P415" i="1"/>
  <c r="E415" i="1"/>
  <c r="P414" i="1"/>
  <c r="E414" i="1"/>
  <c r="P413" i="1"/>
  <c r="E413" i="1"/>
  <c r="P412" i="1"/>
  <c r="E412" i="1"/>
  <c r="P411" i="1"/>
  <c r="E411" i="1"/>
  <c r="P410" i="1"/>
  <c r="E410" i="1"/>
  <c r="P409" i="1"/>
  <c r="E409" i="1"/>
  <c r="P408" i="1"/>
  <c r="E408" i="1"/>
  <c r="P407" i="1"/>
  <c r="E407" i="1"/>
  <c r="P406" i="1"/>
  <c r="E406" i="1"/>
  <c r="P405" i="1"/>
  <c r="E405" i="1"/>
  <c r="P404" i="1"/>
  <c r="E404" i="1"/>
  <c r="P403" i="1"/>
  <c r="E403" i="1"/>
  <c r="P402" i="1"/>
  <c r="E402" i="1"/>
  <c r="P401" i="1"/>
  <c r="E401" i="1"/>
  <c r="P400" i="1"/>
  <c r="E400" i="1"/>
  <c r="P399" i="1"/>
  <c r="E399" i="1"/>
  <c r="P398" i="1"/>
  <c r="E398" i="1"/>
  <c r="P397" i="1"/>
  <c r="E397" i="1"/>
  <c r="P396" i="1"/>
  <c r="E396" i="1"/>
  <c r="P395" i="1"/>
  <c r="E395" i="1"/>
  <c r="P394" i="1"/>
  <c r="E394" i="1"/>
  <c r="P393" i="1"/>
  <c r="E393" i="1"/>
  <c r="P392" i="1"/>
  <c r="E392" i="1"/>
  <c r="P391" i="1"/>
  <c r="E391" i="1"/>
  <c r="P390" i="1"/>
  <c r="E390" i="1"/>
  <c r="P389" i="1"/>
  <c r="E389" i="1"/>
  <c r="P388" i="1"/>
  <c r="E388" i="1"/>
  <c r="P387" i="1"/>
  <c r="E387" i="1"/>
  <c r="P386" i="1"/>
  <c r="E386" i="1"/>
  <c r="P385" i="1"/>
  <c r="E385" i="1"/>
  <c r="P384" i="1"/>
  <c r="E384" i="1"/>
  <c r="P383" i="1"/>
  <c r="E383" i="1"/>
  <c r="P382" i="1"/>
  <c r="E382" i="1"/>
  <c r="P381" i="1"/>
  <c r="E381" i="1"/>
  <c r="P380" i="1"/>
  <c r="E380" i="1"/>
  <c r="P379" i="1"/>
  <c r="E379" i="1"/>
  <c r="P378" i="1"/>
  <c r="E378" i="1"/>
  <c r="P377" i="1"/>
  <c r="E377" i="1"/>
  <c r="P376" i="1"/>
  <c r="E376" i="1"/>
  <c r="P375" i="1"/>
  <c r="E375" i="1"/>
  <c r="P374" i="1"/>
  <c r="E374" i="1"/>
  <c r="P373" i="1"/>
  <c r="E373" i="1"/>
  <c r="P372" i="1"/>
  <c r="E372" i="1"/>
  <c r="P371" i="1"/>
  <c r="E371" i="1"/>
  <c r="P370" i="1"/>
  <c r="E370" i="1"/>
  <c r="P369" i="1"/>
  <c r="E369" i="1"/>
  <c r="P368" i="1"/>
  <c r="E368" i="1"/>
  <c r="P367" i="1"/>
  <c r="E367" i="1"/>
  <c r="P366" i="1"/>
  <c r="E366" i="1"/>
  <c r="P365" i="1"/>
  <c r="E365" i="1"/>
  <c r="P364" i="1"/>
  <c r="E364" i="1"/>
  <c r="P363" i="1"/>
  <c r="E363" i="1"/>
  <c r="P362" i="1"/>
  <c r="E362" i="1"/>
  <c r="P361" i="1"/>
  <c r="E361" i="1"/>
  <c r="P360" i="1"/>
  <c r="E360" i="1"/>
  <c r="P359" i="1"/>
  <c r="E359" i="1"/>
  <c r="P358" i="1"/>
  <c r="E358" i="1"/>
  <c r="P357" i="1"/>
  <c r="E357" i="1"/>
  <c r="P356" i="1"/>
  <c r="E356" i="1"/>
  <c r="P355" i="1"/>
  <c r="E355" i="1"/>
  <c r="P354" i="1"/>
  <c r="E354" i="1"/>
  <c r="P353" i="1"/>
  <c r="E353" i="1"/>
  <c r="P352" i="1"/>
  <c r="E352" i="1"/>
  <c r="P351" i="1"/>
  <c r="E351" i="1"/>
  <c r="P350" i="1"/>
  <c r="E350" i="1"/>
  <c r="P349" i="1"/>
  <c r="E349" i="1"/>
  <c r="P348" i="1"/>
  <c r="E348" i="1"/>
  <c r="P347" i="1"/>
  <c r="E347" i="1"/>
  <c r="P346" i="1"/>
  <c r="E346" i="1"/>
  <c r="P345" i="1"/>
  <c r="E345" i="1"/>
  <c r="P344" i="1"/>
  <c r="E344" i="1"/>
  <c r="P343" i="1"/>
  <c r="E343" i="1"/>
  <c r="P342" i="1"/>
  <c r="E342" i="1"/>
  <c r="P341" i="1"/>
  <c r="E341" i="1"/>
  <c r="P340" i="1"/>
  <c r="E340" i="1"/>
  <c r="P339" i="1"/>
  <c r="E339" i="1"/>
  <c r="P338" i="1"/>
  <c r="E338" i="1"/>
  <c r="P337" i="1"/>
  <c r="E337" i="1"/>
  <c r="P336" i="1"/>
  <c r="E336" i="1"/>
  <c r="P335" i="1"/>
  <c r="E335" i="1"/>
  <c r="P334" i="1"/>
  <c r="E334" i="1"/>
  <c r="P333" i="1"/>
  <c r="E333" i="1"/>
  <c r="P332" i="1"/>
  <c r="E332" i="1"/>
  <c r="P331" i="1"/>
  <c r="E331" i="1"/>
  <c r="P330" i="1"/>
  <c r="E330" i="1"/>
  <c r="P329" i="1"/>
  <c r="E329" i="1"/>
  <c r="P328" i="1"/>
  <c r="E328" i="1"/>
  <c r="P327" i="1"/>
  <c r="E327" i="1"/>
  <c r="P326" i="1"/>
  <c r="E326" i="1"/>
  <c r="P325" i="1"/>
  <c r="E325" i="1"/>
  <c r="P324" i="1"/>
  <c r="E324" i="1"/>
  <c r="P323" i="1"/>
  <c r="E323" i="1"/>
  <c r="P322" i="1"/>
  <c r="E322" i="1"/>
  <c r="P321" i="1"/>
  <c r="E321" i="1"/>
  <c r="P320" i="1"/>
  <c r="E320" i="1"/>
  <c r="P319" i="1"/>
  <c r="E319" i="1"/>
  <c r="P318" i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<sst xmlns="http://schemas.openxmlformats.org/spreadsheetml/2006/main" count="16948" uniqueCount="2126">
  <si>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</si>
  <si>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</si>
  <si>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</si>
  <si>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</si>
  <si>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</si>
  <si>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</si>
  <si>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</si>
  <si>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</si>
  <si>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</si>
  <si>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</si>
  <si>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</si>
  <si>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</si>
  <si>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</si>
  <si>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</si>
  <si>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</si>
  <si>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</si>
  <si>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</si>
  <si>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</si>
  <si>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</si>
  <si>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</si>
  <si>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</si>
  <si>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</si>
  <si>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</si>
  <si>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</si>
  <si>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</si>
  <si>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</si>
  <si>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</si>
  <si>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</si>
  <si>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</si>
  <si>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</si>
  <si>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</si>
  <si>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</si>
  <si>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</si>
  <si>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</si>
  <si>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</si>
  <si>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</si>
  <si>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</si>
  <si>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</si>
  <si>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</si>
  <si>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</si>
  <si>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</si>
  <si>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</si>
  <si>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</si>
  <si>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</si>
  <si>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</si>
  <si>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</si>
  <si>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</si>
  <si>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</si>
  <si>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</si>
  <si>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</si>
  <si>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</si>
  <si>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</si>
  <si>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</si>
  <si>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</si>
  <si>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</si>
  <si>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</si>
  <si>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</si>
  <si>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</si>
  <si>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</si>
  <si>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</si>
  <si>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</si>
  <si>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</si>
  <si>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</si>
  <si>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</si>
  <si>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</si>
  <si>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</si>
  <si>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</si>
  <si>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</si>
  <si>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</si>
  <si>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</si>
  <si>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</si>
  <si>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</si>
  <si>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J17988</t>
  </si>
  <si>
    <t xml:space="preserve">MOVE ANALYTICS CC - GABLER MEDICAL </t>
  </si>
  <si>
    <t>WAY</t>
  </si>
  <si>
    <t>CAPET</t>
  </si>
  <si>
    <t>CAPE TOWN</t>
  </si>
  <si>
    <t xml:space="preserve">Gabler Medical                     </t>
  </si>
  <si>
    <t xml:space="preserve">                                   </t>
  </si>
  <si>
    <t xml:space="preserve">Advanced Durbanville               </t>
  </si>
  <si>
    <t>ON1</t>
  </si>
  <si>
    <t>ANKIA</t>
  </si>
  <si>
    <t>Jeffrey Jacobs</t>
  </si>
  <si>
    <t>W Thula</t>
  </si>
  <si>
    <t>no</t>
  </si>
  <si>
    <t>Late Linehaul Delayed Beyond Skynet Control</t>
  </si>
  <si>
    <t>NGF</t>
  </si>
  <si>
    <t>FUE / DOC</t>
  </si>
  <si>
    <t>POD received from cell 0738726261 M</t>
  </si>
  <si>
    <t>FLYER SUTURES-1</t>
  </si>
  <si>
    <t>STEL2</t>
  </si>
  <si>
    <t>STELLENBOSCH</t>
  </si>
  <si>
    <t xml:space="preserve">Mediclinic Stellenbosch Pharma     </t>
  </si>
  <si>
    <t>ASHLEY</t>
  </si>
  <si>
    <t>johan</t>
  </si>
  <si>
    <t>Driver late</t>
  </si>
  <si>
    <t>POD received from cell 0671056183 M</t>
  </si>
  <si>
    <t>FLYER SUTURES-2</t>
  </si>
  <si>
    <t xml:space="preserve">Disa Med Constantia Pharmacy       </t>
  </si>
  <si>
    <t>MARTIN</t>
  </si>
  <si>
    <t>andrew</t>
  </si>
  <si>
    <t>yes</t>
  </si>
  <si>
    <t>POD received from cell 0760754539 M</t>
  </si>
  <si>
    <t>FLYER SUTURE-2</t>
  </si>
  <si>
    <t xml:space="preserve">Surgical Systems                   </t>
  </si>
  <si>
    <t>ABBY</t>
  </si>
  <si>
    <t>Abby</t>
  </si>
  <si>
    <t>POD received from cell 0738058187 M</t>
  </si>
  <si>
    <t>FLYER SUTURES-4</t>
  </si>
  <si>
    <t>VERWO</t>
  </si>
  <si>
    <t>CENTURION</t>
  </si>
  <si>
    <t xml:space="preserve">GABLER MEDICAL                     </t>
  </si>
  <si>
    <t>CONRAD</t>
  </si>
  <si>
    <t xml:space="preserve">G A WOORTMAN                  </t>
  </si>
  <si>
    <t xml:space="preserve">POD received from cell 0842709527 M     </t>
  </si>
  <si>
    <t>BOX SUT-14+SAMPLES</t>
  </si>
  <si>
    <t>BOKSB</t>
  </si>
  <si>
    <t>BOKSBURG</t>
  </si>
  <si>
    <t xml:space="preserve">Clinix Botshelong Hospit           </t>
  </si>
  <si>
    <t>MDUDUZI</t>
  </si>
  <si>
    <t>Lebo</t>
  </si>
  <si>
    <t>HND / FUE / DOC</t>
  </si>
  <si>
    <t>POD received from cell 0676928033 M</t>
  </si>
  <si>
    <t>PORT3</t>
  </si>
  <si>
    <t>PORT ELIZABETH</t>
  </si>
  <si>
    <t>DBC</t>
  </si>
  <si>
    <t>DUDU  SERVICE CENTRE</t>
  </si>
  <si>
    <t>HALEY MARSDEN</t>
  </si>
  <si>
    <t>Patricia</t>
  </si>
  <si>
    <t>POD received from cell 0842709527 M</t>
  </si>
  <si>
    <t>PARCEL</t>
  </si>
  <si>
    <t>DURBA</t>
  </si>
  <si>
    <t>DURBAN</t>
  </si>
  <si>
    <t xml:space="preserve">GABLER MEDICAL TECH                </t>
  </si>
  <si>
    <t>KEDIPONE</t>
  </si>
  <si>
    <t>SEEMA</t>
  </si>
  <si>
    <t>G A Voorman</t>
  </si>
  <si>
    <t>FUE / doc</t>
  </si>
  <si>
    <t>POD received from cell 0827463597 M</t>
  </si>
  <si>
    <t xml:space="preserve">GABLER MEDICL                      </t>
  </si>
  <si>
    <t>PATRICIA</t>
  </si>
  <si>
    <t>seema</t>
  </si>
  <si>
    <t>GERMI</t>
  </si>
  <si>
    <t>GERMISTON</t>
  </si>
  <si>
    <t xml:space="preserve">DR H.W.BOTHMA                      </t>
  </si>
  <si>
    <t>TINA</t>
  </si>
  <si>
    <t>POD received from cell 0686610275 M</t>
  </si>
  <si>
    <t>MOSSE</t>
  </si>
  <si>
    <t>MOSSEL BAY</t>
  </si>
  <si>
    <t xml:space="preserve">LIFE BAYVIEW Hospit                </t>
  </si>
  <si>
    <t>TANIA</t>
  </si>
  <si>
    <t>zurinda</t>
  </si>
  <si>
    <t>FLYER SUTURE-1</t>
  </si>
  <si>
    <t>JOHAN</t>
  </si>
  <si>
    <t>JOHANNESBURG</t>
  </si>
  <si>
    <t xml:space="preserve">Life Bedford Gardens Pharmacy      </t>
  </si>
  <si>
    <t>SANRIKA</t>
  </si>
  <si>
    <t>Sanele</t>
  </si>
  <si>
    <t>POD received from cell 0818590343 M</t>
  </si>
  <si>
    <t>WELKO</t>
  </si>
  <si>
    <t>WELKOM</t>
  </si>
  <si>
    <t xml:space="preserve">St Helena Private Hospital         </t>
  </si>
  <si>
    <t>MARLIZE</t>
  </si>
  <si>
    <t xml:space="preserve">Makhobeni                     </t>
  </si>
  <si>
    <t xml:space="preserve">POD received from cell 0721907913 M     </t>
  </si>
  <si>
    <t>PRETO</t>
  </si>
  <si>
    <t>PRETORIA</t>
  </si>
  <si>
    <t xml:space="preserve">BUTHELELA PROJECTS PTY LTD         </t>
  </si>
  <si>
    <t>RIAAN BOUWER</t>
  </si>
  <si>
    <t>Beauty</t>
  </si>
  <si>
    <t>POD received from cell 0736327910 M</t>
  </si>
  <si>
    <t xml:space="preserve">Rivonia Village Vet - COD ACC      </t>
  </si>
  <si>
    <t>KIRSTY</t>
  </si>
  <si>
    <t>angie</t>
  </si>
  <si>
    <t>POD received from cell 0797074161 M</t>
  </si>
  <si>
    <t xml:space="preserve">Patricia                      </t>
  </si>
  <si>
    <t>PINET</t>
  </si>
  <si>
    <t>PINETOWN</t>
  </si>
  <si>
    <t xml:space="preserve">C O GABLER MEDICAL                 </t>
  </si>
  <si>
    <t>DUDU</t>
  </si>
  <si>
    <t xml:space="preserve">MAMELODI REGIONAL HOSPITAL         </t>
  </si>
  <si>
    <t>FAITH</t>
  </si>
  <si>
    <t>Malebo</t>
  </si>
  <si>
    <t>POD received from cell 0768323695 M</t>
  </si>
  <si>
    <t>Brian</t>
  </si>
  <si>
    <t>MMABA</t>
  </si>
  <si>
    <t>MMABATHO</t>
  </si>
  <si>
    <t xml:space="preserve">Victoria Private Hospit - Clin     </t>
  </si>
  <si>
    <t>SELENA</t>
  </si>
  <si>
    <t>David</t>
  </si>
  <si>
    <t>POD received from cell 0608181653 M</t>
  </si>
  <si>
    <t>FLYER SUTURE-5</t>
  </si>
  <si>
    <t>FOCHV</t>
  </si>
  <si>
    <t>FOCHVILLE</t>
  </si>
  <si>
    <t xml:space="preserve">Leslie Williams Private Hospit     </t>
  </si>
  <si>
    <t>JOHANNAH</t>
  </si>
  <si>
    <t>Nomathemba</t>
  </si>
  <si>
    <t>POD received from cell 0713186291 M</t>
  </si>
  <si>
    <t>BOX SUTURES-8</t>
  </si>
  <si>
    <t xml:space="preserve">Milnerton Medi Clinic Pharma       </t>
  </si>
  <si>
    <t>SARAH</t>
  </si>
  <si>
    <t>Megan</t>
  </si>
  <si>
    <t>ROODE</t>
  </si>
  <si>
    <t>ROODEPOORT</t>
  </si>
  <si>
    <t xml:space="preserve">LIFE WILGEHEUWEL PHARMACY          </t>
  </si>
  <si>
    <t>MARION PUTTERILL</t>
  </si>
  <si>
    <t>njabulo</t>
  </si>
  <si>
    <t>POD received from cell 0780226622 M</t>
  </si>
  <si>
    <t>FLYER SUTURE-3</t>
  </si>
  <si>
    <t>LOURENS</t>
  </si>
  <si>
    <t>VRED3</t>
  </si>
  <si>
    <t>VREDENBURG</t>
  </si>
  <si>
    <t xml:space="preserve">Life West Coast Private Hospit     </t>
  </si>
  <si>
    <t>ELNETTE DU TOIT</t>
  </si>
  <si>
    <t>Shireen</t>
  </si>
  <si>
    <t>POD received from cell 0619982445 M</t>
  </si>
  <si>
    <t xml:space="preserve">Imvula Medical                     </t>
  </si>
  <si>
    <t>LYDIA</t>
  </si>
  <si>
    <t>Obed</t>
  </si>
  <si>
    <t>POD received from cell 0769790129 M</t>
  </si>
  <si>
    <t xml:space="preserve">SKYNET PORT ELIZABETH DEPOT        </t>
  </si>
  <si>
    <t>madeleka</t>
  </si>
  <si>
    <t>naw</t>
  </si>
  <si>
    <t>POD received from cell 0814793743 M</t>
  </si>
  <si>
    <t>FLYER SUTURE SAMPLES</t>
  </si>
  <si>
    <t>KIMBE</t>
  </si>
  <si>
    <t>KIMBERLEY</t>
  </si>
  <si>
    <t xml:space="preserve">KIMBERLEY MEDI CLINIC              </t>
  </si>
  <si>
    <t>FRANS THOMPSON</t>
  </si>
  <si>
    <t>FRANCO</t>
  </si>
  <si>
    <t>POD received from cell 0766619614 M</t>
  </si>
  <si>
    <t>BOX SUTURE-12</t>
  </si>
  <si>
    <t>glenda</t>
  </si>
  <si>
    <t>jam</t>
  </si>
  <si>
    <t>PIET1</t>
  </si>
  <si>
    <t>PIETERMARITZBURG</t>
  </si>
  <si>
    <t xml:space="preserve">Netcare St Anne s Hospital         </t>
  </si>
  <si>
    <t>PHARMACY</t>
  </si>
  <si>
    <t>VELE</t>
  </si>
  <si>
    <t>Outlying delivery location</t>
  </si>
  <si>
    <t>mmn</t>
  </si>
  <si>
    <t>alan</t>
  </si>
  <si>
    <t>BOX SUTURES-16</t>
  </si>
  <si>
    <t xml:space="preserve">Morningside Medi Clinic Pharma     </t>
  </si>
  <si>
    <t>CONRAD VAN DER MESHT</t>
  </si>
  <si>
    <t>mathilda</t>
  </si>
  <si>
    <t>SOME2</t>
  </si>
  <si>
    <t>SOMERSET WEST</t>
  </si>
  <si>
    <t xml:space="preserve">Mediclinic Vergelegen Pharmacy     </t>
  </si>
  <si>
    <t>THE PHARMACIST</t>
  </si>
  <si>
    <t>Edward</t>
  </si>
  <si>
    <t>POD received from cell 0671592648 M</t>
  </si>
  <si>
    <t>TONGA</t>
  </si>
  <si>
    <t>TONGAAT</t>
  </si>
  <si>
    <t xml:space="preserve">RIBUMED BALLITO DAY HOSPITAL       </t>
  </si>
  <si>
    <t>JESSICA GAUTAMAH</t>
  </si>
  <si>
    <t>Jessica</t>
  </si>
  <si>
    <t>POD received from cell 0732603055 M</t>
  </si>
  <si>
    <t xml:space="preserve">Mediclinic Pietermaritzburg Ph     </t>
  </si>
  <si>
    <t>THEATRE</t>
  </si>
  <si>
    <t>KASH</t>
  </si>
  <si>
    <t xml:space="preserve">Med Pak cc TA                      </t>
  </si>
  <si>
    <t>KYLE</t>
  </si>
  <si>
    <t>Fani</t>
  </si>
  <si>
    <t>POD received from cell 0733966806 M</t>
  </si>
  <si>
    <t xml:space="preserve">INKOSI ALBERT LUTHULI              </t>
  </si>
  <si>
    <t>PETER</t>
  </si>
  <si>
    <t>peter</t>
  </si>
  <si>
    <t>Late linehaul</t>
  </si>
  <si>
    <t>abh</t>
  </si>
  <si>
    <t>POD received from cell 0736021580 M</t>
  </si>
  <si>
    <t xml:space="preserve">Netcare Greenacres                 </t>
  </si>
  <si>
    <t>TEGAN JACOBS</t>
  </si>
  <si>
    <t>ruben</t>
  </si>
  <si>
    <t>POD received from cell 0683536748 M</t>
  </si>
  <si>
    <t>box</t>
  </si>
  <si>
    <t xml:space="preserve">LIFE ENTABENI Hospit               </t>
  </si>
  <si>
    <t>RAKSHA</t>
  </si>
  <si>
    <t>Elaine</t>
  </si>
  <si>
    <t>MMN</t>
  </si>
  <si>
    <t>POD received from cell 0764962951 M</t>
  </si>
  <si>
    <t>FLYER SUTURES-5</t>
  </si>
  <si>
    <t>RUSTE</t>
  </si>
  <si>
    <t>RUSTENBURG</t>
  </si>
  <si>
    <t xml:space="preserve">Life Peglerae Hospit               </t>
  </si>
  <si>
    <t>SONIQUE</t>
  </si>
  <si>
    <t>Asanda</t>
  </si>
  <si>
    <t>POD received from cell 0729194064 M</t>
  </si>
  <si>
    <t>FLYER SUTURES-3</t>
  </si>
  <si>
    <t xml:space="preserve">Netcare Ferncrest Hospit           </t>
  </si>
  <si>
    <t>MOREMA</t>
  </si>
  <si>
    <t>Naledi</t>
  </si>
  <si>
    <t>POD received from cell 0717569233 M</t>
  </si>
  <si>
    <t>Lubbe</t>
  </si>
  <si>
    <t xml:space="preserve">LIFE FLORA PHARMACY                </t>
  </si>
  <si>
    <t>PHIA SWARTZ</t>
  </si>
  <si>
    <t>Jabulani</t>
  </si>
  <si>
    <t>POD received from cell 0643226593 M</t>
  </si>
  <si>
    <t>KNYSN</t>
  </si>
  <si>
    <t>KNYSNA</t>
  </si>
  <si>
    <t xml:space="preserve">LIFE KNYSNA PHY                    </t>
  </si>
  <si>
    <t>PIETER</t>
  </si>
  <si>
    <t>Berno</t>
  </si>
  <si>
    <t xml:space="preserve">NETCARE PARKLANDS HOSPITAL         </t>
  </si>
  <si>
    <t>NISHAN CALVIN</t>
  </si>
  <si>
    <t>calvin</t>
  </si>
  <si>
    <t xml:space="preserve">Obed                          </t>
  </si>
  <si>
    <t xml:space="preserve">POD received from cell 0769790129 M     </t>
  </si>
  <si>
    <t>POTGI</t>
  </si>
  <si>
    <t>POTGIETERSRUS</t>
  </si>
  <si>
    <t xml:space="preserve">Mokopane Hospit                    </t>
  </si>
  <si>
    <t>STORES</t>
  </si>
  <si>
    <t xml:space="preserve">MABILO K P                    </t>
  </si>
  <si>
    <t xml:space="preserve">POD received from cell 0736189978 M     </t>
  </si>
  <si>
    <t xml:space="preserve">CH GAS WORKS                       </t>
  </si>
  <si>
    <t>CHRIS</t>
  </si>
  <si>
    <t>Elmarie</t>
  </si>
  <si>
    <t>POD received from cell 0639727870 M</t>
  </si>
  <si>
    <t xml:space="preserve">Mdc Capetown Foreshore Day The     </t>
  </si>
  <si>
    <t>MUNEIR</t>
  </si>
  <si>
    <t xml:space="preserve">munier                        </t>
  </si>
  <si>
    <t xml:space="preserve">POD received from cell 0814169974 M     </t>
  </si>
  <si>
    <t xml:space="preserve">EDGE DAY HOPITAL                   </t>
  </si>
  <si>
    <t>SHANE LIDDLE</t>
  </si>
  <si>
    <t>shane</t>
  </si>
  <si>
    <t>POD received from cell 0614332835 M</t>
  </si>
  <si>
    <t xml:space="preserve">MoreletaPark Dierehospitaal        </t>
  </si>
  <si>
    <t>KARIN</t>
  </si>
  <si>
    <t xml:space="preserve">Yulanda                       </t>
  </si>
  <si>
    <t xml:space="preserve">POD received from cell 0837614688 M     </t>
  </si>
  <si>
    <t xml:space="preserve">MILLNERS DENTAL SUPPLIERS          </t>
  </si>
  <si>
    <t>ZAHIRAH</t>
  </si>
  <si>
    <t>Yanga</t>
  </si>
  <si>
    <t>BOX SUTURES-10</t>
  </si>
  <si>
    <t xml:space="preserve">Clinix Botshelong - Empilweni      </t>
  </si>
  <si>
    <t>Ayanda</t>
  </si>
  <si>
    <t>LESO2</t>
  </si>
  <si>
    <t>LESOTHO(OUTLYING ONLY!)</t>
  </si>
  <si>
    <t xml:space="preserve">NATIONAL DRUG SERV ORGANISATIO     </t>
  </si>
  <si>
    <t>IBC</t>
  </si>
  <si>
    <t>SELLO LECHESA</t>
  </si>
  <si>
    <t>JEFFREY JACOBS</t>
  </si>
  <si>
    <t>illeg   60 attachment  62</t>
  </si>
  <si>
    <t>OUT / CDC</t>
  </si>
  <si>
    <t>Maseru - LESOTHO</t>
  </si>
  <si>
    <t>LES2</t>
  </si>
  <si>
    <t>PAARL</t>
  </si>
  <si>
    <t xml:space="preserve">WC HEALTH PAARL Hospit             </t>
  </si>
  <si>
    <t>MRS M LUDICK</t>
  </si>
  <si>
    <t>L HENDRICKS</t>
  </si>
  <si>
    <t>POD received from cell 0765515095 M</t>
  </si>
  <si>
    <t xml:space="preserve">Dr Paul Betts                      </t>
  </si>
  <si>
    <t>CELESTE</t>
  </si>
  <si>
    <t>Celeste</t>
  </si>
  <si>
    <t>POD received from cell 0631352676 M</t>
  </si>
  <si>
    <t xml:space="preserve">Dr M Hannah                        </t>
  </si>
  <si>
    <t>DR HANNAH</t>
  </si>
  <si>
    <t>carmia</t>
  </si>
  <si>
    <t>HERMA</t>
  </si>
  <si>
    <t>HERMANUS</t>
  </si>
  <si>
    <t xml:space="preserve">Hermanus Day Hospit                </t>
  </si>
  <si>
    <t>TANIA PRINCE</t>
  </si>
  <si>
    <t>CO STAMP</t>
  </si>
  <si>
    <t>POD received from cell 0631438015 M</t>
  </si>
  <si>
    <t xml:space="preserve">Africa Healthcare                  </t>
  </si>
  <si>
    <t>makhabani</t>
  </si>
  <si>
    <t xml:space="preserve">LIFE CROMPTON PHARMACY             </t>
  </si>
  <si>
    <t>HAZEL</t>
  </si>
  <si>
    <t>Nonduduzo</t>
  </si>
  <si>
    <t>POD received from cell 0814795132 M</t>
  </si>
  <si>
    <t xml:space="preserve">Life Brenthurst Hospital Phy       </t>
  </si>
  <si>
    <t>SOLOMON</t>
  </si>
  <si>
    <t>John</t>
  </si>
  <si>
    <t>POD received from cell 0822621815 M</t>
  </si>
  <si>
    <t xml:space="preserve">Lyns Vet Supplies                  </t>
  </si>
  <si>
    <t>LYN</t>
  </si>
  <si>
    <t>lorrie</t>
  </si>
  <si>
    <t>POD received from cell 0736814363 M</t>
  </si>
  <si>
    <t>VANDE</t>
  </si>
  <si>
    <t>VANDERBIJLPARK</t>
  </si>
  <si>
    <t xml:space="preserve">EMFULENI MEDI CLINIC PHARMACY      </t>
  </si>
  <si>
    <t>BESSIE</t>
  </si>
  <si>
    <t>Andrew</t>
  </si>
  <si>
    <t>POD received from cell 0726258782 M</t>
  </si>
  <si>
    <t>RANDB</t>
  </si>
  <si>
    <t>RANDBURG</t>
  </si>
  <si>
    <t xml:space="preserve">MMED Distribution                  </t>
  </si>
  <si>
    <t>FRANCESCA</t>
  </si>
  <si>
    <t>RYLAN</t>
  </si>
  <si>
    <t>POD received from cell 0742059629 M</t>
  </si>
  <si>
    <t xml:space="preserve">MID - MEDIC PHARMACY               </t>
  </si>
  <si>
    <t>NIGEL</t>
  </si>
  <si>
    <t>lep</t>
  </si>
  <si>
    <t>Flyer Sutures-1</t>
  </si>
  <si>
    <t xml:space="preserve">Imvula Healthcare Logistics        </t>
  </si>
  <si>
    <t>HARDUS</t>
  </si>
  <si>
    <t>POD received from cell 0737617518 M</t>
  </si>
  <si>
    <t xml:space="preserve">HILLBROW COMMUNITY HEALTH CENT     </t>
  </si>
  <si>
    <t>Joseph</t>
  </si>
  <si>
    <t>POD received from cell 0729204058 M</t>
  </si>
  <si>
    <t>Jackson</t>
  </si>
  <si>
    <t>PIET2</t>
  </si>
  <si>
    <t>PIETERSBURG</t>
  </si>
  <si>
    <t xml:space="preserve">Polokwane Hospit                   </t>
  </si>
  <si>
    <t>Thabang</t>
  </si>
  <si>
    <t>POD received from cell 0785331999 M</t>
  </si>
  <si>
    <t xml:space="preserve">Dr George Mukhari Hospit           </t>
  </si>
  <si>
    <t>TRANSIT</t>
  </si>
  <si>
    <t>Dr George Mukhari Hospit</t>
  </si>
  <si>
    <t>POD received from cell 0784077233 M</t>
  </si>
  <si>
    <t xml:space="preserve">North West Prov.Dept of            </t>
  </si>
  <si>
    <t>STANLEY</t>
  </si>
  <si>
    <t>Abram</t>
  </si>
  <si>
    <t>POD received from cell 0630881624 M</t>
  </si>
  <si>
    <t>DENNI</t>
  </si>
  <si>
    <t>DENNILTON</t>
  </si>
  <si>
    <t xml:space="preserve">Philadelphia Hospit                </t>
  </si>
  <si>
    <t>SAM</t>
  </si>
  <si>
    <t>POD received from cell 0799022174 M</t>
  </si>
  <si>
    <t xml:space="preserve">Meulen Pharmacy                    </t>
  </si>
  <si>
    <t>NEIL</t>
  </si>
  <si>
    <t>VINCENT</t>
  </si>
  <si>
    <t>POD received from cell 0721907913 M</t>
  </si>
  <si>
    <t xml:space="preserve">Life Groenkloof Hospit             </t>
  </si>
  <si>
    <t>RAKHEE THAKER</t>
  </si>
  <si>
    <t>Stevens</t>
  </si>
  <si>
    <t>POD received from cell 0607774851 M</t>
  </si>
  <si>
    <t>FYER SUTURE-2</t>
  </si>
  <si>
    <t xml:space="preserve">Urology Hospit Pharma              </t>
  </si>
  <si>
    <t>CHARMAINE</t>
  </si>
  <si>
    <t xml:space="preserve">Sam  Pharmacy                 </t>
  </si>
  <si>
    <t xml:space="preserve">POD received from cell 0780245853 M     </t>
  </si>
  <si>
    <t>BOX SUTURE-1</t>
  </si>
  <si>
    <t>SHIREEN</t>
  </si>
  <si>
    <t>Jeffrey</t>
  </si>
  <si>
    <t>STILF</t>
  </si>
  <si>
    <t>STILFONTEIN</t>
  </si>
  <si>
    <t xml:space="preserve">LIFE ANNCRON PHARMARCY             </t>
  </si>
  <si>
    <t>ANNECKE BARNARD</t>
  </si>
  <si>
    <t>LIFE ANNCRON PHARMARCY</t>
  </si>
  <si>
    <t>POD received from cell 0842144427 M</t>
  </si>
  <si>
    <t>MIDD2</t>
  </si>
  <si>
    <t>MIDDELBURG (Mpumalanga)</t>
  </si>
  <si>
    <t xml:space="preserve">Life Cosmos Pharmacy               </t>
  </si>
  <si>
    <t>NINETTE CALITZ</t>
  </si>
  <si>
    <t>happy</t>
  </si>
  <si>
    <t>POD received from cell 0793866786 M</t>
  </si>
  <si>
    <t>MIDRA</t>
  </si>
  <si>
    <t>MIDRAND</t>
  </si>
  <si>
    <t xml:space="preserve">ASPIRATA LABORATORY                </t>
  </si>
  <si>
    <t>J.PILLAY</t>
  </si>
  <si>
    <t>oswell</t>
  </si>
  <si>
    <t>POD received from cell 0833616148 M</t>
  </si>
  <si>
    <t>ELLIS</t>
  </si>
  <si>
    <t>ELLISRAS</t>
  </si>
  <si>
    <t xml:space="preserve">Mediclinic Lephalale Pharmacy      </t>
  </si>
  <si>
    <t>ELMARIE MARAIS</t>
  </si>
  <si>
    <t xml:space="preserve">RIA VORSTER                   </t>
  </si>
  <si>
    <t xml:space="preserve">POD received from cell 0711198834 M     </t>
  </si>
  <si>
    <t xml:space="preserve">Alphen Vet Hospit                  </t>
  </si>
  <si>
    <t>JESICA</t>
  </si>
  <si>
    <t>Julie</t>
  </si>
  <si>
    <t xml:space="preserve">Mediclinic Sandton Pharmacy        </t>
  </si>
  <si>
    <t>COMFORT</t>
  </si>
  <si>
    <t>presh</t>
  </si>
  <si>
    <t>POD received from cell 0797027751 M</t>
  </si>
  <si>
    <t>RICHA</t>
  </si>
  <si>
    <t>RICHARDS BAY</t>
  </si>
  <si>
    <t xml:space="preserve">NETCARE THE BAY PHARMACY           </t>
  </si>
  <si>
    <t>DUMISANI</t>
  </si>
  <si>
    <t>Dumisani</t>
  </si>
  <si>
    <t>POD received from cell 0825706479 M</t>
  </si>
  <si>
    <t xml:space="preserve">strauss   gericke admin            </t>
  </si>
  <si>
    <t>haizel</t>
  </si>
  <si>
    <t>kedibone</t>
  </si>
  <si>
    <t xml:space="preserve">MVULA MEDICAL                      </t>
  </si>
  <si>
    <t xml:space="preserve">GABLER                             </t>
  </si>
  <si>
    <t>N A</t>
  </si>
  <si>
    <t>NKULI</t>
  </si>
  <si>
    <t>LAYLA GALLANT</t>
  </si>
  <si>
    <t>REUBEN</t>
  </si>
  <si>
    <t>BETHL</t>
  </si>
  <si>
    <t>BETHLEHEM</t>
  </si>
  <si>
    <t xml:space="preserve">Hoogl  Medi Clinic                 </t>
  </si>
  <si>
    <t>WILMA JANA</t>
  </si>
  <si>
    <t>RICHARD</t>
  </si>
  <si>
    <t>POD received from cell 0721927500 M</t>
  </si>
  <si>
    <t>FLYER SUTURE-6</t>
  </si>
  <si>
    <t>Rudolph</t>
  </si>
  <si>
    <t>BOX SUTURES-196</t>
  </si>
  <si>
    <t xml:space="preserve">gabler medical                     </t>
  </si>
  <si>
    <t>layla</t>
  </si>
  <si>
    <t>patricia</t>
  </si>
  <si>
    <t>BOX SUTURES-15</t>
  </si>
  <si>
    <t>obed</t>
  </si>
  <si>
    <t>BOX SUTURES-12</t>
  </si>
  <si>
    <t>GEORG</t>
  </si>
  <si>
    <t>GEORGE</t>
  </si>
  <si>
    <t xml:space="preserve">MEDICLINIC GENEVA                  </t>
  </si>
  <si>
    <t>LIEZEL</t>
  </si>
  <si>
    <t>Genneveve</t>
  </si>
  <si>
    <t xml:space="preserve">Khokela Trading Enterprises        </t>
  </si>
  <si>
    <t>ANITA</t>
  </si>
  <si>
    <t>Anita</t>
  </si>
  <si>
    <t>POD received from cell 0795886601 M</t>
  </si>
  <si>
    <t>MEDI EQUIPMENT</t>
  </si>
  <si>
    <t xml:space="preserve">Life Kingsbury Hospital            </t>
  </si>
  <si>
    <t>HUSHENDREE NAICKER</t>
  </si>
  <si>
    <t>Marilyn</t>
  </si>
  <si>
    <t>POD received from cell 0607649891 M</t>
  </si>
  <si>
    <t>NELSP</t>
  </si>
  <si>
    <t>NELSPRUIT</t>
  </si>
  <si>
    <t xml:space="preserve">Busamed Lowveld P Hospit           </t>
  </si>
  <si>
    <t>LOUISE FOUCHE</t>
  </si>
  <si>
    <t>Themba</t>
  </si>
  <si>
    <t>POD received from cell 0712723821 M</t>
  </si>
  <si>
    <t>BOX LINER -100</t>
  </si>
  <si>
    <t xml:space="preserve">St Helena Hospit                   </t>
  </si>
  <si>
    <t>MAKHABANI</t>
  </si>
  <si>
    <t>FLYER SUTURE-4</t>
  </si>
  <si>
    <t xml:space="preserve">Netcare Garden City Hospit         </t>
  </si>
  <si>
    <t>AUSILDAH</t>
  </si>
  <si>
    <t>tshepo</t>
  </si>
  <si>
    <t>POD received from cell 0606897960 M</t>
  </si>
  <si>
    <t xml:space="preserve">Netcare Sunninghill Hospit         </t>
  </si>
  <si>
    <t>BONOLO</t>
  </si>
  <si>
    <t>POD received from cell 0720457394 M</t>
  </si>
  <si>
    <t>BESSIE POSATUMUS</t>
  </si>
  <si>
    <t>MBALI</t>
  </si>
  <si>
    <t>BOX LINERS-25</t>
  </si>
  <si>
    <t xml:space="preserve">Citivet Bothasig                   </t>
  </si>
  <si>
    <t>DEE</t>
  </si>
  <si>
    <t>Bobbi</t>
  </si>
  <si>
    <t>POD received from cell 0641377685 M</t>
  </si>
  <si>
    <t xml:space="preserve">Chris Hani Baragwanath Hospita     </t>
  </si>
  <si>
    <t>Theresa</t>
  </si>
  <si>
    <t>POD received from cell 0827078103 M</t>
  </si>
  <si>
    <t>BOX SUTURES-100</t>
  </si>
  <si>
    <t xml:space="preserve">Disa Med Durbanville Pharmacy      </t>
  </si>
  <si>
    <t>JOSEPH LUDORF</t>
  </si>
  <si>
    <t>Rene</t>
  </si>
  <si>
    <t>KEMPT</t>
  </si>
  <si>
    <t>KEMPTON PARK</t>
  </si>
  <si>
    <t xml:space="preserve">SILICA GEL SA                      </t>
  </si>
  <si>
    <t>COURTNEY</t>
  </si>
  <si>
    <t>CSH / FUE / doc</t>
  </si>
  <si>
    <t xml:space="preserve">HAIZEL RAUTENBACH STRAUSS          </t>
  </si>
  <si>
    <t xml:space="preserve">C GABLER                           </t>
  </si>
  <si>
    <t>RATRICIA</t>
  </si>
  <si>
    <t xml:space="preserve">AUBERT PIPE   PROFILE SOLUTION     </t>
  </si>
  <si>
    <t>BELINDA</t>
  </si>
  <si>
    <t xml:space="preserve">Victoria Hospit Pharma             </t>
  </si>
  <si>
    <t>SUJAYA RAJOO</t>
  </si>
  <si>
    <t>Zama</t>
  </si>
  <si>
    <t>BOX SUTURES-7</t>
  </si>
  <si>
    <t>RANDF</t>
  </si>
  <si>
    <t>RANDFONTEIN</t>
  </si>
  <si>
    <t xml:space="preserve">Life Robinson Private Hospital     </t>
  </si>
  <si>
    <t>OLIVIA MOTSI</t>
  </si>
  <si>
    <t>Godfrey</t>
  </si>
  <si>
    <t>POD received from cell 0616244616 M</t>
  </si>
  <si>
    <t>WORCE</t>
  </si>
  <si>
    <t>WORCESTER</t>
  </si>
  <si>
    <t xml:space="preserve">Advanced Worcester                 </t>
  </si>
  <si>
    <t>LIZELLE</t>
  </si>
  <si>
    <t>vanecia</t>
  </si>
  <si>
    <t>POD received from cell 0651489956 M</t>
  </si>
  <si>
    <t>RAKSHA MISTREY</t>
  </si>
  <si>
    <t>Joshua</t>
  </si>
  <si>
    <t>VEREE</t>
  </si>
  <si>
    <t>VEREENIGING</t>
  </si>
  <si>
    <t xml:space="preserve">Naledi Nkayezi - Sebokeng Clin     </t>
  </si>
  <si>
    <t>MR MODISE</t>
  </si>
  <si>
    <t>zukiswa</t>
  </si>
  <si>
    <t>POD received from cell 0732845693 M</t>
  </si>
  <si>
    <t>George</t>
  </si>
  <si>
    <t>boitumelo</t>
  </si>
  <si>
    <t xml:space="preserve">DR Roger Graham                    </t>
  </si>
  <si>
    <t>SR BETS</t>
  </si>
  <si>
    <t>sandy</t>
  </si>
  <si>
    <t>FLYER SUTURES-6</t>
  </si>
  <si>
    <t xml:space="preserve">GABLER MEDICAL TECHNOLOGY(PTY)     </t>
  </si>
  <si>
    <t xml:space="preserve">NETCARE THE BAY HOSPITAL           </t>
  </si>
  <si>
    <t>CHANTELLE PAYTON</t>
  </si>
  <si>
    <t>Thabani</t>
  </si>
  <si>
    <t>EMPAN</t>
  </si>
  <si>
    <t>EMPANGENI</t>
  </si>
  <si>
    <t xml:space="preserve">Cerdak                             </t>
  </si>
  <si>
    <t>JEANIE</t>
  </si>
  <si>
    <t>ANNA</t>
  </si>
  <si>
    <t>KRUGE</t>
  </si>
  <si>
    <t>KRUGERSDORP</t>
  </si>
  <si>
    <t xml:space="preserve">Krugersdorp Private Hospit         </t>
  </si>
  <si>
    <t>MELANIE</t>
  </si>
  <si>
    <t xml:space="preserve">melane                        </t>
  </si>
  <si>
    <t xml:space="preserve">POD received from cell 0727881903 M     </t>
  </si>
  <si>
    <t>Lyn</t>
  </si>
  <si>
    <t>BOX SUTURES-17</t>
  </si>
  <si>
    <t xml:space="preserve">DR CECIL BAKER                     </t>
  </si>
  <si>
    <t>DR BAKER</t>
  </si>
  <si>
    <t>T BOTES</t>
  </si>
  <si>
    <t xml:space="preserve">RYLAN                         </t>
  </si>
  <si>
    <t xml:space="preserve">POD received from cell 0742059629 M     </t>
  </si>
  <si>
    <t>MALEL</t>
  </si>
  <si>
    <t>MALELANE</t>
  </si>
  <si>
    <t xml:space="preserve">MALELANE DIERE KLINIEK             </t>
  </si>
  <si>
    <t>DR BRAND</t>
  </si>
  <si>
    <t xml:space="preserve">Jackie                        </t>
  </si>
  <si>
    <t xml:space="preserve">POD received from cell 0768635094 M     </t>
  </si>
  <si>
    <t>POD received from cell 0681920801 M</t>
  </si>
  <si>
    <t xml:space="preserve">Netcare Greenacres Hospit          </t>
  </si>
  <si>
    <t>ZANELE</t>
  </si>
  <si>
    <t xml:space="preserve">Netcare Greenacres Hospit     </t>
  </si>
  <si>
    <t xml:space="preserve">POD received from cell 0814793743 M     </t>
  </si>
  <si>
    <t xml:space="preserve">Tau Medical Supplies (Pty) Ltd     </t>
  </si>
  <si>
    <t>DELRAY</t>
  </si>
  <si>
    <t>TREVOR</t>
  </si>
  <si>
    <t>POD received from cell 0710840048 M</t>
  </si>
  <si>
    <t xml:space="preserve">Mediclinic Gariep                  </t>
  </si>
  <si>
    <t>BIA</t>
  </si>
  <si>
    <t xml:space="preserve">Mediclinic Gariep             </t>
  </si>
  <si>
    <t xml:space="preserve">POD received from cell 0714696548 M     </t>
  </si>
  <si>
    <t>FLYER STURES-2</t>
  </si>
  <si>
    <t>UMHLA</t>
  </si>
  <si>
    <t>UMHLANGA ROCKS</t>
  </si>
  <si>
    <t xml:space="preserve">Netcare Umhlanga Hospit            </t>
  </si>
  <si>
    <t>INNOCENT</t>
  </si>
  <si>
    <t>Lihle Ntuli</t>
  </si>
  <si>
    <t>POD received from cell 0834941426 M</t>
  </si>
  <si>
    <t>MArion</t>
  </si>
  <si>
    <t>dominic</t>
  </si>
  <si>
    <t xml:space="preserve">Onderstepoort Veterinary           </t>
  </si>
  <si>
    <t>THEARTE SISTER</t>
  </si>
  <si>
    <t>Brandan</t>
  </si>
  <si>
    <t>POD received from cell 0729919507 M</t>
  </si>
  <si>
    <t xml:space="preserve">LIFE FAERIE GLEN PHY               </t>
  </si>
  <si>
    <t>CHARLE</t>
  </si>
  <si>
    <t>Naom</t>
  </si>
  <si>
    <t>POD received from cell 0723940461 M</t>
  </si>
  <si>
    <t>NKULI KHESWA</t>
  </si>
  <si>
    <t>MINETTE</t>
  </si>
  <si>
    <t>FLYER SUT-3+SAMPLES</t>
  </si>
  <si>
    <t>BRIT1</t>
  </si>
  <si>
    <t>BRITS</t>
  </si>
  <si>
    <t xml:space="preserve">Brits Medi Clinic - Pharmacy       </t>
  </si>
  <si>
    <t>JOHANNA</t>
  </si>
  <si>
    <t>mavis</t>
  </si>
  <si>
    <t>ltt</t>
  </si>
  <si>
    <t>POD received from cell 0646961472 M</t>
  </si>
  <si>
    <t>EAST</t>
  </si>
  <si>
    <t>EAST LONDON</t>
  </si>
  <si>
    <t xml:space="preserve">Mount Croix Animal Clinic          </t>
  </si>
  <si>
    <t>CHARNELLE</t>
  </si>
  <si>
    <t>?</t>
  </si>
  <si>
    <t>BOX SUTURES-2</t>
  </si>
  <si>
    <t xml:space="preserve">WC Health George Hospit            </t>
  </si>
  <si>
    <t>ANTOLENE</t>
  </si>
  <si>
    <t>Granville</t>
  </si>
  <si>
    <t xml:space="preserve">Chem-Med                           </t>
  </si>
  <si>
    <t>MANDY</t>
  </si>
  <si>
    <t>Mandy</t>
  </si>
  <si>
    <t>POD received from cell 0730059234 M</t>
  </si>
  <si>
    <t xml:space="preserve">Mulbarton Hospit                   </t>
  </si>
  <si>
    <t>MOSES</t>
  </si>
  <si>
    <t>moses</t>
  </si>
  <si>
    <t>POD received from cell 0723551445 M</t>
  </si>
  <si>
    <t>KROON</t>
  </si>
  <si>
    <t>KROONSTAD</t>
  </si>
  <si>
    <t xml:space="preserve">BOITUMELO HOSPITAL                 </t>
  </si>
  <si>
    <t>ANNA-MARIE</t>
  </si>
  <si>
    <t>VUYISWA</t>
  </si>
  <si>
    <t xml:space="preserve">Northrand Animal Clinic            </t>
  </si>
  <si>
    <t>CLAUDIA</t>
  </si>
  <si>
    <t>Jina</t>
  </si>
  <si>
    <t>POD received from cell 0789676329 M</t>
  </si>
  <si>
    <t xml:space="preserve">GABLER MEDICAL TECHNOLOFY(PTY)     </t>
  </si>
  <si>
    <t>MICHAIL MICHAEL</t>
  </si>
  <si>
    <t>LEVENE</t>
  </si>
  <si>
    <t>HALEY MASELAN</t>
  </si>
  <si>
    <t xml:space="preserve">haley                         </t>
  </si>
  <si>
    <t xml:space="preserve">GABLER MEDICAL TECHNOLOGY(PTYT     </t>
  </si>
  <si>
    <t>DUSTY</t>
  </si>
  <si>
    <t xml:space="preserve">martin                        </t>
  </si>
  <si>
    <t xml:space="preserve">POD received from cell 0760754539 M     </t>
  </si>
  <si>
    <t xml:space="preserve">SKYNET PORT ELIZABETH              </t>
  </si>
  <si>
    <t>HALEY</t>
  </si>
  <si>
    <t xml:space="preserve">maselo                        </t>
  </si>
  <si>
    <t>SUTURES SAMPLES</t>
  </si>
  <si>
    <t>PHIA</t>
  </si>
  <si>
    <t xml:space="preserve">Godfrey                       </t>
  </si>
  <si>
    <t xml:space="preserve">POD received from cell 0643226593 M     </t>
  </si>
  <si>
    <t xml:space="preserve">Mduduzi                       </t>
  </si>
  <si>
    <t xml:space="preserve">POD received from cell 0676928033 M     </t>
  </si>
  <si>
    <t>ELNETTE</t>
  </si>
  <si>
    <t>Life West Coast Private Hospit</t>
  </si>
  <si>
    <t xml:space="preserve">POD received from cell 0619982445 M     </t>
  </si>
  <si>
    <t xml:space="preserve">Life St Georges Hospit             </t>
  </si>
  <si>
    <t>LOLETTA</t>
  </si>
  <si>
    <t xml:space="preserve">adrian                        </t>
  </si>
  <si>
    <t xml:space="preserve">POD received from cell 0836700889 M     </t>
  </si>
  <si>
    <t>SUTURE SAMPLES</t>
  </si>
  <si>
    <t>Ashley</t>
  </si>
  <si>
    <t xml:space="preserve">calvin                        </t>
  </si>
  <si>
    <t xml:space="preserve">POD received from cell 0681920801 M     </t>
  </si>
  <si>
    <t>Flyer Sutures-2</t>
  </si>
  <si>
    <t>POD received from cell 0763393715 M</t>
  </si>
  <si>
    <t xml:space="preserve">Vetscape                           </t>
  </si>
  <si>
    <t>Nina</t>
  </si>
  <si>
    <t>DAYLENE</t>
  </si>
  <si>
    <t>Box Sutures-22</t>
  </si>
  <si>
    <t>ALBE2</t>
  </si>
  <si>
    <t>ALBERTON</t>
  </si>
  <si>
    <t xml:space="preserve">Netcare Union Dispensary           </t>
  </si>
  <si>
    <t>LINDA</t>
  </si>
  <si>
    <t>shylech</t>
  </si>
  <si>
    <t>POD received from cell 0648298150 M</t>
  </si>
  <si>
    <t xml:space="preserve">Hoogland Medi Clinic Pharmacy      </t>
  </si>
  <si>
    <t>WILMA</t>
  </si>
  <si>
    <t xml:space="preserve">Netcare Rehabilitation Hospit      </t>
  </si>
  <si>
    <t>REZA</t>
  </si>
  <si>
    <t>luciars</t>
  </si>
  <si>
    <t>martin</t>
  </si>
  <si>
    <t>CALED</t>
  </si>
  <si>
    <t>CALEDON</t>
  </si>
  <si>
    <t xml:space="preserve">WC Health Caledon                  </t>
  </si>
  <si>
    <t>POD received from cell 0731554347 M</t>
  </si>
  <si>
    <t>MARSDEN</t>
  </si>
  <si>
    <t>Hold for Collection</t>
  </si>
  <si>
    <t>raw</t>
  </si>
  <si>
    <t>SUT-2+SAMPLES</t>
  </si>
  <si>
    <t xml:space="preserve">WC Health Stellenbosch Hosp        </t>
  </si>
  <si>
    <t>l cormelius</t>
  </si>
  <si>
    <t xml:space="preserve">ACUMINIOUM TRADING                 </t>
  </si>
  <si>
    <t>NA</t>
  </si>
  <si>
    <t>THUMELO</t>
  </si>
  <si>
    <t>Ruben</t>
  </si>
  <si>
    <t>sandie</t>
  </si>
  <si>
    <t>lyle</t>
  </si>
  <si>
    <t>SUJAYA</t>
  </si>
  <si>
    <t>ABH</t>
  </si>
  <si>
    <t xml:space="preserve">HILLSIDE VETERINARY                </t>
  </si>
  <si>
    <t>MICHELLE</t>
  </si>
  <si>
    <t>catherine</t>
  </si>
  <si>
    <t>jason</t>
  </si>
  <si>
    <t>POD received from cell 0681457540 M</t>
  </si>
  <si>
    <t>ELMARIE</t>
  </si>
  <si>
    <t>denel joles</t>
  </si>
  <si>
    <t>POD received from cell 0711198834 M</t>
  </si>
  <si>
    <t xml:space="preserve">Disa Med Pharmacy Hermanus         </t>
  </si>
  <si>
    <t>NITA</t>
  </si>
  <si>
    <t>Dawn</t>
  </si>
  <si>
    <t xml:space="preserve">TRANSPHARM GAUTENG                 </t>
  </si>
  <si>
    <t>NATALIE</t>
  </si>
  <si>
    <t>Johannes</t>
  </si>
  <si>
    <t xml:space="preserve">Netcare St Annes Hospit Phy        </t>
  </si>
  <si>
    <t>CHRYSTAL PILLAY</t>
  </si>
  <si>
    <t>CRYSTAL</t>
  </si>
  <si>
    <t xml:space="preserve">Noordheuwel Animal Clinic          </t>
  </si>
  <si>
    <t>JANINE</t>
  </si>
  <si>
    <t>lyclia</t>
  </si>
  <si>
    <t>POD received from cell 0727881903 M</t>
  </si>
  <si>
    <t>BLOE1</t>
  </si>
  <si>
    <t>BLOEMFONTEIN</t>
  </si>
  <si>
    <t xml:space="preserve">XPHARM                             </t>
  </si>
  <si>
    <t>CHRIS GROBBELAAR</t>
  </si>
  <si>
    <t>vicky</t>
  </si>
  <si>
    <t>SYSTEM</t>
  </si>
  <si>
    <t>POD received from cell 0847649236 M</t>
  </si>
  <si>
    <t xml:space="preserve">makhabani                     </t>
  </si>
  <si>
    <t xml:space="preserve">Netcare Union Hospit               </t>
  </si>
  <si>
    <t>LOURINDA</t>
  </si>
  <si>
    <t>J courie</t>
  </si>
  <si>
    <t>RTS  Rgab2008307</t>
  </si>
  <si>
    <t>Client refused delivery</t>
  </si>
  <si>
    <t>Returned to sender on waybill number RGA</t>
  </si>
  <si>
    <t xml:space="preserve">TRANSPHARM WESTER CAPE PTY LTD     </t>
  </si>
  <si>
    <t>ANASTACIA</t>
  </si>
  <si>
    <t xml:space="preserve">darren                        </t>
  </si>
  <si>
    <t xml:space="preserve">POD received from cell 0717429658 M     </t>
  </si>
  <si>
    <t xml:space="preserve">Rados   ta Morton   Partners       </t>
  </si>
  <si>
    <t>NAJWAH</t>
  </si>
  <si>
    <t>loraine</t>
  </si>
  <si>
    <t>POD received from cell 0624916044 M</t>
  </si>
  <si>
    <t>W Tula</t>
  </si>
  <si>
    <t xml:space="preserve">Tshepo Themba Clinix - Dispens     </t>
  </si>
  <si>
    <t>GLADNESS</t>
  </si>
  <si>
    <t>Prince</t>
  </si>
  <si>
    <t>TES</t>
  </si>
  <si>
    <t>POD received from cell 0715201240 M</t>
  </si>
  <si>
    <t>HAZEL PILLAY</t>
  </si>
  <si>
    <t>UMTAT</t>
  </si>
  <si>
    <t>UMTATA</t>
  </si>
  <si>
    <t xml:space="preserve">LIFE ST MARY S PRIVATE HOSPITA     </t>
  </si>
  <si>
    <t>MUNYARADZI</t>
  </si>
  <si>
    <t>NOMVANA</t>
  </si>
  <si>
    <t>HUSHENDREE</t>
  </si>
  <si>
    <t>Lisa</t>
  </si>
  <si>
    <t xml:space="preserve">Netcare St Augustine s Hospita     </t>
  </si>
  <si>
    <t>M AIN THEARTE</t>
  </si>
  <si>
    <t>xolani</t>
  </si>
  <si>
    <t>teddy</t>
  </si>
  <si>
    <t>Consignee not available)</t>
  </si>
  <si>
    <t>sab</t>
  </si>
  <si>
    <t xml:space="preserve">Multicare Medical                  </t>
  </si>
  <si>
    <t>CHANTELLE</t>
  </si>
  <si>
    <t>tabitha</t>
  </si>
  <si>
    <t>POD received from cell 0626229785 M</t>
  </si>
  <si>
    <t>BOX SUTURES-14</t>
  </si>
  <si>
    <t>NINETTE</t>
  </si>
  <si>
    <t>les</t>
  </si>
  <si>
    <t xml:space="preserve">Questmed ClinixLesedi              </t>
  </si>
  <si>
    <t>LEE</t>
  </si>
  <si>
    <t>Noxolo</t>
  </si>
  <si>
    <t xml:space="preserve">Abby                          </t>
  </si>
  <si>
    <t xml:space="preserve">POD received from cell 0738058187 M     </t>
  </si>
  <si>
    <t>UPING</t>
  </si>
  <si>
    <t>UPINGTON</t>
  </si>
  <si>
    <t xml:space="preserve">Upington Mediclinic                </t>
  </si>
  <si>
    <t>FERICKA</t>
  </si>
  <si>
    <t>LENA</t>
  </si>
  <si>
    <t>POD received from cell 0611162104 M</t>
  </si>
  <si>
    <t>COMFORT PHARMACY</t>
  </si>
  <si>
    <t>ria vorster</t>
  </si>
  <si>
    <t>elleg</t>
  </si>
  <si>
    <t>Velica</t>
  </si>
  <si>
    <t>BOX SUTURES-10 FLYER MED EQUIPMEN</t>
  </si>
  <si>
    <t xml:space="preserve">OBLER MEDICAL                      </t>
  </si>
  <si>
    <t>LAYLER</t>
  </si>
  <si>
    <t>Marion</t>
  </si>
  <si>
    <t>samu</t>
  </si>
  <si>
    <t>Flyer Sutures-5</t>
  </si>
  <si>
    <t xml:space="preserve">B Snyman                      </t>
  </si>
  <si>
    <t>Ored</t>
  </si>
  <si>
    <t xml:space="preserve">andrew                        </t>
  </si>
  <si>
    <t xml:space="preserve">Vishoek Medicross                  </t>
  </si>
  <si>
    <t>SR GLENDA</t>
  </si>
  <si>
    <t>Katherine</t>
  </si>
  <si>
    <t xml:space="preserve">mohau                         </t>
  </si>
  <si>
    <t>Company Closed</t>
  </si>
  <si>
    <t>pad</t>
  </si>
  <si>
    <t xml:space="preserve">POD received from cell 0646961472 M     </t>
  </si>
  <si>
    <t>BOX SUTURES-13</t>
  </si>
  <si>
    <t>DHAVANIA NAIDOO</t>
  </si>
  <si>
    <t>DUDUZILE</t>
  </si>
  <si>
    <t>dhavania</t>
  </si>
  <si>
    <t xml:space="preserve">Netcare Krugersdorp Hospit         </t>
  </si>
  <si>
    <t>MELANIE PRETORIUS</t>
  </si>
  <si>
    <t>retens</t>
  </si>
  <si>
    <t xml:space="preserve">GABLER MEDICAL PE                  </t>
  </si>
  <si>
    <t>CATHERINE FIOAZ</t>
  </si>
  <si>
    <t>HALEY MARSDAN</t>
  </si>
  <si>
    <t xml:space="preserve">Dr Y.Jadwat                        </t>
  </si>
  <si>
    <t>BEVERLEY</t>
  </si>
  <si>
    <t>B Noble</t>
  </si>
  <si>
    <t>POD received from cell 0616148433 M</t>
  </si>
  <si>
    <t xml:space="preserve">Zuid Afrikaanse Hospit             </t>
  </si>
  <si>
    <t>JOSEPHINAH</t>
  </si>
  <si>
    <t>Bongani</t>
  </si>
  <si>
    <t>POD received from cell 0780245853 M</t>
  </si>
  <si>
    <t xml:space="preserve">Lake Smit   Partners               </t>
  </si>
  <si>
    <t>SR SHERRY</t>
  </si>
  <si>
    <t>sherry</t>
  </si>
  <si>
    <t>POD received from cell 0795189773 M</t>
  </si>
  <si>
    <t xml:space="preserve">Netcare Kingsway Pharmacy          </t>
  </si>
  <si>
    <t>MSIZI</t>
  </si>
  <si>
    <t>msizi</t>
  </si>
  <si>
    <t>POD received from cell 0638667139 M</t>
  </si>
  <si>
    <t xml:space="preserve">Kilner Park Day Clinic             </t>
  </si>
  <si>
    <t>SR RONEL</t>
  </si>
  <si>
    <t xml:space="preserve">R Adendorf                    </t>
  </si>
  <si>
    <t xml:space="preserve">POD received from cell 0606617333 M     </t>
  </si>
  <si>
    <t>BOX SUTURES-18</t>
  </si>
  <si>
    <t xml:space="preserve">Glenstantia Vet                    </t>
  </si>
  <si>
    <t>EME</t>
  </si>
  <si>
    <t>chery</t>
  </si>
  <si>
    <t>POD received from cell 0647909777 M</t>
  </si>
  <si>
    <t xml:space="preserve">King Dinuzulu Hospit Complex       </t>
  </si>
  <si>
    <t>SANDY</t>
  </si>
  <si>
    <t>slu</t>
  </si>
  <si>
    <t>POD received from cell 0827869932 M</t>
  </si>
  <si>
    <t>BOX OXERAS-96</t>
  </si>
  <si>
    <t>REITZ</t>
  </si>
  <si>
    <t xml:space="preserve">Reitz Hospit                       </t>
  </si>
  <si>
    <t>SANMARI</t>
  </si>
  <si>
    <t>POD received from cell 0792120000 M</t>
  </si>
  <si>
    <t>UMKOM</t>
  </si>
  <si>
    <t>UMKOMAAS</t>
  </si>
  <si>
    <t xml:space="preserve">G J Crookes Hospit                 </t>
  </si>
  <si>
    <t>B NDLOVU</t>
  </si>
  <si>
    <t>sanele</t>
  </si>
  <si>
    <t>POD received from cell 0682229568 M</t>
  </si>
  <si>
    <t>BOX SUTURES-50</t>
  </si>
  <si>
    <t>Marlize</t>
  </si>
  <si>
    <t>Wiseman</t>
  </si>
  <si>
    <t>BOX SUTURES-21</t>
  </si>
  <si>
    <t xml:space="preserve">Senzi                         </t>
  </si>
  <si>
    <t xml:space="preserve">BLOEMFONTEIN NATIONAL DISTRICT     </t>
  </si>
  <si>
    <t>SUPPLY CHAIN JOYCE</t>
  </si>
  <si>
    <t>s roux</t>
  </si>
  <si>
    <t>the</t>
  </si>
  <si>
    <t>POD received from cell 0738269435 M</t>
  </si>
  <si>
    <t xml:space="preserve">GALBER MEDICAL                     </t>
  </si>
  <si>
    <t>Sandie</t>
  </si>
  <si>
    <t xml:space="preserve">Life Westville Hospital Phy        </t>
  </si>
  <si>
    <t>ANUSHA</t>
  </si>
  <si>
    <t>nalani</t>
  </si>
  <si>
    <t xml:space="preserve">Paarl Medi Clinic                  </t>
  </si>
  <si>
    <t>Alfred</t>
  </si>
  <si>
    <t>SKYNET PORT ELIZABETH DEPOT</t>
  </si>
  <si>
    <t xml:space="preserve">GABBER MEDICAL                     </t>
  </si>
  <si>
    <t>ALEX BUYS</t>
  </si>
  <si>
    <t>reuben</t>
  </si>
  <si>
    <t xml:space="preserve">Lowveld Hospit                     </t>
  </si>
  <si>
    <t>HAPPY</t>
  </si>
  <si>
    <t>mariet</t>
  </si>
  <si>
    <t>BOX LINERS-50</t>
  </si>
  <si>
    <t xml:space="preserve">Netcare Montana Hospit             </t>
  </si>
  <si>
    <t>MAIN PHARMACY</t>
  </si>
  <si>
    <t xml:space="preserve">Andries                       </t>
  </si>
  <si>
    <t xml:space="preserve">POD received from cell 0763629217 M     </t>
  </si>
  <si>
    <t>VRYHE</t>
  </si>
  <si>
    <t>VRYHEID</t>
  </si>
  <si>
    <t xml:space="preserve">Abaqulusi Private Hospit           </t>
  </si>
  <si>
    <t>ELIGIBLE</t>
  </si>
  <si>
    <t>POD received from cell 0785988150 M</t>
  </si>
  <si>
    <t xml:space="preserve">Netcare Linkwood HOSPITAL          </t>
  </si>
  <si>
    <t>DALUXOLO</t>
  </si>
  <si>
    <t>Daluxolo</t>
  </si>
  <si>
    <t>POD received from cell 0767920437 M</t>
  </si>
  <si>
    <t xml:space="preserve">Shirnel Clinic cc                  </t>
  </si>
  <si>
    <t>SR JULIE COLEMAN</t>
  </si>
  <si>
    <t>JACOB</t>
  </si>
  <si>
    <t>POD received from cell 0616034769 M</t>
  </si>
  <si>
    <t xml:space="preserve">AMH UNIT WESTERN CAPE              </t>
  </si>
  <si>
    <t>WARRANT OFFICER FIELIES</t>
  </si>
  <si>
    <t>pls jchvuet</t>
  </si>
  <si>
    <t>cairin</t>
  </si>
  <si>
    <t xml:space="preserve">Old Chapel Vet Clinic              </t>
  </si>
  <si>
    <t>ANTHONY</t>
  </si>
  <si>
    <t>C Wagenaar</t>
  </si>
  <si>
    <t>POD received from cell 0606617333 M</t>
  </si>
  <si>
    <t xml:space="preserve">Rustenburg Medicare Private Ho     </t>
  </si>
  <si>
    <t>ADAM MOKWENA</t>
  </si>
  <si>
    <t>I WARAY</t>
  </si>
  <si>
    <t xml:space="preserve">Dr Hans Van Heerden                </t>
  </si>
  <si>
    <t>NADIA</t>
  </si>
  <si>
    <t xml:space="preserve">Chartwell Equine Clinic            </t>
  </si>
  <si>
    <t>BLIDE</t>
  </si>
  <si>
    <t>Blyde</t>
  </si>
  <si>
    <t>POD received from cell 0607554553 M</t>
  </si>
  <si>
    <t>dannillo</t>
  </si>
  <si>
    <t>BOX SUTURES-27</t>
  </si>
  <si>
    <t xml:space="preserve">GABLER MEDICAL PORT ELIZABETH      </t>
  </si>
  <si>
    <t>SERVICE CENTRE</t>
  </si>
  <si>
    <t xml:space="preserve">NATIONAL DRUG SERV                 </t>
  </si>
  <si>
    <t>SELO LECHESA</t>
  </si>
  <si>
    <t>makhabane   60 attachment  62</t>
  </si>
  <si>
    <t xml:space="preserve">Netcare Polokwane Pharmacy         </t>
  </si>
  <si>
    <t>SELAELO</t>
  </si>
  <si>
    <t>Thabiso</t>
  </si>
  <si>
    <t>POD received from cell 0795513816 M</t>
  </si>
  <si>
    <t>jeffrey</t>
  </si>
  <si>
    <t>POD received from cell 0796796751 M</t>
  </si>
  <si>
    <t>Makhobeni</t>
  </si>
  <si>
    <t>Appointment required</t>
  </si>
  <si>
    <t>dei</t>
  </si>
  <si>
    <t>maritz</t>
  </si>
  <si>
    <t xml:space="preserve">Life Roseacres Hospital            </t>
  </si>
  <si>
    <t>MICHELLE DE BEER</t>
  </si>
  <si>
    <t>chrisca</t>
  </si>
  <si>
    <t>POD received from cell 0611615708 M</t>
  </si>
  <si>
    <t>QUEEN</t>
  </si>
  <si>
    <t>QUEENSTOWN</t>
  </si>
  <si>
    <t xml:space="preserve">Life Queenstown                    </t>
  </si>
  <si>
    <t>XOLISWA MEHLALA</t>
  </si>
  <si>
    <t xml:space="preserve">Viwe                          </t>
  </si>
  <si>
    <t xml:space="preserve">                                        </t>
  </si>
  <si>
    <t>BOX SUTURES-11</t>
  </si>
  <si>
    <t xml:space="preserve">Life Wilgeheuwel Private           </t>
  </si>
  <si>
    <t>ON2</t>
  </si>
  <si>
    <t>HEID2</t>
  </si>
  <si>
    <t>HEIDELBERG (TVL)</t>
  </si>
  <si>
    <t xml:space="preserve">Life Suikerbosrand Hospital        </t>
  </si>
  <si>
    <t>CHRISTINE</t>
  </si>
  <si>
    <t>POD received from cell 0815199139 M</t>
  </si>
  <si>
    <t xml:space="preserve">LIFE COSMOS PHARMACY               </t>
  </si>
  <si>
    <t>William</t>
  </si>
  <si>
    <t xml:space="preserve">Dr R.Meyerov                       </t>
  </si>
  <si>
    <t>DR MEYER OV</t>
  </si>
  <si>
    <t>nueward</t>
  </si>
  <si>
    <t>POD received from cell 0610992550 M</t>
  </si>
  <si>
    <t>Abraham</t>
  </si>
  <si>
    <t>POD received from cell 0768823309 M</t>
  </si>
  <si>
    <t xml:space="preserve">VICTORIA Hospit Pharma             </t>
  </si>
  <si>
    <t>thakhalo</t>
  </si>
  <si>
    <t xml:space="preserve">DR JA MUIRE -COD ACCOUNT           </t>
  </si>
  <si>
    <t>Helen</t>
  </si>
  <si>
    <t>POD received from cell 0763629217 M</t>
  </si>
  <si>
    <t>E DU TOIT</t>
  </si>
  <si>
    <t>Janah</t>
  </si>
  <si>
    <t xml:space="preserve">Questmed Clinix Lesedi             </t>
  </si>
  <si>
    <t>Younga</t>
  </si>
  <si>
    <t xml:space="preserve">CALVIN                        </t>
  </si>
  <si>
    <t xml:space="preserve">POD received from cell 0671056183 M     </t>
  </si>
  <si>
    <t>Bonolo</t>
  </si>
  <si>
    <t>Missed cutoff</t>
  </si>
  <si>
    <t>cch</t>
  </si>
  <si>
    <t>Catherine</t>
  </si>
  <si>
    <t>HENESIA</t>
  </si>
  <si>
    <t xml:space="preserve">Netcare Linksfield Prk Hospit      </t>
  </si>
  <si>
    <t>NAMANDLA</t>
  </si>
  <si>
    <t>VIVIAN</t>
  </si>
  <si>
    <t>POD received from cell 0795555671 M</t>
  </si>
  <si>
    <t>BOX ME EQUIPMEN</t>
  </si>
  <si>
    <t xml:space="preserve">The Surgical Institute             </t>
  </si>
  <si>
    <t>VALENCIA</t>
  </si>
  <si>
    <t>Lilian</t>
  </si>
  <si>
    <t>warren</t>
  </si>
  <si>
    <t>DEWET</t>
  </si>
  <si>
    <t>TRACY COETZEE</t>
  </si>
  <si>
    <t>Antoinette</t>
  </si>
  <si>
    <t xml:space="preserve">Evans  Pharmacy               </t>
  </si>
  <si>
    <t>Amelia</t>
  </si>
  <si>
    <t xml:space="preserve">AHMED Al-Kadi Private Hospital     </t>
  </si>
  <si>
    <t>CASSIM</t>
  </si>
  <si>
    <t>teegan</t>
  </si>
  <si>
    <t xml:space="preserve">Bloemfontein Mediclinic            </t>
  </si>
  <si>
    <t>MARTIE</t>
  </si>
  <si>
    <t>POD received from cell 0734787843 M</t>
  </si>
  <si>
    <t>Emelda</t>
  </si>
  <si>
    <t>maklabani</t>
  </si>
  <si>
    <t>NINA</t>
  </si>
  <si>
    <t>Lu Mari Groenewald</t>
  </si>
  <si>
    <t>POD received from cell 0627458935 M</t>
  </si>
  <si>
    <t>BOX SUTURES-22</t>
  </si>
  <si>
    <t>vincent</t>
  </si>
  <si>
    <t>BOX SUTURES-4</t>
  </si>
  <si>
    <t>MTHOKOZISI</t>
  </si>
  <si>
    <t>Jhan</t>
  </si>
  <si>
    <t xml:space="preserve">jeffrey                       </t>
  </si>
  <si>
    <t xml:space="preserve">POD received from cell 0796796751 M     </t>
  </si>
  <si>
    <t>haley</t>
  </si>
  <si>
    <t xml:space="preserve">Durbanville Vet                    </t>
  </si>
  <si>
    <t>SR JANET</t>
  </si>
  <si>
    <t>Belinda</t>
  </si>
  <si>
    <t xml:space="preserve">Aaron                         </t>
  </si>
  <si>
    <t xml:space="preserve">POD received from cell 0712723821 M     </t>
  </si>
  <si>
    <t>ZODWA</t>
  </si>
  <si>
    <t>Zandile</t>
  </si>
  <si>
    <t>POD received from cell 0810179008 M</t>
  </si>
  <si>
    <t>DRIPSTANDS</t>
  </si>
  <si>
    <t>lottering</t>
  </si>
  <si>
    <t>BOX SUTURES-20</t>
  </si>
  <si>
    <t xml:space="preserve">LIFE EMPANGENI PHY                 </t>
  </si>
  <si>
    <t>MARIUS</t>
  </si>
  <si>
    <t>amanda</t>
  </si>
  <si>
    <t>POD received from cell 0823513575 M</t>
  </si>
  <si>
    <t>MED EQUIPMEN</t>
  </si>
  <si>
    <t xml:space="preserve">Ashley                        </t>
  </si>
  <si>
    <t>BOX SUTURES-99</t>
  </si>
  <si>
    <t xml:space="preserve">VINDMED MEDICAL SUPPLIES           </t>
  </si>
  <si>
    <t>ADRI</t>
  </si>
  <si>
    <t xml:space="preserve">Abey                          </t>
  </si>
  <si>
    <t xml:space="preserve">POD received from cell 0736327910 M     </t>
  </si>
  <si>
    <t>levene</t>
  </si>
  <si>
    <t>DUDU MAZIBUKO</t>
  </si>
  <si>
    <t>SEEM BUGWAND</t>
  </si>
  <si>
    <t>SEENA</t>
  </si>
  <si>
    <t>JULIAN</t>
  </si>
  <si>
    <t>Hardus</t>
  </si>
  <si>
    <t xml:space="preserve">DJH DEFTY -WELKOM MEULEN PHARM     </t>
  </si>
  <si>
    <t>SIMONE</t>
  </si>
  <si>
    <t xml:space="preserve">Vincent                       </t>
  </si>
  <si>
    <t xml:space="preserve">PVT                                </t>
  </si>
  <si>
    <t xml:space="preserve">SUIT 7 GROUND FLR                  </t>
  </si>
  <si>
    <t>GABLER</t>
  </si>
  <si>
    <t>ROBINIA B</t>
  </si>
  <si>
    <t xml:space="preserve">Nelspruit Surgiclinic              </t>
  </si>
  <si>
    <t>dudu</t>
  </si>
  <si>
    <t xml:space="preserve">Valley Farm Animal Hospit          </t>
  </si>
  <si>
    <t>MELISSA</t>
  </si>
  <si>
    <t>jordan</t>
  </si>
  <si>
    <t xml:space="preserve">Gravity Medical                    </t>
  </si>
  <si>
    <t>SR SHERRY JOHNSON</t>
  </si>
  <si>
    <t>Sherly</t>
  </si>
  <si>
    <t xml:space="preserve">TRANSPHARM GAUTENG-TRANSPHARM      </t>
  </si>
  <si>
    <t>FRED</t>
  </si>
  <si>
    <t xml:space="preserve">Raymond                       </t>
  </si>
  <si>
    <t xml:space="preserve">Hana                          </t>
  </si>
  <si>
    <t xml:space="preserve">POD received from cell 0729194064 M     </t>
  </si>
  <si>
    <t>Tumelo</t>
  </si>
  <si>
    <t xml:space="preserve">Thabiso                       </t>
  </si>
  <si>
    <t xml:space="preserve">POD received from cell 0795513816 M     </t>
  </si>
  <si>
    <t xml:space="preserve">Intercare Medfem Hospital          </t>
  </si>
  <si>
    <t>carna</t>
  </si>
  <si>
    <t xml:space="preserve">GL Staikos (Pty) Ltd               </t>
  </si>
  <si>
    <t>JERUSHA</t>
  </si>
  <si>
    <t>Jerusha</t>
  </si>
  <si>
    <t>POD received from cell 0797318730 M</t>
  </si>
  <si>
    <t>TERESA</t>
  </si>
  <si>
    <t>Peter</t>
  </si>
  <si>
    <t>jap</t>
  </si>
  <si>
    <t xml:space="preserve">MDC KIMBERLEY NARKO CLINIC GP      </t>
  </si>
  <si>
    <t>CHERESE</t>
  </si>
  <si>
    <t>nicolle</t>
  </si>
  <si>
    <t>POD received from cell 0792593806 M</t>
  </si>
  <si>
    <t xml:space="preserve">Disa Med Stellenbosch              </t>
  </si>
  <si>
    <t>JUANEL</t>
  </si>
  <si>
    <t xml:space="preserve">nolen                         </t>
  </si>
  <si>
    <t>ISIPI</t>
  </si>
  <si>
    <t>ISIPINGO</t>
  </si>
  <si>
    <t xml:space="preserve">ISIPINGO HOSPITAL DISPENSARY       </t>
  </si>
  <si>
    <t>NIRESH</t>
  </si>
  <si>
    <t>Veronica</t>
  </si>
  <si>
    <t>POD received from cell 0682948962 M</t>
  </si>
  <si>
    <t xml:space="preserve">Midvaal Private Hospit             </t>
  </si>
  <si>
    <t>YOLANDE</t>
  </si>
  <si>
    <t>Van wyk</t>
  </si>
  <si>
    <t>POD received from cell 0825995905 M</t>
  </si>
  <si>
    <t xml:space="preserve">Nomathemba                    </t>
  </si>
  <si>
    <t xml:space="preserve">POD received from cell 0713186291 M     </t>
  </si>
  <si>
    <t xml:space="preserve">42 ANDERSON STREET                 </t>
  </si>
  <si>
    <t>RETIREMENT DEPARTMENT</t>
  </si>
  <si>
    <t>teko</t>
  </si>
  <si>
    <t>POD received from cell 0826614802 M</t>
  </si>
  <si>
    <t>DOCUMENTS</t>
  </si>
  <si>
    <t xml:space="preserve">Cure Day Clinic Midstream          </t>
  </si>
  <si>
    <t>JERELDA</t>
  </si>
  <si>
    <t>jerelda</t>
  </si>
  <si>
    <t>Rakhee</t>
  </si>
  <si>
    <t xml:space="preserve">Twanay                        </t>
  </si>
  <si>
    <t>mathew</t>
  </si>
  <si>
    <t xml:space="preserve">Universitas Hospit                 </t>
  </si>
  <si>
    <t>A Molakeng</t>
  </si>
  <si>
    <t>POD received from cell 0782422236 M</t>
  </si>
  <si>
    <t xml:space="preserve">Steve Biko Academic Hospit         </t>
  </si>
  <si>
    <t>GERHARD</t>
  </si>
  <si>
    <t xml:space="preserve">C Delport                     </t>
  </si>
  <si>
    <t xml:space="preserve">POD received from cell 0726813383 M     </t>
  </si>
  <si>
    <t>BOX SUTURES-30</t>
  </si>
  <si>
    <t xml:space="preserve">Mdc Kalahari Katarak En Oog Se     </t>
  </si>
  <si>
    <t>STEPHEN</t>
  </si>
  <si>
    <t xml:space="preserve">ILLEDGE                       </t>
  </si>
  <si>
    <t xml:space="preserve">POD received from cell 0611162104 M     </t>
  </si>
  <si>
    <t>vizicelo</t>
  </si>
  <si>
    <t>POD received from cell 0787466889 M</t>
  </si>
  <si>
    <t xml:space="preserve">Mediclinic  S ton Pharma           </t>
  </si>
  <si>
    <t>COMFORT-PHARMACY</t>
  </si>
  <si>
    <t>Marcus</t>
  </si>
  <si>
    <t>Niel</t>
  </si>
  <si>
    <t>Johannes  Pharmacy</t>
  </si>
  <si>
    <t xml:space="preserve">Netcare Alberlito Hospit           </t>
  </si>
  <si>
    <t>NITESH</t>
  </si>
  <si>
    <t>Reece</t>
  </si>
  <si>
    <t>Christopher</t>
  </si>
  <si>
    <t xml:space="preserve">Pelonomi Hospit                    </t>
  </si>
  <si>
    <t>HENRY</t>
  </si>
  <si>
    <t>TEBOGO</t>
  </si>
  <si>
    <t>POD received from cell 0784452502 M</t>
  </si>
  <si>
    <t>Mrs Steele</t>
  </si>
  <si>
    <t>Flyer Suturers-3</t>
  </si>
  <si>
    <t>FRED PHADU</t>
  </si>
  <si>
    <t>CHRITELLE</t>
  </si>
  <si>
    <t>POD received from cell 0722858767 M</t>
  </si>
  <si>
    <t>vele</t>
  </si>
  <si>
    <t>UITEN</t>
  </si>
  <si>
    <t>UITENHAGE</t>
  </si>
  <si>
    <t xml:space="preserve">Uitenhage Provincial Hospit        </t>
  </si>
  <si>
    <t>Stores</t>
  </si>
  <si>
    <t>AJ RYZIL</t>
  </si>
  <si>
    <t>POD received from cell 0649064059 M</t>
  </si>
  <si>
    <t>CARLE</t>
  </si>
  <si>
    <t>CARLETONVILLE</t>
  </si>
  <si>
    <t xml:space="preserve">S BUYS Business Prk                </t>
  </si>
  <si>
    <t>MADELENE</t>
  </si>
  <si>
    <t>Evans</t>
  </si>
  <si>
    <t xml:space="preserve">MDC MONTE VISTA GP                 </t>
  </si>
  <si>
    <t>tiffany</t>
  </si>
  <si>
    <t xml:space="preserve">Mid - Medic Pharmacy               </t>
  </si>
  <si>
    <t>SHERWIN</t>
  </si>
  <si>
    <t>niggi</t>
  </si>
  <si>
    <t>VICTO</t>
  </si>
  <si>
    <t>VICTORIA WEST</t>
  </si>
  <si>
    <t xml:space="preserve">BJ KEMPEN CHC                      </t>
  </si>
  <si>
    <t>HLONITSHIWE</t>
  </si>
  <si>
    <t>TZANE</t>
  </si>
  <si>
    <t>TZANEEN</t>
  </si>
  <si>
    <t xml:space="preserve">Mankweng Hospit                    </t>
  </si>
  <si>
    <t>VIOLET</t>
  </si>
  <si>
    <t>linkie</t>
  </si>
  <si>
    <t>POD received from cell 0766706547 M</t>
  </si>
  <si>
    <t>HARDI</t>
  </si>
  <si>
    <t>HARDING</t>
  </si>
  <si>
    <t xml:space="preserve">ST ANDREWS DISTRICT HOSPITAL       </t>
  </si>
  <si>
    <t>MELUSI</t>
  </si>
  <si>
    <t xml:space="preserve">DR A G KEPLER                      </t>
  </si>
  <si>
    <t>Lee-Anne</t>
  </si>
  <si>
    <t xml:space="preserve">Lee ann                       </t>
  </si>
  <si>
    <t xml:space="preserve">POD received from cell 0678407293 M     </t>
  </si>
  <si>
    <t xml:space="preserve">Ramsem EdmsBpk                     </t>
  </si>
  <si>
    <t>VICKY</t>
  </si>
  <si>
    <t xml:space="preserve">Netcare Parklands Pharmacy         </t>
  </si>
  <si>
    <t>REESHAD</t>
  </si>
  <si>
    <t>nokthula</t>
  </si>
  <si>
    <t xml:space="preserve">Lenmed - Randfontein Pharmacy      </t>
  </si>
  <si>
    <t>LEONIE</t>
  </si>
  <si>
    <t>Sibusiso</t>
  </si>
  <si>
    <t>POD received from cell 0662418085 M</t>
  </si>
  <si>
    <t>ALIDA</t>
  </si>
  <si>
    <t xml:space="preserve">62 CLINTON ROAD                    </t>
  </si>
  <si>
    <t>MANFORD</t>
  </si>
  <si>
    <t>NOMONDE</t>
  </si>
  <si>
    <t xml:space="preserve">PATRICIA                           </t>
  </si>
  <si>
    <t xml:space="preserve">BLOEMFOTNEIN                       </t>
  </si>
  <si>
    <t>TRACEY</t>
  </si>
  <si>
    <t>cotzee</t>
  </si>
  <si>
    <t>POD received from cell 0812321835 M</t>
  </si>
  <si>
    <t xml:space="preserve">SPECIALISED MOULDING               </t>
  </si>
  <si>
    <t>WAYNE</t>
  </si>
  <si>
    <t>PHUTH</t>
  </si>
  <si>
    <t>PHUTHADITJHABA</t>
  </si>
  <si>
    <t xml:space="preserve">MANAPO Hospit                      </t>
  </si>
  <si>
    <t>MR MARIUS</t>
  </si>
  <si>
    <t>MALESEDI</t>
  </si>
  <si>
    <t>POD received from cell 0721923527 M</t>
  </si>
  <si>
    <t xml:space="preserve">PARKMORE VETERINARY CLINIC         </t>
  </si>
  <si>
    <t>JOYCE</t>
  </si>
  <si>
    <t>burgelll</t>
  </si>
  <si>
    <t>POD received from cell 0673653068 M</t>
  </si>
  <si>
    <t>CULLI</t>
  </si>
  <si>
    <t>CULLINAN</t>
  </si>
  <si>
    <t xml:space="preserve">DR S.E.Cronje                      </t>
  </si>
  <si>
    <t>DR CRONJE</t>
  </si>
  <si>
    <t>Lindiwe</t>
  </si>
  <si>
    <t>POD received from cell 0835292772 M</t>
  </si>
  <si>
    <t>Makhabane</t>
  </si>
  <si>
    <t>DEI</t>
  </si>
  <si>
    <t xml:space="preserve">BUSAMED BRAM FISHER INT AIRPOR     </t>
  </si>
  <si>
    <t>COBIE</t>
  </si>
  <si>
    <t>MPHO</t>
  </si>
  <si>
    <t>DE WET</t>
  </si>
  <si>
    <t>M STRAUSS</t>
  </si>
  <si>
    <t>Mduduzi</t>
  </si>
  <si>
    <t>koketso</t>
  </si>
  <si>
    <t>RAKHEE</t>
  </si>
  <si>
    <t xml:space="preserve">Stevens                       </t>
  </si>
  <si>
    <t xml:space="preserve">POD received from cell 0607774851 M     </t>
  </si>
  <si>
    <t xml:space="preserve">yvonne                        </t>
  </si>
  <si>
    <t xml:space="preserve">POD received from cell 0787466889 M     </t>
  </si>
  <si>
    <t>PORT4</t>
  </si>
  <si>
    <t>PORT SHEPSTONE</t>
  </si>
  <si>
    <t xml:space="preserve">Gamalakhe Community Health Cen     </t>
  </si>
  <si>
    <t>S MJOELE</t>
  </si>
  <si>
    <t xml:space="preserve">cairin                        </t>
  </si>
  <si>
    <t>henm</t>
  </si>
  <si>
    <t xml:space="preserve">Motsumi Diere Kliniek              </t>
  </si>
  <si>
    <t>ANNELIZE</t>
  </si>
  <si>
    <t>Vida</t>
  </si>
  <si>
    <t xml:space="preserve">CARE AT MIDSTREAM                  </t>
  </si>
  <si>
    <t>mpho</t>
  </si>
  <si>
    <t xml:space="preserve">SERVE-U-Med SA                     </t>
  </si>
  <si>
    <t>PAUL</t>
  </si>
  <si>
    <t xml:space="preserve">Manny                         </t>
  </si>
  <si>
    <t xml:space="preserve">POD received from cell 0787319713 M     </t>
  </si>
  <si>
    <t>FRANS</t>
  </si>
  <si>
    <t>france</t>
  </si>
  <si>
    <t>grr</t>
  </si>
  <si>
    <t>nonkululeko</t>
  </si>
  <si>
    <t>charis</t>
  </si>
  <si>
    <t>christelle</t>
  </si>
  <si>
    <t xml:space="preserve">Nelson Mandela Childrens Hospi     </t>
  </si>
  <si>
    <t>EPHRAIM</t>
  </si>
  <si>
    <t>boitshepo</t>
  </si>
  <si>
    <t>Kyle</t>
  </si>
  <si>
    <t>Warren</t>
  </si>
  <si>
    <t>POD received from cell 0793723492 M</t>
  </si>
  <si>
    <t xml:space="preserve">VAR DEST                           </t>
  </si>
  <si>
    <t>HALEY SAMANTHA</t>
  </si>
  <si>
    <t>mark</t>
  </si>
  <si>
    <t>MARION</t>
  </si>
  <si>
    <t xml:space="preserve">KIMBERLEY HOSPITAL                 </t>
  </si>
  <si>
    <t>J MOGOROSI</t>
  </si>
  <si>
    <t>johannes</t>
  </si>
  <si>
    <t xml:space="preserve">DR S DULABH                        </t>
  </si>
  <si>
    <t>Caitlin</t>
  </si>
  <si>
    <t>BRAKP</t>
  </si>
  <si>
    <t>BRAKPAN</t>
  </si>
  <si>
    <t xml:space="preserve">Life Dalview Pharmacy              </t>
  </si>
  <si>
    <t>LUYANDA</t>
  </si>
  <si>
    <t>sama</t>
  </si>
  <si>
    <t>POD received from cell 0769249034 M</t>
  </si>
  <si>
    <t xml:space="preserve">RUBIMED GLENWOOD DAY HOSPITAL      </t>
  </si>
  <si>
    <t>SAMEERAH</t>
  </si>
  <si>
    <t>sameerau</t>
  </si>
  <si>
    <t xml:space="preserve">SDUDUZO                       </t>
  </si>
  <si>
    <t xml:space="preserve">POD received from cell 0785988150 M     </t>
  </si>
  <si>
    <t xml:space="preserve">thakgalo                      </t>
  </si>
  <si>
    <t xml:space="preserve">POD received from cell 0763393715 M     </t>
  </si>
  <si>
    <t>GROBL</t>
  </si>
  <si>
    <t>GROBLERSDAL</t>
  </si>
  <si>
    <t xml:space="preserve">SR RITAS HOSPITAL                  </t>
  </si>
  <si>
    <t>MOLOPO</t>
  </si>
  <si>
    <t>POD received from cell 0677566911 M</t>
  </si>
  <si>
    <t>ABY</t>
  </si>
  <si>
    <t xml:space="preserve">Netcare Alberlito Pharmacy         </t>
  </si>
  <si>
    <t>Kiara</t>
  </si>
  <si>
    <t>CERES</t>
  </si>
  <si>
    <t xml:space="preserve">WC HEALTH CERES HOSPITAL           </t>
  </si>
  <si>
    <t>GILBERT DAMON</t>
  </si>
  <si>
    <t xml:space="preserve">Vuyokazi                      </t>
  </si>
  <si>
    <t xml:space="preserve">POD received from cell 0639514370 M     </t>
  </si>
  <si>
    <t>ndikho</t>
  </si>
  <si>
    <t xml:space="preserve">glenda                        </t>
  </si>
  <si>
    <t xml:space="preserve">LIFE ST DOMINICS                   </t>
  </si>
  <si>
    <t>SR B PRETORIUS</t>
  </si>
  <si>
    <t>nicolas</t>
  </si>
  <si>
    <t>POD received from cell 0661144688 M</t>
  </si>
  <si>
    <t>DUDU  KEDI</t>
  </si>
  <si>
    <t>Ailize</t>
  </si>
  <si>
    <t>POD received from cell 0714696548 M</t>
  </si>
  <si>
    <t xml:space="preserve">Arwyp Medical Cntr                 </t>
  </si>
  <si>
    <t>OLLEEN</t>
  </si>
  <si>
    <t>POD received from cell 0659348365 M</t>
  </si>
  <si>
    <t xml:space="preserve">LIFE CHATSMED GARDEN  PHY          </t>
  </si>
  <si>
    <t>VENUSHA NAIDU</t>
  </si>
  <si>
    <t>KENNY</t>
  </si>
  <si>
    <t>POD received from cell 0732237417 M</t>
  </si>
  <si>
    <t>CITRU</t>
  </si>
  <si>
    <t>CITRUSDAL</t>
  </si>
  <si>
    <t xml:space="preserve">WC Health citrusdal Hospit         </t>
  </si>
  <si>
    <t>MR G MEYER</t>
  </si>
  <si>
    <t>F meyer</t>
  </si>
  <si>
    <t>POD received from cell 0818301760 M</t>
  </si>
  <si>
    <t>nicole</t>
  </si>
  <si>
    <t>MZUVUKILE</t>
  </si>
  <si>
    <t>ILLEG</t>
  </si>
  <si>
    <t xml:space="preserve">3IT CONSULTING PTY LTD             </t>
  </si>
  <si>
    <t>LOUISE DE KOCK</t>
  </si>
  <si>
    <t>precious</t>
  </si>
  <si>
    <t>POD received from cell 0647964988 M</t>
  </si>
  <si>
    <t>MR LARO FOURIE</t>
  </si>
  <si>
    <t xml:space="preserve">RA GILBERT                         </t>
  </si>
  <si>
    <t>CARIEN</t>
  </si>
  <si>
    <t>Llewellyn</t>
  </si>
  <si>
    <t>POD received from cell 0633530074 M</t>
  </si>
  <si>
    <t>Makhabani</t>
  </si>
  <si>
    <t>GLADNESS PHY</t>
  </si>
  <si>
    <t>Zakes</t>
  </si>
  <si>
    <t>rrica</t>
  </si>
  <si>
    <t>Nicoleen</t>
  </si>
  <si>
    <t>mohau</t>
  </si>
  <si>
    <t>T.COETZEE</t>
  </si>
  <si>
    <t>Martin</t>
  </si>
  <si>
    <t xml:space="preserve">Busamed Lowveld Day                </t>
  </si>
  <si>
    <t>LOUISE</t>
  </si>
  <si>
    <t>themba</t>
  </si>
  <si>
    <t xml:space="preserve">KIMBERLEY Hospit                   </t>
  </si>
  <si>
    <t>mintay</t>
  </si>
  <si>
    <t>koekemoer</t>
  </si>
  <si>
    <t>coh</t>
  </si>
  <si>
    <t xml:space="preserve">Richards Bay Medical Institute     </t>
  </si>
  <si>
    <t>Bongumusa</t>
  </si>
  <si>
    <t>BOX SUTURES-1</t>
  </si>
  <si>
    <t>sam sam</t>
  </si>
  <si>
    <t>CANDICE</t>
  </si>
  <si>
    <t xml:space="preserve">Tzaneen Animal Clinic              </t>
  </si>
  <si>
    <t>DR PIETER</t>
  </si>
  <si>
    <t>annerine</t>
  </si>
  <si>
    <t>POD received from cell 0732125467 M</t>
  </si>
  <si>
    <t>A Pieterse</t>
  </si>
  <si>
    <t xml:space="preserve">Port Elizabeth Pharm.              </t>
  </si>
  <si>
    <t>mohieba</t>
  </si>
  <si>
    <t>POD received from cell 0726203296 M</t>
  </si>
  <si>
    <t>AILIZE</t>
  </si>
  <si>
    <t xml:space="preserve">Klerksdorp Dierekliniek            </t>
  </si>
  <si>
    <t>ELLA</t>
  </si>
  <si>
    <t>ella</t>
  </si>
  <si>
    <t>POD received from cell 0836925391 M</t>
  </si>
  <si>
    <t>MIDD1</t>
  </si>
  <si>
    <t>MIDDELBURG (CP)</t>
  </si>
  <si>
    <t xml:space="preserve">MRS M STANDER                      </t>
  </si>
  <si>
    <t xml:space="preserve">XOLANI                        </t>
  </si>
  <si>
    <t>TRICH</t>
  </si>
  <si>
    <t>TRICHARDT</t>
  </si>
  <si>
    <t xml:space="preserve">Mediclinic Highveld                </t>
  </si>
  <si>
    <t>MARIETJIE</t>
  </si>
  <si>
    <t>gouws</t>
  </si>
  <si>
    <t>mmd</t>
  </si>
  <si>
    <t>POD received from cell 0833558732 M</t>
  </si>
  <si>
    <t xml:space="preserve">cathrine                      </t>
  </si>
  <si>
    <t xml:space="preserve">POD received from cell 0641377685 M     </t>
  </si>
  <si>
    <t xml:space="preserve">Life Fourways Hospital             </t>
  </si>
  <si>
    <t>CHIDO</t>
  </si>
  <si>
    <t>Sayed</t>
  </si>
  <si>
    <t>POD received from cell 0733622001 M</t>
  </si>
  <si>
    <t>Priscilla</t>
  </si>
  <si>
    <t>VICTORIA</t>
  </si>
  <si>
    <t>shalmain</t>
  </si>
  <si>
    <t>Account Total</t>
  </si>
  <si>
    <t>j17989</t>
  </si>
  <si>
    <t xml:space="preserve">MOVE ANALYTICS CC - ATM ACCOUNTS   </t>
  </si>
  <si>
    <t xml:space="preserve">ATM SOLUTIONS                      </t>
  </si>
  <si>
    <t xml:space="preserve">ATM SOLUTIONS HEAD OFFICE          </t>
  </si>
  <si>
    <t>ANN</t>
  </si>
  <si>
    <t>Anne</t>
  </si>
  <si>
    <t>POD received from cell 0713017212 M</t>
  </si>
  <si>
    <t xml:space="preserve">ATM SOLUTIONS DURBAN               </t>
  </si>
  <si>
    <t>NEWCA</t>
  </si>
  <si>
    <t>NEWCASTLE</t>
  </si>
  <si>
    <t xml:space="preserve">SKYNET                             </t>
  </si>
  <si>
    <t>LINDO</t>
  </si>
  <si>
    <t>TONI</t>
  </si>
  <si>
    <t>LADYS</t>
  </si>
  <si>
    <t>LADYSMITH (NTL)</t>
  </si>
  <si>
    <t xml:space="preserve">G45 CASH SOLUTIONS                 </t>
  </si>
  <si>
    <t>MUZI</t>
  </si>
  <si>
    <t>PONTIA</t>
  </si>
  <si>
    <t>J17989</t>
  </si>
  <si>
    <t>VRYBU</t>
  </si>
  <si>
    <t>VRYBURG</t>
  </si>
  <si>
    <t>PIETER MULLER</t>
  </si>
  <si>
    <t>WALTER</t>
  </si>
  <si>
    <t>DOC / FUE / INS</t>
  </si>
  <si>
    <t xml:space="preserve">FEDELITY CASH DERVICES             </t>
  </si>
  <si>
    <t>KHULUFHELO</t>
  </si>
  <si>
    <t>kholofelo</t>
  </si>
  <si>
    <t xml:space="preserve">ATM SOLUTIONS - PE                 </t>
  </si>
  <si>
    <t>HOLD FOR COLLECTION</t>
  </si>
  <si>
    <t>JASON PETERS</t>
  </si>
  <si>
    <t>EUGENE</t>
  </si>
  <si>
    <t>JASON</t>
  </si>
  <si>
    <t>JEG</t>
  </si>
  <si>
    <t>POD received from cell 0734775152 M</t>
  </si>
  <si>
    <t xml:space="preserve">ATM SOLUTIONS JHB                  </t>
  </si>
  <si>
    <t>GEORGES</t>
  </si>
  <si>
    <t>OLIVER</t>
  </si>
  <si>
    <t>SANDT</t>
  </si>
  <si>
    <t>SANDTON</t>
  </si>
  <si>
    <t>Mike</t>
  </si>
  <si>
    <t>COLIN KHOZA</t>
  </si>
  <si>
    <t>SAMANTHA</t>
  </si>
  <si>
    <t xml:space="preserve">ATM SOLUTINSS                      </t>
  </si>
  <si>
    <t>NALCOLN</t>
  </si>
  <si>
    <t>MORATUWA CELLULAR</t>
  </si>
  <si>
    <t>anastasie</t>
  </si>
  <si>
    <t>POD received from cell 0843582707 M</t>
  </si>
  <si>
    <t>REINETTE</t>
  </si>
  <si>
    <t>KURUM</t>
  </si>
  <si>
    <t>KURUMAN</t>
  </si>
  <si>
    <t xml:space="preserve">JERRY                              </t>
  </si>
  <si>
    <t>ATM SOLUTIONS</t>
  </si>
  <si>
    <t>LET</t>
  </si>
  <si>
    <t>DIVEN GOSSEN</t>
  </si>
  <si>
    <t>DEBRA   EMILE</t>
  </si>
  <si>
    <t>DIVAN</t>
  </si>
  <si>
    <t>SAB</t>
  </si>
  <si>
    <t xml:space="preserve">ATM SOLUTIONS WAREHOUSE            </t>
  </si>
  <si>
    <t>MORATIWA</t>
  </si>
  <si>
    <t>THOHO</t>
  </si>
  <si>
    <t>THOHOYANDOU</t>
  </si>
  <si>
    <t xml:space="preserve">FEDELITY CASHA SERVICES            </t>
  </si>
  <si>
    <t>RIDZELANI</t>
  </si>
  <si>
    <t>Simon</t>
  </si>
  <si>
    <t>HND / FUE / doc</t>
  </si>
  <si>
    <t>POD received from cell 0839546952 M</t>
  </si>
  <si>
    <t xml:space="preserve">FIDELITY CASH SERVICES             </t>
  </si>
  <si>
    <t>FHULUFHELO</t>
  </si>
  <si>
    <t xml:space="preserve">ZINGILE NKOMENI                    </t>
  </si>
  <si>
    <t xml:space="preserve">LOCKS                              </t>
  </si>
  <si>
    <t>ATM SOLUTION</t>
  </si>
  <si>
    <t>Moratuwa</t>
  </si>
  <si>
    <t>flyer</t>
  </si>
  <si>
    <t xml:space="preserve">UNILOCK MANUFACTORING              </t>
  </si>
  <si>
    <t>CHANTELL</t>
  </si>
  <si>
    <t>shannon</t>
  </si>
  <si>
    <t>POD received from cell 0769347056 M</t>
  </si>
  <si>
    <t xml:space="preserve">SASFIN                             </t>
  </si>
  <si>
    <t>ASHENDRIE NAIDOO</t>
  </si>
  <si>
    <t>DANIE</t>
  </si>
  <si>
    <t>lindiwe</t>
  </si>
  <si>
    <t>POD received from cell 0822272106 M</t>
  </si>
  <si>
    <t>MORATUWA</t>
  </si>
  <si>
    <t>CHAROZA</t>
  </si>
  <si>
    <t xml:space="preserve">UNILOCK MANUFACTURING CC           </t>
  </si>
  <si>
    <t>CHANTELL OLWAGE / PIOTR</t>
  </si>
  <si>
    <t>Ann/Quinton</t>
  </si>
  <si>
    <t>henry</t>
  </si>
  <si>
    <t>Flyer</t>
  </si>
  <si>
    <t xml:space="preserve">ARM SOLUTIONS                      </t>
  </si>
  <si>
    <t>KHUTSO</t>
  </si>
  <si>
    <t>samuel</t>
  </si>
  <si>
    <t>karuna</t>
  </si>
  <si>
    <t>POD received from cell 0848255037 M</t>
  </si>
  <si>
    <t>COLVIN KHOZA</t>
  </si>
  <si>
    <t>JONATHAN</t>
  </si>
  <si>
    <t>Jonathan</t>
  </si>
  <si>
    <t>POD received from cell 0769043110 M</t>
  </si>
  <si>
    <t>PIETER MALLER</t>
  </si>
  <si>
    <t>pieter</t>
  </si>
  <si>
    <t>POD received from cell 0787450977 M</t>
  </si>
  <si>
    <t>JERRY</t>
  </si>
  <si>
    <t>JEROME</t>
  </si>
  <si>
    <t>Jerome</t>
  </si>
  <si>
    <t xml:space="preserve">ATM SOLUTIONS POLOKWANE            </t>
  </si>
  <si>
    <t>REGINALD LEGODI</t>
  </si>
  <si>
    <t>CHANTELL OLWAGE   PIOTR</t>
  </si>
  <si>
    <t>Musa</t>
  </si>
  <si>
    <t>POD received from cell 0813693772 M</t>
  </si>
  <si>
    <t xml:space="preserve">ATM RUSTENBURG                     </t>
  </si>
  <si>
    <t>NICODEMUS SETHE</t>
  </si>
  <si>
    <t xml:space="preserve">Walter                        </t>
  </si>
  <si>
    <t xml:space="preserve">ATM SSOLUTION                      </t>
  </si>
  <si>
    <t>GULIVAN NAUDE RYDEEN DOUTIE</t>
  </si>
  <si>
    <t>Thapelo</t>
  </si>
  <si>
    <t>POD received from cell 0642876976 M</t>
  </si>
  <si>
    <t xml:space="preserve">SKYNET KLEKRSDORP                  </t>
  </si>
  <si>
    <t>STEOHAN</t>
  </si>
  <si>
    <t>Meshack</t>
  </si>
  <si>
    <t>POD received from cell 0793440283 M</t>
  </si>
  <si>
    <t>RAJESH MOHABIR YASHEN POORAI</t>
  </si>
  <si>
    <t>KHUTSO EAMALABELA</t>
  </si>
  <si>
    <t xml:space="preserve">ATM SOL                            </t>
  </si>
  <si>
    <t>Walter</t>
  </si>
  <si>
    <t xml:space="preserve">ATM SOLUTION                       </t>
  </si>
  <si>
    <t>HEINDRICH</t>
  </si>
  <si>
    <t>casey</t>
  </si>
  <si>
    <t>HEIN</t>
  </si>
  <si>
    <t>Hein</t>
  </si>
  <si>
    <t>NICO</t>
  </si>
  <si>
    <t>MARBL</t>
  </si>
  <si>
    <t>MARBLE HALL</t>
  </si>
  <si>
    <t>Frank</t>
  </si>
  <si>
    <t>POD received from cell 0836713403 M</t>
  </si>
  <si>
    <t>FENI</t>
  </si>
  <si>
    <t>musa</t>
  </si>
  <si>
    <t xml:space="preserve">ATM OLUTIONS                       </t>
  </si>
  <si>
    <t xml:space="preserve">signature                     </t>
  </si>
  <si>
    <t xml:space="preserve">POD received from cell 0769043110 M     </t>
  </si>
  <si>
    <t>JOHATHAN</t>
  </si>
  <si>
    <t>LIHLE SKADENI</t>
  </si>
  <si>
    <t>ZINGILE NKOMENI</t>
  </si>
  <si>
    <t>Anastasia</t>
  </si>
  <si>
    <t>BOXE</t>
  </si>
  <si>
    <t>ATM SOLUTION STORES</t>
  </si>
  <si>
    <t>OLIVIER</t>
  </si>
  <si>
    <t>amt</t>
  </si>
  <si>
    <t>BOX</t>
  </si>
  <si>
    <t xml:space="preserve">ATM SOLUTIONS TZANEEN              </t>
  </si>
  <si>
    <t>WARE HOUSE</t>
  </si>
  <si>
    <t>PAT</t>
  </si>
  <si>
    <t xml:space="preserve">ATM SOLUTIONS KJB                  </t>
  </si>
  <si>
    <t>MP GORGES</t>
  </si>
  <si>
    <t>YASHEN</t>
  </si>
  <si>
    <t>G OLIVIER</t>
  </si>
  <si>
    <t xml:space="preserve">FEDELITY CASH SERVICES             </t>
  </si>
  <si>
    <t>FHULUFHELO KHUTSO</t>
  </si>
  <si>
    <t>ruth</t>
  </si>
  <si>
    <t xml:space="preserve">SASFIN [PTY]LTD                    </t>
  </si>
  <si>
    <t>ASHENDRIE</t>
  </si>
  <si>
    <t>lindewe</t>
  </si>
  <si>
    <t xml:space="preserve">MORATUWA                           </t>
  </si>
  <si>
    <t>REGINAL MUSA</t>
  </si>
  <si>
    <t>SIYABULELA</t>
  </si>
  <si>
    <t>Femi</t>
  </si>
  <si>
    <t xml:space="preserve">ATM SOLUTIONS WITBANK              </t>
  </si>
  <si>
    <t xml:space="preserve">ATM SULUTIONS                      </t>
  </si>
  <si>
    <t>LINCO</t>
  </si>
  <si>
    <t>feni</t>
  </si>
  <si>
    <t>POD received from cell 0653151196 M</t>
  </si>
  <si>
    <t>deliwe</t>
  </si>
  <si>
    <t xml:space="preserve">malcolm                       </t>
  </si>
  <si>
    <t>UAT</t>
  </si>
  <si>
    <t xml:space="preserve">POD received from cell 0843582707 M     </t>
  </si>
  <si>
    <t>KERSHEN</t>
  </si>
  <si>
    <t>sibangani</t>
  </si>
  <si>
    <t>POD received from cell 0653843035 M</t>
  </si>
  <si>
    <t>WARRE</t>
  </si>
  <si>
    <t>WARRENTON</t>
  </si>
  <si>
    <t>DEBRA</t>
  </si>
  <si>
    <t>piet</t>
  </si>
  <si>
    <t>SOMANTHA</t>
  </si>
  <si>
    <t>MAHMOOD</t>
  </si>
  <si>
    <t>monique</t>
  </si>
  <si>
    <t xml:space="preserve">ATM SOLUTIONS RUSTENBURG           </t>
  </si>
  <si>
    <t>PAREC</t>
  </si>
  <si>
    <t>BITUMELO M</t>
  </si>
  <si>
    <t>SUREN M</t>
  </si>
  <si>
    <t xml:space="preserve">UNLOCK MANUFACTURIG CC             </t>
  </si>
  <si>
    <t>RAJESH</t>
  </si>
  <si>
    <t>BOUTUMELO M</t>
  </si>
  <si>
    <t>SUREN</t>
  </si>
  <si>
    <t>MERVEN EDDY</t>
  </si>
  <si>
    <t>CAWIN</t>
  </si>
  <si>
    <t xml:space="preserve">SKYNET KLERKSDORP                  </t>
  </si>
  <si>
    <t>Stephan</t>
  </si>
  <si>
    <t>feri</t>
  </si>
  <si>
    <t>foni</t>
  </si>
  <si>
    <t xml:space="preserve">ATM SLOLUTIONS                     </t>
  </si>
  <si>
    <t>SAMANRHA</t>
  </si>
  <si>
    <t>BURG1</t>
  </si>
  <si>
    <t>BURGERSFORT</t>
  </si>
  <si>
    <t xml:space="preserve">TM SOLUTIONS                       </t>
  </si>
  <si>
    <t>LOURENCE MADIKA</t>
  </si>
  <si>
    <t>Moses</t>
  </si>
  <si>
    <t>eugene</t>
  </si>
  <si>
    <t xml:space="preserve">GEORGE CENTRAL                     </t>
  </si>
  <si>
    <t>JOHAN MARX</t>
  </si>
  <si>
    <t>Derport</t>
  </si>
  <si>
    <t>signature</t>
  </si>
  <si>
    <t xml:space="preserve">AM SOLUTIONS                       </t>
  </si>
  <si>
    <t>KEISO</t>
  </si>
  <si>
    <t>D GOOSEN</t>
  </si>
  <si>
    <t>ST JOHN</t>
  </si>
  <si>
    <t>G  Oliver</t>
  </si>
  <si>
    <t>NITO MICO</t>
  </si>
  <si>
    <t>Edith</t>
  </si>
  <si>
    <t>POD received from cell 0732443101 M</t>
  </si>
  <si>
    <t>FEMI</t>
  </si>
  <si>
    <t xml:space="preserve">AIR LIQUIDE                        </t>
  </si>
  <si>
    <t>D J DELPORT</t>
  </si>
  <si>
    <t>seb</t>
  </si>
  <si>
    <t xml:space="preserve">ATRUSOLUTIONS                      </t>
  </si>
  <si>
    <t>MERVLEN</t>
  </si>
  <si>
    <t xml:space="preserve">ATM SLOUTIONS                      </t>
  </si>
  <si>
    <t xml:space="preserve">ATM SOLUYIOND                      </t>
  </si>
  <si>
    <t>NORMAN RALA RALA</t>
  </si>
  <si>
    <t xml:space="preserve">ATM SLOUIONS                       </t>
  </si>
  <si>
    <t xml:space="preserve">ATM SOLUYIONS                      </t>
  </si>
  <si>
    <t>thapelo</t>
  </si>
  <si>
    <t xml:space="preserve">ATM SLOYLIONS                      </t>
  </si>
  <si>
    <t>Liandra</t>
  </si>
  <si>
    <t xml:space="preserve">ATM SLOLUITIONS                    </t>
  </si>
  <si>
    <t>Reginald</t>
  </si>
  <si>
    <t>Stephen</t>
  </si>
  <si>
    <t>HLOLSULWAZI</t>
  </si>
  <si>
    <t xml:space="preserve">atm solutions                      </t>
  </si>
  <si>
    <t>norman</t>
  </si>
  <si>
    <t xml:space="preserve">MALCOLM                       </t>
  </si>
  <si>
    <t xml:space="preserve">ATM SOLIUTIONS                     </t>
  </si>
  <si>
    <t>LOCKS</t>
  </si>
  <si>
    <t>PIET MASHALA</t>
  </si>
  <si>
    <t>MUSA REGINALD</t>
  </si>
  <si>
    <t>CHANTELL PIOTR</t>
  </si>
  <si>
    <t>t clark</t>
  </si>
  <si>
    <t>SAMNTHA</t>
  </si>
  <si>
    <t>kershan</t>
  </si>
  <si>
    <t xml:space="preserve">ATM SOLOYIONS                      </t>
  </si>
  <si>
    <t>Incorrect route allocation</t>
  </si>
  <si>
    <t xml:space="preserve">ATM SLOTIONS                       </t>
  </si>
  <si>
    <t>POD received from cell 0764958693 M</t>
  </si>
  <si>
    <t xml:space="preserve">ATM OLUYIONDS                      </t>
  </si>
  <si>
    <t>NSA</t>
  </si>
  <si>
    <t xml:space="preserve">ATM SOLUYION                       </t>
  </si>
  <si>
    <t>CALVIN</t>
  </si>
  <si>
    <t xml:space="preserve">ATM SLOLUTION                      </t>
  </si>
  <si>
    <t xml:space="preserve">air solution cape                  </t>
  </si>
  <si>
    <t>11waverley bus park</t>
  </si>
  <si>
    <t>Etthienn</t>
  </si>
  <si>
    <t xml:space="preserve">PAYCORP                            </t>
  </si>
  <si>
    <t>WHITNEY</t>
  </si>
  <si>
    <t>GULIVAN</t>
  </si>
  <si>
    <t xml:space="preserve">UNILOCK MANUFACTURING              </t>
  </si>
  <si>
    <t>chantell</t>
  </si>
  <si>
    <t xml:space="preserve">atm solutions portsheptone         </t>
  </si>
  <si>
    <t>kishal hari</t>
  </si>
  <si>
    <t>harii</t>
  </si>
  <si>
    <t>POD received from cell 0849819699 M</t>
  </si>
  <si>
    <t xml:space="preserve">aim solution                       </t>
  </si>
  <si>
    <t>13 bertha street</t>
  </si>
  <si>
    <t>Deliwe</t>
  </si>
  <si>
    <t xml:space="preserve">aim solution bloefontein           </t>
  </si>
  <si>
    <t>hein</t>
  </si>
  <si>
    <t xml:space="preserve">atm solution newcastle             </t>
  </si>
  <si>
    <t>lindo</t>
  </si>
  <si>
    <t>min</t>
  </si>
  <si>
    <t>Reghard</t>
  </si>
  <si>
    <t>rosy</t>
  </si>
  <si>
    <t>LOWRENCE</t>
  </si>
  <si>
    <t>J kotze</t>
  </si>
  <si>
    <t>POD received from cell 0762402177 M</t>
  </si>
  <si>
    <t xml:space="preserve">ATM SOLUTIONS.                     </t>
  </si>
  <si>
    <t xml:space="preserve">atm solution burgersfort           </t>
  </si>
  <si>
    <t>lawrence</t>
  </si>
  <si>
    <t>Lawrence</t>
  </si>
  <si>
    <t>zugile</t>
  </si>
  <si>
    <t>AVW</t>
  </si>
  <si>
    <t xml:space="preserve">atm solution queenstown            </t>
  </si>
  <si>
    <t>brman</t>
  </si>
  <si>
    <t>NORMAN</t>
  </si>
  <si>
    <t xml:space="preserve">FIDELITY CASH SERVICE              </t>
  </si>
  <si>
    <t>LAWRENCE</t>
  </si>
  <si>
    <t xml:space="preserve">atm solution betlehem              </t>
  </si>
  <si>
    <t>keiso khalaki</t>
  </si>
  <si>
    <t>KASO</t>
  </si>
  <si>
    <t xml:space="preserve">ATN SOLUTIONS                      </t>
  </si>
  <si>
    <t>REGINALD</t>
  </si>
  <si>
    <t>evert</t>
  </si>
  <si>
    <t xml:space="preserve">ATM SOLUTION JHB                   </t>
  </si>
  <si>
    <t>GEORGES B</t>
  </si>
  <si>
    <t>YASHEN P</t>
  </si>
  <si>
    <t>CHARLENE B</t>
  </si>
  <si>
    <t xml:space="preserve">ALL CASH TECHNOLOGIES              </t>
  </si>
  <si>
    <t>ELLEN M</t>
  </si>
  <si>
    <t>ellen</t>
  </si>
  <si>
    <t>POD received from cell 0630509171 M</t>
  </si>
  <si>
    <t>WHINEY ROSENBERG</t>
  </si>
  <si>
    <t>jonathan</t>
  </si>
  <si>
    <t xml:space="preserve">Deliwe                        </t>
  </si>
  <si>
    <t xml:space="preserve">atm solutions richards bay         </t>
  </si>
  <si>
    <t>sboniso</t>
  </si>
  <si>
    <t>KHOBADI SEDEBI</t>
  </si>
  <si>
    <t xml:space="preserve">aim solutions                      </t>
  </si>
  <si>
    <t xml:space="preserve">atm solutiona brt shepstone        </t>
  </si>
  <si>
    <t>kishal</t>
  </si>
  <si>
    <t>na</t>
  </si>
  <si>
    <t xml:space="preserve">ATM DOLUTION                       </t>
  </si>
  <si>
    <t>BOITUMELO MELK</t>
  </si>
  <si>
    <t>KALABO MACHABA</t>
  </si>
  <si>
    <t>Noma</t>
  </si>
  <si>
    <t>MUSA</t>
  </si>
  <si>
    <t>piet mashala</t>
  </si>
  <si>
    <t>POD received from cell 0788774868 M</t>
  </si>
  <si>
    <t>LAWRANCE</t>
  </si>
  <si>
    <t>gemma</t>
  </si>
  <si>
    <t xml:space="preserve">AVI                                </t>
  </si>
  <si>
    <t xml:space="preserve">AVI FM                             </t>
  </si>
  <si>
    <t>COST CENTRE 119122702FM EC GL CODE 460040</t>
  </si>
  <si>
    <t>SHIREEN BASTERMAN</t>
  </si>
  <si>
    <t>VALENCIA M</t>
  </si>
  <si>
    <t>mans</t>
  </si>
  <si>
    <t>COST CENTRE 11900070FM WC GL CODE 460040</t>
  </si>
  <si>
    <t>VANISHNIE GOVENDER</t>
  </si>
  <si>
    <t>VALENCIA MOROPA</t>
  </si>
  <si>
    <t>madolo</t>
  </si>
  <si>
    <t xml:space="preserve">AVI FM OFS                         </t>
  </si>
  <si>
    <t>COST CENTRE 00902270 FM F.S GL CODE 460040</t>
  </si>
  <si>
    <t>NICOLYNN BLIGNAUT</t>
  </si>
  <si>
    <t>VALECIA M</t>
  </si>
  <si>
    <t>Genevive</t>
  </si>
  <si>
    <t>PHILISIWE MAPHANGA</t>
  </si>
  <si>
    <t>VALENCIA MONOPA</t>
  </si>
  <si>
    <t>TSIDI</t>
  </si>
  <si>
    <t>POD received from cell 0748410312 M</t>
  </si>
  <si>
    <t>GERT</t>
  </si>
  <si>
    <t xml:space="preserve">ATM SOLUTIONS CAPE TOWN            </t>
  </si>
  <si>
    <t>Ettienn</t>
  </si>
  <si>
    <t>Ann Quinton</t>
  </si>
  <si>
    <t xml:space="preserve">robert                        </t>
  </si>
  <si>
    <t>AAMTHA</t>
  </si>
  <si>
    <t>SHARI</t>
  </si>
  <si>
    <t>ZIGILE</t>
  </si>
  <si>
    <t>vuy</t>
  </si>
  <si>
    <t>sharon</t>
  </si>
  <si>
    <t>BJ  DELPORT</t>
  </si>
  <si>
    <t>HEINRICH RONNEBACH</t>
  </si>
  <si>
    <t>LOUIS</t>
  </si>
  <si>
    <t>LOUIS TRICHARDT</t>
  </si>
  <si>
    <t>RENDELANI</t>
  </si>
  <si>
    <t>LINDOKUHLE KHUMALO</t>
  </si>
  <si>
    <t>SAMONTHA</t>
  </si>
  <si>
    <t>CALVIN KHONA</t>
  </si>
  <si>
    <t>KHUTSO RAMALOBELA</t>
  </si>
  <si>
    <t xml:space="preserve">ATM SOLUTIONS PIETERMARITZBURG     </t>
  </si>
  <si>
    <t>MARVLEN REDDY</t>
  </si>
  <si>
    <t>MENDE</t>
  </si>
  <si>
    <t>Norman</t>
  </si>
  <si>
    <t>rosy SOMO</t>
  </si>
  <si>
    <t>DEBRA EMILE</t>
  </si>
  <si>
    <t>NAOMI</t>
  </si>
  <si>
    <t>POD received from cell 0680354524 M</t>
  </si>
  <si>
    <t>FEM</t>
  </si>
  <si>
    <t>KETSO</t>
  </si>
  <si>
    <t>SAMMANTHA</t>
  </si>
  <si>
    <t xml:space="preserve">ATM SOLUTIOJNS                     </t>
  </si>
  <si>
    <t>APHELELE</t>
  </si>
  <si>
    <t>nthabiseng</t>
  </si>
  <si>
    <t>yashen</t>
  </si>
  <si>
    <t xml:space="preserve">ATM SOLUTIONS MAKHADO              </t>
  </si>
  <si>
    <t>R MALULEKE</t>
  </si>
  <si>
    <t>ETTIENNE</t>
  </si>
  <si>
    <t xml:space="preserve">SKYNET KLKERSDORP                  </t>
  </si>
  <si>
    <t>STEPHAN</t>
  </si>
  <si>
    <t>BO</t>
  </si>
  <si>
    <t>PARCELL</t>
  </si>
  <si>
    <t>KEISO KHALAKI</t>
  </si>
  <si>
    <t>ketso</t>
  </si>
  <si>
    <t>STEPHINA CHAKALUKA</t>
  </si>
  <si>
    <t>FEMI MORATUWA</t>
  </si>
  <si>
    <t>divan goosen</t>
  </si>
  <si>
    <t>PIET MOTSWALAKGORE</t>
  </si>
  <si>
    <t>EUPEN VAN TONDER</t>
  </si>
  <si>
    <t>NORMAN ROLANALA</t>
  </si>
  <si>
    <t>SEY</t>
  </si>
  <si>
    <t>CHANTEL</t>
  </si>
  <si>
    <t xml:space="preserve">ATM DOLUTIONS                      </t>
  </si>
  <si>
    <t>QUINTON DE BEER</t>
  </si>
  <si>
    <t>NICODEMUS</t>
  </si>
  <si>
    <t>SBONISO</t>
  </si>
  <si>
    <t xml:space="preserve">ATM SLUTIONS                       </t>
  </si>
  <si>
    <t>JANATHAN</t>
  </si>
  <si>
    <t>Nthabiseng</t>
  </si>
  <si>
    <t>CALVIN KHOZA</t>
  </si>
  <si>
    <t>SAMARHA</t>
  </si>
  <si>
    <t xml:space="preserve">ATU SOLUTIONS                      </t>
  </si>
  <si>
    <t>ZINGILE</t>
  </si>
  <si>
    <t>zingile</t>
  </si>
  <si>
    <t>SAMANTA</t>
  </si>
  <si>
    <t>kgaugelo</t>
  </si>
  <si>
    <t xml:space="preserve">GOEGE CENTRAL                      </t>
  </si>
  <si>
    <t xml:space="preserve">BJ DELPORT                    </t>
  </si>
  <si>
    <t>P LEIBEBERG</t>
  </si>
  <si>
    <t>Ephraim</t>
  </si>
  <si>
    <t>DIVEN GOOSEN</t>
  </si>
  <si>
    <t>LINDIWE KHUMALO</t>
  </si>
  <si>
    <t>SAMATHA</t>
  </si>
  <si>
    <t>SSTEPHAN SWANEPOEL</t>
  </si>
  <si>
    <t>JONITA</t>
  </si>
  <si>
    <t xml:space="preserve">ATM COLUTIONS                      </t>
  </si>
  <si>
    <t>EDDIE DITALE</t>
  </si>
  <si>
    <t>TSHEPO MOYA</t>
  </si>
  <si>
    <t>STEEL FRAME</t>
  </si>
  <si>
    <t>JOHN MAVUSO</t>
  </si>
  <si>
    <t>APHELELE MANANGA</t>
  </si>
  <si>
    <t>JOHN</t>
  </si>
  <si>
    <t>DAK</t>
  </si>
  <si>
    <t>POD received from cell 0672852519 M</t>
  </si>
  <si>
    <t xml:space="preserve">ATM SOLUTIONS PORT ELIZABETH       </t>
  </si>
  <si>
    <t>MALCOLM</t>
  </si>
  <si>
    <t xml:space="preserve">ATM SOLUTIONS PORT SHEPSTONE       </t>
  </si>
  <si>
    <t>KISHAL HARI</t>
  </si>
  <si>
    <t>S Hari</t>
  </si>
  <si>
    <t>G Oliven</t>
  </si>
  <si>
    <t>CARINA</t>
  </si>
  <si>
    <t xml:space="preserve">KwaZulu-Natal CET College          </t>
  </si>
  <si>
    <t xml:space="preserve">Old Mutual iWYZE                   </t>
  </si>
  <si>
    <t>Fundile Karen Dlamini</t>
  </si>
  <si>
    <t>sip okasse</t>
  </si>
  <si>
    <t xml:space="preserve">ATM Solutions Cape Town            </t>
  </si>
  <si>
    <t xml:space="preserve">ATM Solutions                      </t>
  </si>
  <si>
    <t>MORATUWA DEBRA</t>
  </si>
  <si>
    <t>malcolm</t>
  </si>
  <si>
    <t xml:space="preserve">JERRY                         </t>
  </si>
  <si>
    <t>cjv</t>
  </si>
  <si>
    <t xml:space="preserve">HUGE CONNECT                       </t>
  </si>
  <si>
    <t>anile</t>
  </si>
  <si>
    <t>BORMAN</t>
  </si>
  <si>
    <t>Yolanda</t>
  </si>
  <si>
    <t xml:space="preserve">MOVE ANALYTICS                     </t>
  </si>
  <si>
    <t xml:space="preserve">MOVE ANALTICS                      </t>
  </si>
  <si>
    <t>YASHEEN</t>
  </si>
  <si>
    <t xml:space="preserve">UNILOCK MANUF CC                   </t>
  </si>
  <si>
    <t>t farn</t>
  </si>
  <si>
    <t>NOMAN RALA RALA</t>
  </si>
  <si>
    <t>Siyabulela</t>
  </si>
  <si>
    <t>DOC / FUE</t>
  </si>
  <si>
    <t>DIVAN GOOSEN</t>
  </si>
  <si>
    <t>MERVLEN REDDY</t>
  </si>
  <si>
    <t>merilen</t>
  </si>
  <si>
    <t>NIDO</t>
  </si>
  <si>
    <t xml:space="preserve">nicodemus                     </t>
  </si>
  <si>
    <t>MA</t>
  </si>
  <si>
    <t>Vanessa</t>
  </si>
  <si>
    <t>POD received from cell 0644881838 M</t>
  </si>
  <si>
    <t>G oliven</t>
  </si>
  <si>
    <t>mlieb</t>
  </si>
  <si>
    <t xml:space="preserve">DTORAGE COMPNAY                    </t>
  </si>
  <si>
    <t>b j delport</t>
  </si>
  <si>
    <t>MERVIEIN REDDY</t>
  </si>
  <si>
    <t>1 box</t>
  </si>
  <si>
    <t xml:space="preserve">ATM SOLUTUIONS                     </t>
  </si>
  <si>
    <t>Oliven</t>
  </si>
  <si>
    <t>MERULEN REDDY</t>
  </si>
  <si>
    <t xml:space="preserve">ATM SOLUTOIONS                     </t>
  </si>
  <si>
    <t>MERLEN</t>
  </si>
  <si>
    <t>COERT</t>
  </si>
  <si>
    <t>SIGNATURE</t>
  </si>
  <si>
    <t>Aletta</t>
  </si>
  <si>
    <t xml:space="preserve">UNLOCK MANUFACTURING               </t>
  </si>
  <si>
    <t>CHANTELL P</t>
  </si>
  <si>
    <t xml:space="preserve">ATMSOLUTIONS                       </t>
  </si>
  <si>
    <t>AAIL</t>
  </si>
  <si>
    <t>Maratuwa</t>
  </si>
  <si>
    <t>PEIT MSHALA</t>
  </si>
  <si>
    <t>j17990</t>
  </si>
  <si>
    <t>MOVE ANALYTICS CC -  B &amp; L  PRIONTE</t>
  </si>
  <si>
    <t xml:space="preserve">DEBBIE                             </t>
  </si>
  <si>
    <t xml:space="preserve">PRIONTEX                           </t>
  </si>
  <si>
    <t>Phumy</t>
  </si>
  <si>
    <t>POD received from cell 0763784726 M</t>
  </si>
  <si>
    <t>J17990</t>
  </si>
  <si>
    <t>phumie</t>
  </si>
  <si>
    <t xml:space="preserve">debbie                             </t>
  </si>
  <si>
    <t>Mbali</t>
  </si>
  <si>
    <t xml:space="preserve">Debbie Slattery                    </t>
  </si>
  <si>
    <t xml:space="preserve">B   l                              </t>
  </si>
  <si>
    <t>DEBBIE SLATTERY</t>
  </si>
  <si>
    <t>Thulisile</t>
  </si>
  <si>
    <t>J17991</t>
  </si>
  <si>
    <t xml:space="preserve">MOVE ANALYTICS CC - ADMIN          </t>
  </si>
  <si>
    <t>SHAMIL</t>
  </si>
  <si>
    <t>JERRY EUGENE TSEPO</t>
  </si>
  <si>
    <t>SHARON</t>
  </si>
  <si>
    <t xml:space="preserve">AVI National Brands                </t>
  </si>
  <si>
    <t xml:space="preserve">AVI Bloemfontein                   </t>
  </si>
  <si>
    <t>SDX</t>
  </si>
  <si>
    <t>NEVILLE</t>
  </si>
  <si>
    <t>Mthembu</t>
  </si>
  <si>
    <t>genevieve</t>
  </si>
  <si>
    <t>DSD / FUE / doc</t>
  </si>
  <si>
    <t>POD received from cell 0713885074 M</t>
  </si>
  <si>
    <t xml:space="preserve">AVI FINANCE                        </t>
  </si>
  <si>
    <t xml:space="preserve">INDIGO COSMETICS                   </t>
  </si>
  <si>
    <t>BERNARD PRETORIUS</t>
  </si>
  <si>
    <t>METHEMBE MOYO</t>
  </si>
  <si>
    <t>Anina</t>
  </si>
  <si>
    <t>POD received from cell 0622163098 M</t>
  </si>
  <si>
    <t xml:space="preserve">NATIONAL BRANDS                    </t>
  </si>
  <si>
    <t>RAJESH RANSUNDER</t>
  </si>
  <si>
    <t>BORIS</t>
  </si>
  <si>
    <t>moriona</t>
  </si>
  <si>
    <t>LEP</t>
  </si>
  <si>
    <t xml:space="preserve">PRIONTEX MICRONCLEAN               </t>
  </si>
  <si>
    <t>CARLA</t>
  </si>
  <si>
    <t>mboneni</t>
  </si>
  <si>
    <t>POD received from cell 0749143480 M</t>
  </si>
  <si>
    <t xml:space="preserve">CAPE EYE HOSP TRUST                </t>
  </si>
  <si>
    <t>SR R WATERSON</t>
  </si>
  <si>
    <t>edward</t>
  </si>
  <si>
    <t>POD received from cell 0615921397 M</t>
  </si>
  <si>
    <t xml:space="preserve">FRESENIUS KABI MAN SA              </t>
  </si>
  <si>
    <t>YOLANDA VAN GREUNEN</t>
  </si>
  <si>
    <t>H Brown</t>
  </si>
  <si>
    <t>MOUN1</t>
  </si>
  <si>
    <t>MOUNT AYLIFF</t>
  </si>
  <si>
    <t xml:space="preserve">ST PATRICK HOSP                    </t>
  </si>
  <si>
    <t>SHADLEY BRUINTJIES</t>
  </si>
  <si>
    <t>ROBIN</t>
  </si>
  <si>
    <t>US MPONGO</t>
  </si>
  <si>
    <t>CHUMA MATWA</t>
  </si>
  <si>
    <t>Nontsikelelo</t>
  </si>
  <si>
    <t>POD received from cell 0656195417 M</t>
  </si>
  <si>
    <t>MAGS</t>
  </si>
  <si>
    <t>ROBYN</t>
  </si>
  <si>
    <t xml:space="preserve">SILOAM HOSP                        </t>
  </si>
  <si>
    <t>DR SHAHEEN</t>
  </si>
  <si>
    <t>adam</t>
  </si>
  <si>
    <t>POD received from cell 0765752559 M</t>
  </si>
  <si>
    <t>DERRICK</t>
  </si>
  <si>
    <t>BERNARD PRITORIUS</t>
  </si>
  <si>
    <t>MAGGIE SAXLEY</t>
  </si>
  <si>
    <t xml:space="preserve">PRIOTEX                            </t>
  </si>
  <si>
    <t>DERALLE</t>
  </si>
  <si>
    <t>ZIPHO</t>
  </si>
  <si>
    <t>colleen</t>
  </si>
  <si>
    <t xml:space="preserve">AVI FIELD MARKETING                </t>
  </si>
  <si>
    <t>LUDI MOELECH</t>
  </si>
  <si>
    <t>MARY GROOTBOOM</t>
  </si>
  <si>
    <t>Happiness</t>
  </si>
  <si>
    <t xml:space="preserve">ACOUSTEX-BLUTECH                   </t>
  </si>
  <si>
    <t>ANDRE SWARTBOOI</t>
  </si>
  <si>
    <t>.</t>
  </si>
  <si>
    <t>Chantel</t>
  </si>
  <si>
    <t xml:space="preserve">PRIONTEX MICRON CLEAN              </t>
  </si>
  <si>
    <t>Baloyi</t>
  </si>
  <si>
    <t xml:space="preserve">PRIONTEX SA                        </t>
  </si>
  <si>
    <t xml:space="preserve">PRINTER SA                         </t>
  </si>
  <si>
    <t xml:space="preserve">pummy                         </t>
  </si>
  <si>
    <t>CSH / FUE / DOC</t>
  </si>
  <si>
    <t xml:space="preserve">POD received from cell 0744435413 M     </t>
  </si>
  <si>
    <t xml:space="preserve">Ciro Western Cape                  </t>
  </si>
  <si>
    <t>50*30*30 - 72KG</t>
  </si>
  <si>
    <t>KAMALI</t>
  </si>
  <si>
    <t>Methemb</t>
  </si>
  <si>
    <t>shafiek</t>
  </si>
  <si>
    <t>ASHLEY WILCOX</t>
  </si>
  <si>
    <t>TANYA HOTMAN</t>
  </si>
  <si>
    <t xml:space="preserve">warren                        </t>
  </si>
  <si>
    <t xml:space="preserve">GRO BERVERAGE SOLUTION             </t>
  </si>
  <si>
    <t>CHRISTINE ADELE</t>
  </si>
  <si>
    <t>Cyril</t>
  </si>
  <si>
    <t xml:space="preserve">PMB MEDICLINIC                     </t>
  </si>
  <si>
    <t>YANYA STOFBERG</t>
  </si>
  <si>
    <t xml:space="preserve">SASSA-TENDER BOX                   </t>
  </si>
  <si>
    <t xml:space="preserve">AS ABOVE                           </t>
  </si>
  <si>
    <t>ALL CENTRAL TRADING</t>
  </si>
  <si>
    <t>SASSA PIETERMARITZBURG</t>
  </si>
  <si>
    <t>Bad address</t>
  </si>
  <si>
    <t>j17991</t>
  </si>
  <si>
    <t>UTREC</t>
  </si>
  <si>
    <t>UTRECHT</t>
  </si>
  <si>
    <t xml:space="preserve">CONGLOMUS SERVICE CENTRE           </t>
  </si>
  <si>
    <t xml:space="preserve">ALIX CLARK                         </t>
  </si>
  <si>
    <t>ADEL</t>
  </si>
  <si>
    <t>Lenford</t>
  </si>
  <si>
    <t>POD received from cell 0730260841 M</t>
  </si>
  <si>
    <t xml:space="preserve">SILOAM HOSPITAL                    </t>
  </si>
  <si>
    <t>LUFUNO MULAUDZI</t>
  </si>
  <si>
    <t xml:space="preserve">PRIONTEX MICROCLEAN                </t>
  </si>
  <si>
    <t>SIKELWA</t>
  </si>
  <si>
    <t>Sylvia</t>
  </si>
  <si>
    <t xml:space="preserve">NATIONAL BIOPRODUCTS INSTITUTE     </t>
  </si>
  <si>
    <t>KASERAN MUNIAN</t>
  </si>
  <si>
    <t xml:space="preserve">Zuzile                        </t>
  </si>
  <si>
    <t xml:space="preserve">POD received from cell 0814795132 M     </t>
  </si>
  <si>
    <t xml:space="preserve">EUROLAB ABU                        </t>
  </si>
  <si>
    <t>JO-MARI JACOBS</t>
  </si>
  <si>
    <t>NICO STRYDOM</t>
  </si>
  <si>
    <t>Johan</t>
  </si>
  <si>
    <t xml:space="preserve">AVI Field Marketing                </t>
  </si>
  <si>
    <t>MULALO</t>
  </si>
  <si>
    <t>Colleen</t>
  </si>
  <si>
    <t>STANF</t>
  </si>
  <si>
    <t>STANDFORD</t>
  </si>
  <si>
    <t xml:space="preserve">I J LIMITED                        </t>
  </si>
  <si>
    <t>TEGAN CHRISTIE</t>
  </si>
  <si>
    <t xml:space="preserve">ASPEN SA OPERATIONS                </t>
  </si>
  <si>
    <t xml:space="preserve">ELDIARIO TRADERS T A PRIONTEX      </t>
  </si>
  <si>
    <t>nico</t>
  </si>
  <si>
    <t xml:space="preserve">ACOUSTEX-PLUTECH                   </t>
  </si>
  <si>
    <t>YOLANDE V GREUNEN</t>
  </si>
  <si>
    <t xml:space="preserve">PRIONTEX JBG                       </t>
  </si>
  <si>
    <t xml:space="preserve">PRIONTEX CAPE                      </t>
  </si>
  <si>
    <t xml:space="preserve">SHAMIL </t>
  </si>
  <si>
    <t xml:space="preserve">Small Box </t>
  </si>
  <si>
    <t xml:space="preserve">MEDICLINIC WELKOM                  </t>
  </si>
  <si>
    <t>CHARNE LEE COETZER</t>
  </si>
  <si>
    <t>illedge</t>
  </si>
  <si>
    <t xml:space="preserve">SMARTSCREEN                        </t>
  </si>
  <si>
    <t>FRONT DESK</t>
  </si>
  <si>
    <t>AYESHA</t>
  </si>
  <si>
    <t>BRENDA</t>
  </si>
  <si>
    <t>POD received from cell 0799731759 M</t>
  </si>
  <si>
    <t>STANG</t>
  </si>
  <si>
    <t>STANGER</t>
  </si>
  <si>
    <t xml:space="preserve">MRS CM PRETORIUS C/O MRS J OMARJEE </t>
  </si>
  <si>
    <t xml:space="preserve">MARION RAWSON                      </t>
  </si>
  <si>
    <t xml:space="preserve">MARION RAWSON </t>
  </si>
  <si>
    <t xml:space="preserve">CARLIEN PRETORIUS </t>
  </si>
  <si>
    <t>NYASHA</t>
  </si>
  <si>
    <t xml:space="preserve">BOX </t>
  </si>
  <si>
    <t xml:space="preserve">MEDICLINIC HIGHVELD                </t>
  </si>
  <si>
    <t>TERSIA GROENEWALD</t>
  </si>
  <si>
    <t>Mattews</t>
  </si>
  <si>
    <t>POD received from cell 0684995190 M</t>
  </si>
  <si>
    <t xml:space="preserve">I   J LIMITED                      </t>
  </si>
  <si>
    <t>CHANELLE</t>
  </si>
  <si>
    <t>N  Mbolekwa</t>
  </si>
  <si>
    <t xml:space="preserve">SIMERA SENSE                       </t>
  </si>
  <si>
    <t>CHRISTEL</t>
  </si>
  <si>
    <t>AR SUPPORT</t>
  </si>
  <si>
    <t>methembe</t>
  </si>
  <si>
    <t>POD received from cell 0729564722 M</t>
  </si>
  <si>
    <t xml:space="preserve">THE DENTAL SURGEON                 </t>
  </si>
  <si>
    <t>SABIHA SHABODDIN</t>
  </si>
  <si>
    <t>POD received from cell 0720482210 M</t>
  </si>
  <si>
    <t>mary</t>
  </si>
  <si>
    <t xml:space="preserve">ELDIARIO TRADERS                   </t>
  </si>
  <si>
    <t>SHAMIEL</t>
  </si>
  <si>
    <t xml:space="preserve">BAYVIEW                            </t>
  </si>
  <si>
    <t>ABDU DAYYANN</t>
  </si>
  <si>
    <t>sandra</t>
  </si>
  <si>
    <t xml:space="preserve">PRIONTER SA                        </t>
  </si>
  <si>
    <t>TONY</t>
  </si>
  <si>
    <t xml:space="preserve">SULENVIC MARKETING                 </t>
  </si>
  <si>
    <t>LEONARD STANNARD</t>
  </si>
  <si>
    <t>Hester</t>
  </si>
  <si>
    <t>KELLY</t>
  </si>
  <si>
    <t>phummy</t>
  </si>
  <si>
    <t>POD received from cell 0744435413 M</t>
  </si>
  <si>
    <t xml:space="preserve">SWEET FARM                         </t>
  </si>
  <si>
    <t xml:space="preserve">CONGLOMUS SERVICES                 </t>
  </si>
  <si>
    <t>ALIX CLARK</t>
  </si>
  <si>
    <t xml:space="preserve">AVT FIELD MARKETING                </t>
  </si>
  <si>
    <t>CHANTEL MYBURGH</t>
  </si>
  <si>
    <t>TANYA HARTMAN</t>
  </si>
  <si>
    <t xml:space="preserve">AVI FIELD MARKETING-FREE STATE     </t>
  </si>
  <si>
    <t xml:space="preserve">SMARTSAEEN JEAN PARK               </t>
  </si>
  <si>
    <t>MORNE SMIT</t>
  </si>
  <si>
    <t xml:space="preserve">CINTOCARE                          </t>
  </si>
  <si>
    <t>LIANA ENGELBRECHT</t>
  </si>
  <si>
    <t>Diandra Pretirius</t>
  </si>
  <si>
    <t xml:space="preserve">PRIONTEX CPT                       </t>
  </si>
  <si>
    <t>SHABIRA AHMED</t>
  </si>
  <si>
    <t>TLOU</t>
  </si>
  <si>
    <t xml:space="preserve">HUBERT                        </t>
  </si>
  <si>
    <t xml:space="preserve">POD received from cell 0616034769 M     </t>
  </si>
  <si>
    <t xml:space="preserve">EAST LONDON EYE HOSPITAL           </t>
  </si>
  <si>
    <t>JO-ANN HULLEY</t>
  </si>
  <si>
    <t xml:space="preserve">done                          </t>
  </si>
  <si>
    <t xml:space="preserve">POD received from cell 0661144688 M     </t>
  </si>
  <si>
    <t>CANDISE MURISON</t>
  </si>
  <si>
    <t>SONAY</t>
  </si>
  <si>
    <t>candice</t>
  </si>
  <si>
    <t>PRY0212470158</t>
  </si>
  <si>
    <t>anita</t>
  </si>
  <si>
    <t xml:space="preserve">LEON BREYTENBACH                   </t>
  </si>
  <si>
    <t xml:space="preserve">AVIFIELD                           </t>
  </si>
  <si>
    <t>LEON BREYTENBACH</t>
  </si>
  <si>
    <t xml:space="preserve">PRIONTEX DURBAN                    </t>
  </si>
  <si>
    <t>MAGS PILLAY</t>
  </si>
  <si>
    <t>lusane</t>
  </si>
  <si>
    <t xml:space="preserve">PRIONTEX JHB-                      </t>
  </si>
  <si>
    <t>SIKELEWA</t>
  </si>
  <si>
    <t>HAILLEE</t>
  </si>
  <si>
    <t xml:space="preserve">NATIONAL BIOPRODUCTS INST          </t>
  </si>
  <si>
    <t>MPUMI</t>
  </si>
  <si>
    <t>Nhlakanipho</t>
  </si>
  <si>
    <t xml:space="preserve">MIE                                </t>
  </si>
  <si>
    <t>SMARTSCREEN</t>
  </si>
  <si>
    <t>CANDICE MURISON</t>
  </si>
  <si>
    <t>mapula</t>
  </si>
  <si>
    <t>SIBUSISO DINISO</t>
  </si>
  <si>
    <t>NIKELE</t>
  </si>
  <si>
    <t>leon</t>
  </si>
  <si>
    <t>POD received from cell 0670556928 M</t>
  </si>
  <si>
    <t>Jacques</t>
  </si>
  <si>
    <t>Returned to sender on waybill</t>
  </si>
  <si>
    <t>Returned to sender on waybill number R00</t>
  </si>
  <si>
    <t>JACQUES</t>
  </si>
  <si>
    <t xml:space="preserve">PRUIONTEX SA                       </t>
  </si>
  <si>
    <t>TONY CELESTE</t>
  </si>
  <si>
    <t xml:space="preserve">colleen                       </t>
  </si>
  <si>
    <t xml:space="preserve">EUROLAB ASU                        </t>
  </si>
  <si>
    <t xml:space="preserve">PRIONTEX PORT ELIZABETH            </t>
  </si>
  <si>
    <t>MBUSO</t>
  </si>
  <si>
    <t>khanyisa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</si>
</sst>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7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860"/>
  <sheetViews>
    <sheetView tabSelected="1" topLeftCell="A454" workbookViewId="0">
      <selection activeCell="D457" sqref="D457"/>
    </sheetView>
  </sheetViews>
  <sheetFormatPr defaultRowHeight="15" x14ac:dyDescent="0.25"/>
  <cols>
    <col min="1" max="1" width="7.140625" bestFit="1" customWidth="1"/>
    <col min="2" max="2" width="37" bestFit="1" customWidth="1"/>
    <col min="3" max="3" width="5.140625" bestFit="1" customWidth="1"/>
    <col min="4" max="4" width="8.85546875" bestFit="1" customWidth="1"/>
    <col min="5" max="5" width="15.28515625" bestFit="1" customWidth="1"/>
    <col min="6" max="6" width="10.7109375" bestFit="1" customWidth="1"/>
    <col min="7" max="7" width="7" bestFit="1" customWidth="1"/>
    <col min="8" max="8" width="7.7109375" bestFit="1" customWidth="1"/>
    <col min="9" max="9" width="26.42578125" bestFit="1" customWidth="1"/>
    <col min="10" max="10" width="37.5703125" bestFit="1" customWidth="1"/>
    <col min="11" max="11" width="16.140625" bestFit="1" customWidth="1"/>
    <col min="12" max="12" width="8.28515625" bestFit="1" customWidth="1"/>
    <col min="13" max="13" width="26.42578125" bestFit="1" customWidth="1"/>
    <col min="14" max="14" width="39.42578125" bestFit="1" customWidth="1"/>
    <col min="15" max="15" width="4.85546875" bestFit="1" customWidth="1"/>
    <col min="16" max="16" width="31.7109375" bestFit="1" customWidth="1"/>
    <col min="17" max="17" width="4.42578125" bestFit="1" customWidth="1"/>
    <col min="18" max="18" width="4.5703125" bestFit="1" customWidth="1"/>
    <col min="19" max="19" width="5" bestFit="1" customWidth="1"/>
    <col min="20" max="20" width="4.5703125" bestFit="1" customWidth="1"/>
    <col min="21" max="21" width="4.7109375" bestFit="1" customWidth="1"/>
    <col min="22" max="26" width="4.5703125" bestFit="1" customWidth="1"/>
    <col min="27" max="27" width="4.28515625" bestFit="1" customWidth="1"/>
    <col min="28" max="28" width="4.5703125" bestFit="1" customWidth="1"/>
    <col min="29" max="29" width="4" bestFit="1" customWidth="1"/>
    <col min="30" max="30" width="4.5703125" bestFit="1" customWidth="1"/>
    <col min="31" max="31" width="5" bestFit="1" customWidth="1"/>
    <col min="32" max="34" width="4.5703125" bestFit="1" customWidth="1"/>
    <col min="35" max="35" width="4.85546875" bestFit="1" customWidth="1"/>
    <col min="36" max="36" width="4.5703125" bestFit="1" customWidth="1"/>
    <col min="37" max="37" width="9" bestFit="1" customWidth="1"/>
    <col min="38" max="38" width="4.5703125" bestFit="1" customWidth="1"/>
    <col min="39" max="39" width="4.28515625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3.5703125" bestFit="1" customWidth="1"/>
    <col min="46" max="46" width="4.5703125" bestFit="1" customWidth="1"/>
    <col min="47" max="47" width="4" bestFit="1" customWidth="1"/>
    <col min="48" max="48" width="4.5703125" bestFit="1" customWidth="1"/>
    <col min="49" max="49" width="3.85546875" bestFit="1" customWidth="1"/>
    <col min="50" max="50" width="4.5703125" bestFit="1" customWidth="1"/>
    <col min="51" max="51" width="4.140625" bestFit="1" customWidth="1"/>
    <col min="52" max="52" width="4.5703125" bestFit="1" customWidth="1"/>
    <col min="53" max="53" width="7" bestFit="1" customWidth="1"/>
    <col min="54" max="54" width="4.5703125" bestFit="1" customWidth="1"/>
    <col min="55" max="55" width="4.42578125" bestFit="1" customWidth="1"/>
    <col min="56" max="56" width="4.5703125" bestFit="1" customWidth="1"/>
    <col min="57" max="57" width="4.28515625" bestFit="1" customWidth="1"/>
    <col min="58" max="58" width="4.5703125" bestFit="1" customWidth="1"/>
    <col min="59" max="59" width="7.28515625" bestFit="1" customWidth="1"/>
    <col min="60" max="60" width="5.140625" bestFit="1" customWidth="1"/>
    <col min="61" max="62" width="7" bestFit="1" customWidth="1"/>
    <col min="63" max="63" width="8" bestFit="1" customWidth="1"/>
    <col min="64" max="64" width="10" bestFit="1" customWidth="1"/>
    <col min="65" max="65" width="9" bestFit="1" customWidth="1"/>
    <col min="66" max="66" width="10" bestFit="1" customWidth="1"/>
    <col min="67" max="67" width="8" bestFit="1" customWidth="1"/>
    <col min="68" max="68" width="42.85546875" bestFit="1" customWidth="1"/>
    <col min="69" max="69" width="32" bestFit="1" customWidth="1"/>
    <col min="70" max="70" width="28" bestFit="1" customWidth="1"/>
    <col min="71" max="71" width="10.7109375" bestFit="1" customWidth="1"/>
    <col min="72" max="72" width="8.7109375" bestFit="1" customWidth="1"/>
    <col min="73" max="73" width="29.7109375" bestFit="1" customWidth="1"/>
    <col min="74" max="74" width="8.28515625" bestFit="1" customWidth="1"/>
    <col min="75" max="75" width="42.140625" bestFit="1" customWidth="1"/>
    <col min="76" max="76" width="7.85546875" bestFit="1" customWidth="1"/>
    <col min="77" max="77" width="11" bestFit="1" customWidth="1"/>
    <col min="78" max="78" width="15.7109375" bestFit="1" customWidth="1"/>
    <col min="79" max="79" width="40.28515625" bestFit="1" customWidth="1"/>
    <col min="80" max="80" width="7.7109375" bestFit="1" customWidth="1"/>
    <col min="81" max="81" width="26.42578125" bestFit="1" customWidth="1"/>
    <col min="82" max="82" width="6.140625" bestFit="1" customWidth="1"/>
    <col min="83" max="83" width="36.28515625" bestFit="1" customWidth="1"/>
    <col min="84" max="84" width="10.7109375" bestFit="1" customWidth="1"/>
    <col min="85" max="85" width="6" bestFit="1" customWidth="1"/>
    <col min="87" max="87" width="6" bestFit="1" customWidth="1"/>
    <col min="88" max="88" width="6.42578125" bestFit="1" customWidth="1"/>
    <col min="89" max="89" width="4.7109375" bestFit="1" customWidth="1"/>
    <col min="90" max="92" width="7.140625" bestFit="1" customWidth="1"/>
  </cols>
  <sheetData>
    <row r="1" spans="1:92" ht="27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25">
      <c r="A2" t="s">
        <v>72</v>
      </c>
      <c r="B2" t="s">
        <v>73</v>
      </c>
      <c r="C2" t="s">
        <v>74</v>
      </c>
      <c r="E2" t="str">
        <f>"GAB2008330"</f>
        <v>GAB2008330</v>
      </c>
      <c r="F2" s="3">
        <v>44608</v>
      </c>
      <c r="G2">
        <v>202208</v>
      </c>
      <c r="H2" t="s">
        <v>75</v>
      </c>
      <c r="I2" t="s">
        <v>76</v>
      </c>
      <c r="J2" t="s">
        <v>77</v>
      </c>
      <c r="K2" t="s">
        <v>78</v>
      </c>
      <c r="L2" t="s">
        <v>75</v>
      </c>
      <c r="M2" t="s">
        <v>76</v>
      </c>
      <c r="N2" t="s">
        <v>79</v>
      </c>
      <c r="O2" t="s">
        <v>80</v>
      </c>
      <c r="P2" t="str">
        <f>"CT072047                      "</f>
        <v xml:space="preserve">CT072047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13.09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2</v>
      </c>
      <c r="BJ2">
        <v>0.5</v>
      </c>
      <c r="BK2">
        <v>2</v>
      </c>
      <c r="BL2">
        <v>47.1</v>
      </c>
      <c r="BM2">
        <v>7.07</v>
      </c>
      <c r="BN2">
        <v>54.17</v>
      </c>
      <c r="BO2">
        <v>54.17</v>
      </c>
      <c r="BQ2" t="s">
        <v>81</v>
      </c>
      <c r="BR2" t="s">
        <v>82</v>
      </c>
      <c r="BS2" s="3">
        <v>44609</v>
      </c>
      <c r="BT2" s="4">
        <v>0.51180555555555551</v>
      </c>
      <c r="BU2" t="s">
        <v>83</v>
      </c>
      <c r="BV2" t="s">
        <v>84</v>
      </c>
      <c r="BW2" t="s">
        <v>85</v>
      </c>
      <c r="BX2" t="s">
        <v>86</v>
      </c>
      <c r="BY2">
        <v>2400</v>
      </c>
      <c r="BZ2" t="s">
        <v>87</v>
      </c>
      <c r="CA2" t="s">
        <v>88</v>
      </c>
      <c r="CC2" t="s">
        <v>76</v>
      </c>
      <c r="CD2">
        <v>7550</v>
      </c>
      <c r="CE2" t="s">
        <v>89</v>
      </c>
      <c r="CF2" s="3">
        <v>44610</v>
      </c>
      <c r="CI2">
        <v>1</v>
      </c>
      <c r="CJ2">
        <v>1</v>
      </c>
      <c r="CK2">
        <v>22</v>
      </c>
      <c r="CL2" t="s">
        <v>84</v>
      </c>
    </row>
    <row r="3" spans="1:92" x14ac:dyDescent="0.25">
      <c r="A3" t="s">
        <v>72</v>
      </c>
      <c r="B3" t="s">
        <v>73</v>
      </c>
      <c r="C3" t="s">
        <v>74</v>
      </c>
      <c r="E3" t="str">
        <f>"GAB2008332"</f>
        <v>GAB2008332</v>
      </c>
      <c r="F3" s="3">
        <v>44608</v>
      </c>
      <c r="G3">
        <v>202208</v>
      </c>
      <c r="H3" t="s">
        <v>75</v>
      </c>
      <c r="I3" t="s">
        <v>76</v>
      </c>
      <c r="J3" t="s">
        <v>77</v>
      </c>
      <c r="K3" t="s">
        <v>78</v>
      </c>
      <c r="L3" t="s">
        <v>90</v>
      </c>
      <c r="M3" t="s">
        <v>91</v>
      </c>
      <c r="N3" t="s">
        <v>92</v>
      </c>
      <c r="O3" t="s">
        <v>80</v>
      </c>
      <c r="P3" t="str">
        <f>"CT071929                      "</f>
        <v xml:space="preserve">CT071929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13.09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2</v>
      </c>
      <c r="BJ3">
        <v>0.5</v>
      </c>
      <c r="BK3">
        <v>2</v>
      </c>
      <c r="BL3">
        <v>47.1</v>
      </c>
      <c r="BM3">
        <v>7.07</v>
      </c>
      <c r="BN3">
        <v>54.17</v>
      </c>
      <c r="BO3">
        <v>54.17</v>
      </c>
      <c r="BQ3" t="s">
        <v>93</v>
      </c>
      <c r="BR3" t="s">
        <v>82</v>
      </c>
      <c r="BS3" s="3">
        <v>44609</v>
      </c>
      <c r="BT3" s="4">
        <v>0.56111111111111112</v>
      </c>
      <c r="BU3" t="s">
        <v>94</v>
      </c>
      <c r="BV3" t="s">
        <v>84</v>
      </c>
      <c r="BW3" t="s">
        <v>95</v>
      </c>
      <c r="BX3" t="s">
        <v>86</v>
      </c>
      <c r="BY3">
        <v>2400</v>
      </c>
      <c r="BZ3" t="s">
        <v>87</v>
      </c>
      <c r="CA3" t="s">
        <v>96</v>
      </c>
      <c r="CC3" t="s">
        <v>91</v>
      </c>
      <c r="CD3">
        <v>7600</v>
      </c>
      <c r="CE3" t="s">
        <v>97</v>
      </c>
      <c r="CF3" s="3">
        <v>44610</v>
      </c>
      <c r="CI3">
        <v>1</v>
      </c>
      <c r="CJ3">
        <v>1</v>
      </c>
      <c r="CK3">
        <v>22</v>
      </c>
      <c r="CL3" t="s">
        <v>84</v>
      </c>
    </row>
    <row r="4" spans="1:92" x14ac:dyDescent="0.25">
      <c r="A4" t="s">
        <v>72</v>
      </c>
      <c r="B4" t="s">
        <v>73</v>
      </c>
      <c r="C4" t="s">
        <v>74</v>
      </c>
      <c r="E4" t="str">
        <f>"GAB2008334"</f>
        <v>GAB2008334</v>
      </c>
      <c r="F4" s="3">
        <v>44608</v>
      </c>
      <c r="G4">
        <v>202208</v>
      </c>
      <c r="H4" t="s">
        <v>75</v>
      </c>
      <c r="I4" t="s">
        <v>76</v>
      </c>
      <c r="J4" t="s">
        <v>77</v>
      </c>
      <c r="K4" t="s">
        <v>78</v>
      </c>
      <c r="L4" t="s">
        <v>75</v>
      </c>
      <c r="M4" t="s">
        <v>76</v>
      </c>
      <c r="N4" t="s">
        <v>98</v>
      </c>
      <c r="O4" t="s">
        <v>80</v>
      </c>
      <c r="P4" t="str">
        <f>"CT072049                      "</f>
        <v xml:space="preserve">CT072049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13.09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2</v>
      </c>
      <c r="BJ4">
        <v>0.5</v>
      </c>
      <c r="BK4">
        <v>2</v>
      </c>
      <c r="BL4">
        <v>47.1</v>
      </c>
      <c r="BM4">
        <v>7.07</v>
      </c>
      <c r="BN4">
        <v>54.17</v>
      </c>
      <c r="BO4">
        <v>54.17</v>
      </c>
      <c r="BQ4" t="s">
        <v>99</v>
      </c>
      <c r="BR4" t="s">
        <v>82</v>
      </c>
      <c r="BS4" s="3">
        <v>44609</v>
      </c>
      <c r="BT4" s="4">
        <v>0.39027777777777778</v>
      </c>
      <c r="BU4" t="s">
        <v>100</v>
      </c>
      <c r="BV4" t="s">
        <v>101</v>
      </c>
      <c r="BY4">
        <v>2400</v>
      </c>
      <c r="BZ4" t="s">
        <v>87</v>
      </c>
      <c r="CA4" t="s">
        <v>102</v>
      </c>
      <c r="CC4" t="s">
        <v>76</v>
      </c>
      <c r="CD4">
        <v>7800</v>
      </c>
      <c r="CE4" t="s">
        <v>103</v>
      </c>
      <c r="CF4" s="3">
        <v>44610</v>
      </c>
      <c r="CI4">
        <v>1</v>
      </c>
      <c r="CJ4">
        <v>1</v>
      </c>
      <c r="CK4">
        <v>22</v>
      </c>
      <c r="CL4" t="s">
        <v>84</v>
      </c>
    </row>
    <row r="5" spans="1:92" x14ac:dyDescent="0.25">
      <c r="A5" t="s">
        <v>72</v>
      </c>
      <c r="B5" t="s">
        <v>73</v>
      </c>
      <c r="C5" t="s">
        <v>74</v>
      </c>
      <c r="E5" t="str">
        <f>"GAB2008339"</f>
        <v>GAB2008339</v>
      </c>
      <c r="F5" s="3">
        <v>44608</v>
      </c>
      <c r="G5">
        <v>202208</v>
      </c>
      <c r="H5" t="s">
        <v>75</v>
      </c>
      <c r="I5" t="s">
        <v>76</v>
      </c>
      <c r="J5" t="s">
        <v>77</v>
      </c>
      <c r="K5" t="s">
        <v>78</v>
      </c>
      <c r="L5" t="s">
        <v>75</v>
      </c>
      <c r="M5" t="s">
        <v>76</v>
      </c>
      <c r="N5" t="s">
        <v>104</v>
      </c>
      <c r="O5" t="s">
        <v>80</v>
      </c>
      <c r="P5" t="str">
        <f>"CT072051                      "</f>
        <v xml:space="preserve">CT072051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13.09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2</v>
      </c>
      <c r="BJ5">
        <v>0.5</v>
      </c>
      <c r="BK5">
        <v>2</v>
      </c>
      <c r="BL5">
        <v>47.1</v>
      </c>
      <c r="BM5">
        <v>7.07</v>
      </c>
      <c r="BN5">
        <v>54.17</v>
      </c>
      <c r="BO5">
        <v>54.17</v>
      </c>
      <c r="BQ5" t="s">
        <v>105</v>
      </c>
      <c r="BR5" t="s">
        <v>82</v>
      </c>
      <c r="BS5" s="3">
        <v>44609</v>
      </c>
      <c r="BT5" s="4">
        <v>0.38680555555555557</v>
      </c>
      <c r="BU5" t="s">
        <v>106</v>
      </c>
      <c r="BV5" t="s">
        <v>101</v>
      </c>
      <c r="BY5">
        <v>2400</v>
      </c>
      <c r="BZ5" t="s">
        <v>87</v>
      </c>
      <c r="CA5" t="s">
        <v>107</v>
      </c>
      <c r="CC5" t="s">
        <v>76</v>
      </c>
      <c r="CD5">
        <v>7441</v>
      </c>
      <c r="CE5" t="s">
        <v>108</v>
      </c>
      <c r="CF5" s="3">
        <v>44610</v>
      </c>
      <c r="CI5">
        <v>1</v>
      </c>
      <c r="CJ5">
        <v>1</v>
      </c>
      <c r="CK5">
        <v>22</v>
      </c>
      <c r="CL5" t="s">
        <v>84</v>
      </c>
    </row>
    <row r="6" spans="1:92" x14ac:dyDescent="0.25">
      <c r="A6" t="s">
        <v>72</v>
      </c>
      <c r="B6" t="s">
        <v>73</v>
      </c>
      <c r="C6" t="s">
        <v>74</v>
      </c>
      <c r="E6" t="str">
        <f>"GAB2008340"</f>
        <v>GAB2008340</v>
      </c>
      <c r="F6" s="3">
        <v>44608</v>
      </c>
      <c r="G6">
        <v>202208</v>
      </c>
      <c r="H6" t="s">
        <v>75</v>
      </c>
      <c r="I6" t="s">
        <v>76</v>
      </c>
      <c r="J6" t="s">
        <v>77</v>
      </c>
      <c r="K6" t="s">
        <v>78</v>
      </c>
      <c r="L6" t="s">
        <v>109</v>
      </c>
      <c r="M6" t="s">
        <v>110</v>
      </c>
      <c r="N6" t="s">
        <v>111</v>
      </c>
      <c r="O6" t="s">
        <v>80</v>
      </c>
      <c r="P6" t="str">
        <f>"CT071900 CT072032 ATT MINETTE "</f>
        <v xml:space="preserve">CT071900 CT072032 ATT MINETTE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25.14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0.9</v>
      </c>
      <c r="BJ6">
        <v>2.6</v>
      </c>
      <c r="BK6">
        <v>3</v>
      </c>
      <c r="BL6">
        <v>90.44</v>
      </c>
      <c r="BM6">
        <v>13.57</v>
      </c>
      <c r="BN6">
        <v>104.01</v>
      </c>
      <c r="BO6">
        <v>104.01</v>
      </c>
      <c r="BQ6" t="s">
        <v>112</v>
      </c>
      <c r="BR6" t="s">
        <v>82</v>
      </c>
      <c r="BS6" s="3">
        <v>44609</v>
      </c>
      <c r="BT6" s="4">
        <v>0.4375</v>
      </c>
      <c r="BU6" t="s">
        <v>113</v>
      </c>
      <c r="BV6" t="s">
        <v>101</v>
      </c>
      <c r="BY6">
        <v>13096.8</v>
      </c>
      <c r="BZ6" t="s">
        <v>87</v>
      </c>
      <c r="CA6" t="s">
        <v>114</v>
      </c>
      <c r="CC6" t="s">
        <v>110</v>
      </c>
      <c r="CD6">
        <v>157</v>
      </c>
      <c r="CE6" t="s">
        <v>115</v>
      </c>
      <c r="CF6" s="3">
        <v>44609</v>
      </c>
      <c r="CI6">
        <v>1</v>
      </c>
      <c r="CJ6">
        <v>1</v>
      </c>
      <c r="CK6">
        <v>21</v>
      </c>
      <c r="CL6" t="s">
        <v>84</v>
      </c>
    </row>
    <row r="7" spans="1:92" x14ac:dyDescent="0.25">
      <c r="A7" t="s">
        <v>72</v>
      </c>
      <c r="B7" t="s">
        <v>73</v>
      </c>
      <c r="C7" t="s">
        <v>74</v>
      </c>
      <c r="E7" t="str">
        <f>"GAB2008331"</f>
        <v>GAB2008331</v>
      </c>
      <c r="F7" s="3">
        <v>44608</v>
      </c>
      <c r="G7">
        <v>202208</v>
      </c>
      <c r="H7" t="s">
        <v>75</v>
      </c>
      <c r="I7" t="s">
        <v>76</v>
      </c>
      <c r="J7" t="s">
        <v>77</v>
      </c>
      <c r="K7" t="s">
        <v>78</v>
      </c>
      <c r="L7" t="s">
        <v>116</v>
      </c>
      <c r="M7" t="s">
        <v>117</v>
      </c>
      <c r="N7" t="s">
        <v>118</v>
      </c>
      <c r="O7" t="s">
        <v>80</v>
      </c>
      <c r="P7" t="str">
        <f>"CT072046                      "</f>
        <v xml:space="preserve">CT072046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16.760000000000002</v>
      </c>
      <c r="AL7">
        <v>0</v>
      </c>
      <c r="AM7">
        <v>0</v>
      </c>
      <c r="AN7">
        <v>0</v>
      </c>
      <c r="AO7">
        <v>0</v>
      </c>
      <c r="AP7">
        <v>0</v>
      </c>
      <c r="AQ7">
        <v>15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2</v>
      </c>
      <c r="BJ7">
        <v>0.5</v>
      </c>
      <c r="BK7">
        <v>2</v>
      </c>
      <c r="BL7">
        <v>75.3</v>
      </c>
      <c r="BM7">
        <v>11.3</v>
      </c>
      <c r="BN7">
        <v>86.6</v>
      </c>
      <c r="BO7">
        <v>86.6</v>
      </c>
      <c r="BQ7" t="s">
        <v>119</v>
      </c>
      <c r="BR7" t="s">
        <v>82</v>
      </c>
      <c r="BS7" s="3">
        <v>44609</v>
      </c>
      <c r="BT7" s="4">
        <v>0.48333333333333334</v>
      </c>
      <c r="BU7" t="s">
        <v>120</v>
      </c>
      <c r="BV7" t="s">
        <v>101</v>
      </c>
      <c r="BY7">
        <v>2400</v>
      </c>
      <c r="BZ7" t="s">
        <v>121</v>
      </c>
      <c r="CA7" t="s">
        <v>122</v>
      </c>
      <c r="CC7" t="s">
        <v>117</v>
      </c>
      <c r="CD7">
        <v>1475</v>
      </c>
      <c r="CE7" t="s">
        <v>97</v>
      </c>
      <c r="CF7" s="3">
        <v>44609</v>
      </c>
      <c r="CI7">
        <v>1</v>
      </c>
      <c r="CJ7">
        <v>1</v>
      </c>
      <c r="CK7">
        <v>21</v>
      </c>
      <c r="CL7" t="s">
        <v>84</v>
      </c>
    </row>
    <row r="8" spans="1:92" x14ac:dyDescent="0.25">
      <c r="A8" t="s">
        <v>72</v>
      </c>
      <c r="B8" t="s">
        <v>73</v>
      </c>
      <c r="C8" t="s">
        <v>74</v>
      </c>
      <c r="E8" t="str">
        <f>"009941631352"</f>
        <v>009941631352</v>
      </c>
      <c r="F8" s="3">
        <v>44608</v>
      </c>
      <c r="G8">
        <v>202208</v>
      </c>
      <c r="H8" t="s">
        <v>123</v>
      </c>
      <c r="I8" t="s">
        <v>124</v>
      </c>
      <c r="J8" t="s">
        <v>111</v>
      </c>
      <c r="K8" t="s">
        <v>78</v>
      </c>
      <c r="L8" t="s">
        <v>109</v>
      </c>
      <c r="M8" t="s">
        <v>110</v>
      </c>
      <c r="N8" t="s">
        <v>111</v>
      </c>
      <c r="O8" t="s">
        <v>125</v>
      </c>
      <c r="P8" t="str">
        <f>"                              "</f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32.42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1.3</v>
      </c>
      <c r="BK8">
        <v>2</v>
      </c>
      <c r="BL8">
        <v>121.87</v>
      </c>
      <c r="BM8">
        <v>18.28</v>
      </c>
      <c r="BN8">
        <v>140.15</v>
      </c>
      <c r="BO8">
        <v>140.15</v>
      </c>
      <c r="BQ8" t="s">
        <v>126</v>
      </c>
      <c r="BR8" t="s">
        <v>127</v>
      </c>
      <c r="BS8" s="3">
        <v>44613</v>
      </c>
      <c r="BT8" s="4">
        <v>0.48680555555555555</v>
      </c>
      <c r="BU8" t="s">
        <v>128</v>
      </c>
      <c r="BV8" t="s">
        <v>84</v>
      </c>
      <c r="BY8">
        <v>6624</v>
      </c>
      <c r="CA8" t="s">
        <v>129</v>
      </c>
      <c r="CC8" t="s">
        <v>110</v>
      </c>
      <c r="CD8">
        <v>46</v>
      </c>
      <c r="CE8" t="s">
        <v>130</v>
      </c>
      <c r="CF8" s="3">
        <v>44613</v>
      </c>
      <c r="CI8">
        <v>2</v>
      </c>
      <c r="CJ8">
        <v>3</v>
      </c>
      <c r="CK8">
        <v>41</v>
      </c>
      <c r="CL8" t="s">
        <v>84</v>
      </c>
    </row>
    <row r="9" spans="1:92" x14ac:dyDescent="0.25">
      <c r="A9" t="s">
        <v>72</v>
      </c>
      <c r="B9" t="s">
        <v>73</v>
      </c>
      <c r="C9" t="s">
        <v>74</v>
      </c>
      <c r="E9" t="str">
        <f>"009941974263"</f>
        <v>009941974263</v>
      </c>
      <c r="F9" s="3">
        <v>44608</v>
      </c>
      <c r="G9">
        <v>202208</v>
      </c>
      <c r="H9" t="s">
        <v>131</v>
      </c>
      <c r="I9" t="s">
        <v>132</v>
      </c>
      <c r="J9" t="s">
        <v>133</v>
      </c>
      <c r="K9" t="s">
        <v>78</v>
      </c>
      <c r="L9" t="s">
        <v>109</v>
      </c>
      <c r="M9" t="s">
        <v>110</v>
      </c>
      <c r="N9" t="s">
        <v>111</v>
      </c>
      <c r="O9" t="s">
        <v>125</v>
      </c>
      <c r="P9" t="str">
        <f>"                              "</f>
        <v xml:space="preserve">  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59.14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6</v>
      </c>
      <c r="BI9">
        <v>12</v>
      </c>
      <c r="BJ9">
        <v>34.299999999999997</v>
      </c>
      <c r="BK9">
        <v>35</v>
      </c>
      <c r="BL9">
        <v>217.99</v>
      </c>
      <c r="BM9">
        <v>32.700000000000003</v>
      </c>
      <c r="BN9">
        <v>250.69</v>
      </c>
      <c r="BO9">
        <v>250.69</v>
      </c>
      <c r="BQ9" t="s">
        <v>134</v>
      </c>
      <c r="BR9" t="s">
        <v>135</v>
      </c>
      <c r="BS9" s="3">
        <v>44609</v>
      </c>
      <c r="BT9" s="4">
        <v>0.4375</v>
      </c>
      <c r="BU9" t="s">
        <v>136</v>
      </c>
      <c r="BV9" t="s">
        <v>101</v>
      </c>
      <c r="BY9">
        <v>34640</v>
      </c>
      <c r="BZ9" t="s">
        <v>137</v>
      </c>
      <c r="CA9" t="s">
        <v>138</v>
      </c>
      <c r="CC9" t="s">
        <v>110</v>
      </c>
      <c r="CD9">
        <v>46</v>
      </c>
      <c r="CE9" t="s">
        <v>130</v>
      </c>
      <c r="CF9" s="3">
        <v>44609</v>
      </c>
      <c r="CI9">
        <v>2</v>
      </c>
      <c r="CJ9">
        <v>1</v>
      </c>
      <c r="CK9">
        <v>41</v>
      </c>
      <c r="CL9" t="s">
        <v>84</v>
      </c>
    </row>
    <row r="10" spans="1:92" x14ac:dyDescent="0.25">
      <c r="A10" t="s">
        <v>72</v>
      </c>
      <c r="B10" t="s">
        <v>73</v>
      </c>
      <c r="C10" t="s">
        <v>74</v>
      </c>
      <c r="E10" t="str">
        <f>"009940857740"</f>
        <v>009940857740</v>
      </c>
      <c r="F10" s="3">
        <v>44607</v>
      </c>
      <c r="G10">
        <v>202208</v>
      </c>
      <c r="H10" t="s">
        <v>109</v>
      </c>
      <c r="I10" t="s">
        <v>110</v>
      </c>
      <c r="J10" t="s">
        <v>133</v>
      </c>
      <c r="K10" t="s">
        <v>78</v>
      </c>
      <c r="L10" t="s">
        <v>131</v>
      </c>
      <c r="M10" t="s">
        <v>132</v>
      </c>
      <c r="N10" t="s">
        <v>139</v>
      </c>
      <c r="O10" t="s">
        <v>125</v>
      </c>
      <c r="P10" t="str">
        <f>"NA                            "</f>
        <v xml:space="preserve">NA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32.42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3.4</v>
      </c>
      <c r="BJ10">
        <v>2.2000000000000002</v>
      </c>
      <c r="BK10">
        <v>4</v>
      </c>
      <c r="BL10">
        <v>121.87</v>
      </c>
      <c r="BM10">
        <v>18.28</v>
      </c>
      <c r="BN10">
        <v>140.15</v>
      </c>
      <c r="BO10">
        <v>140.15</v>
      </c>
      <c r="BQ10" t="s">
        <v>135</v>
      </c>
      <c r="BR10" t="s">
        <v>140</v>
      </c>
      <c r="BS10" s="3">
        <v>44609</v>
      </c>
      <c r="BT10" s="4">
        <v>0.375</v>
      </c>
      <c r="BU10" t="s">
        <v>141</v>
      </c>
      <c r="BV10" t="s">
        <v>101</v>
      </c>
      <c r="BY10">
        <v>11190.65</v>
      </c>
      <c r="BZ10" t="s">
        <v>137</v>
      </c>
      <c r="CC10" t="s">
        <v>132</v>
      </c>
      <c r="CD10">
        <v>4000</v>
      </c>
      <c r="CE10" t="s">
        <v>130</v>
      </c>
      <c r="CF10" s="3">
        <v>44610</v>
      </c>
      <c r="CI10">
        <v>2</v>
      </c>
      <c r="CJ10">
        <v>2</v>
      </c>
      <c r="CK10">
        <v>41</v>
      </c>
      <c r="CL10" t="s">
        <v>84</v>
      </c>
    </row>
    <row r="11" spans="1:92" x14ac:dyDescent="0.25">
      <c r="A11" t="s">
        <v>72</v>
      </c>
      <c r="B11" t="s">
        <v>73</v>
      </c>
      <c r="C11" t="s">
        <v>74</v>
      </c>
      <c r="E11" t="str">
        <f>"GAB2008370"</f>
        <v>GAB2008370</v>
      </c>
      <c r="F11" s="3">
        <v>44610</v>
      </c>
      <c r="G11">
        <v>202208</v>
      </c>
      <c r="H11" t="s">
        <v>75</v>
      </c>
      <c r="I11" t="s">
        <v>76</v>
      </c>
      <c r="J11" t="s">
        <v>77</v>
      </c>
      <c r="K11" t="s">
        <v>78</v>
      </c>
      <c r="L11" t="s">
        <v>142</v>
      </c>
      <c r="M11" t="s">
        <v>143</v>
      </c>
      <c r="N11" t="s">
        <v>144</v>
      </c>
      <c r="O11" t="s">
        <v>125</v>
      </c>
      <c r="P11" t="str">
        <f>"CT072084                      "</f>
        <v xml:space="preserve">CT072084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32.42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0.3</v>
      </c>
      <c r="BJ11">
        <v>3</v>
      </c>
      <c r="BK11">
        <v>3</v>
      </c>
      <c r="BL11">
        <v>121.87</v>
      </c>
      <c r="BM11">
        <v>18.28</v>
      </c>
      <c r="BN11">
        <v>140.15</v>
      </c>
      <c r="BO11">
        <v>140.15</v>
      </c>
      <c r="BR11" t="s">
        <v>82</v>
      </c>
      <c r="BS11" s="3">
        <v>44613</v>
      </c>
      <c r="BT11" s="4">
        <v>0.61875000000000002</v>
      </c>
      <c r="BU11" t="s">
        <v>145</v>
      </c>
      <c r="BV11" t="s">
        <v>101</v>
      </c>
      <c r="BY11">
        <v>14913.25</v>
      </c>
      <c r="CA11" t="s">
        <v>146</v>
      </c>
      <c r="CC11" t="s">
        <v>143</v>
      </c>
      <c r="CD11">
        <v>1401</v>
      </c>
      <c r="CE11" t="s">
        <v>130</v>
      </c>
      <c r="CF11" s="3">
        <v>44614</v>
      </c>
      <c r="CI11">
        <v>2</v>
      </c>
      <c r="CJ11">
        <v>1</v>
      </c>
      <c r="CK11">
        <v>41</v>
      </c>
      <c r="CL11" t="s">
        <v>84</v>
      </c>
    </row>
    <row r="12" spans="1:92" x14ac:dyDescent="0.25">
      <c r="A12" t="s">
        <v>72</v>
      </c>
      <c r="B12" t="s">
        <v>73</v>
      </c>
      <c r="C12" t="s">
        <v>74</v>
      </c>
      <c r="E12" t="str">
        <f>"GAB2008369"</f>
        <v>GAB2008369</v>
      </c>
      <c r="F12" s="3">
        <v>44610</v>
      </c>
      <c r="G12">
        <v>202208</v>
      </c>
      <c r="H12" t="s">
        <v>75</v>
      </c>
      <c r="I12" t="s">
        <v>76</v>
      </c>
      <c r="J12" t="s">
        <v>77</v>
      </c>
      <c r="K12" t="s">
        <v>78</v>
      </c>
      <c r="L12" t="s">
        <v>147</v>
      </c>
      <c r="M12" t="s">
        <v>148</v>
      </c>
      <c r="N12" t="s">
        <v>149</v>
      </c>
      <c r="O12" t="s">
        <v>80</v>
      </c>
      <c r="P12" t="str">
        <f>"006998                        "</f>
        <v xml:space="preserve">006998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32.479999999999997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0.2</v>
      </c>
      <c r="BJ12">
        <v>1.8</v>
      </c>
      <c r="BK12">
        <v>2</v>
      </c>
      <c r="BL12">
        <v>116.84</v>
      </c>
      <c r="BM12">
        <v>17.53</v>
      </c>
      <c r="BN12">
        <v>134.37</v>
      </c>
      <c r="BO12">
        <v>134.37</v>
      </c>
      <c r="BQ12" t="s">
        <v>150</v>
      </c>
      <c r="BR12" t="s">
        <v>82</v>
      </c>
      <c r="BS12" s="3">
        <v>44613</v>
      </c>
      <c r="BT12" s="4">
        <v>0.57291666666666663</v>
      </c>
      <c r="BU12" t="s">
        <v>151</v>
      </c>
      <c r="BV12" t="s">
        <v>101</v>
      </c>
      <c r="BY12">
        <v>9036.5</v>
      </c>
      <c r="BZ12" t="s">
        <v>87</v>
      </c>
      <c r="CC12" t="s">
        <v>148</v>
      </c>
      <c r="CD12">
        <v>6500</v>
      </c>
      <c r="CE12" t="s">
        <v>152</v>
      </c>
      <c r="CF12" s="3">
        <v>44614</v>
      </c>
      <c r="CI12">
        <v>1</v>
      </c>
      <c r="CJ12">
        <v>1</v>
      </c>
      <c r="CK12">
        <v>23</v>
      </c>
      <c r="CL12" t="s">
        <v>84</v>
      </c>
    </row>
    <row r="13" spans="1:92" x14ac:dyDescent="0.25">
      <c r="A13" t="s">
        <v>72</v>
      </c>
      <c r="B13" t="s">
        <v>73</v>
      </c>
      <c r="C13" t="s">
        <v>74</v>
      </c>
      <c r="E13" t="str">
        <f>"GAB2008367"</f>
        <v>GAB2008367</v>
      </c>
      <c r="F13" s="3">
        <v>44610</v>
      </c>
      <c r="G13">
        <v>202208</v>
      </c>
      <c r="H13" t="s">
        <v>75</v>
      </c>
      <c r="I13" t="s">
        <v>76</v>
      </c>
      <c r="J13" t="s">
        <v>77</v>
      </c>
      <c r="K13" t="s">
        <v>78</v>
      </c>
      <c r="L13" t="s">
        <v>153</v>
      </c>
      <c r="M13" t="s">
        <v>154</v>
      </c>
      <c r="N13" t="s">
        <v>155</v>
      </c>
      <c r="O13" t="s">
        <v>125</v>
      </c>
      <c r="P13" t="str">
        <f>"007062                        "</f>
        <v xml:space="preserve">007062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32.42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0.3</v>
      </c>
      <c r="BJ13">
        <v>2.2999999999999998</v>
      </c>
      <c r="BK13">
        <v>3</v>
      </c>
      <c r="BL13">
        <v>121.87</v>
      </c>
      <c r="BM13">
        <v>18.28</v>
      </c>
      <c r="BN13">
        <v>140.15</v>
      </c>
      <c r="BO13">
        <v>140.15</v>
      </c>
      <c r="BQ13" t="s">
        <v>156</v>
      </c>
      <c r="BR13" t="s">
        <v>82</v>
      </c>
      <c r="BS13" s="3">
        <v>44613</v>
      </c>
      <c r="BT13" s="4">
        <v>0.39999999999999997</v>
      </c>
      <c r="BU13" t="s">
        <v>157</v>
      </c>
      <c r="BV13" t="s">
        <v>101</v>
      </c>
      <c r="BY13">
        <v>11309.76</v>
      </c>
      <c r="CA13" t="s">
        <v>158</v>
      </c>
      <c r="CC13" t="s">
        <v>154</v>
      </c>
      <c r="CD13">
        <v>2047</v>
      </c>
      <c r="CE13" t="s">
        <v>130</v>
      </c>
      <c r="CF13" s="3">
        <v>44613</v>
      </c>
      <c r="CI13">
        <v>2</v>
      </c>
      <c r="CJ13">
        <v>1</v>
      </c>
      <c r="CK13">
        <v>41</v>
      </c>
      <c r="CL13" t="s">
        <v>84</v>
      </c>
    </row>
    <row r="14" spans="1:92" x14ac:dyDescent="0.25">
      <c r="A14" t="s">
        <v>72</v>
      </c>
      <c r="B14" t="s">
        <v>73</v>
      </c>
      <c r="C14" t="s">
        <v>74</v>
      </c>
      <c r="E14" t="str">
        <f>"GAB2008378"</f>
        <v>GAB2008378</v>
      </c>
      <c r="F14" s="3">
        <v>44610</v>
      </c>
      <c r="G14">
        <v>202208</v>
      </c>
      <c r="H14" t="s">
        <v>75</v>
      </c>
      <c r="I14" t="s">
        <v>76</v>
      </c>
      <c r="J14" t="s">
        <v>77</v>
      </c>
      <c r="K14" t="s">
        <v>78</v>
      </c>
      <c r="L14" t="s">
        <v>159</v>
      </c>
      <c r="M14" t="s">
        <v>160</v>
      </c>
      <c r="N14" t="s">
        <v>161</v>
      </c>
      <c r="O14" t="s">
        <v>80</v>
      </c>
      <c r="P14" t="str">
        <f>"CT072102                      "</f>
        <v xml:space="preserve">CT072102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39.81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0.2</v>
      </c>
      <c r="BJ14">
        <v>2.1</v>
      </c>
      <c r="BK14">
        <v>2.5</v>
      </c>
      <c r="BL14">
        <v>143.22</v>
      </c>
      <c r="BM14">
        <v>21.48</v>
      </c>
      <c r="BN14">
        <v>164.7</v>
      </c>
      <c r="BO14">
        <v>164.7</v>
      </c>
      <c r="BQ14" t="s">
        <v>162</v>
      </c>
      <c r="BR14" t="s">
        <v>82</v>
      </c>
      <c r="BS14" s="3">
        <v>44613</v>
      </c>
      <c r="BT14" s="4">
        <v>0.43541666666666662</v>
      </c>
      <c r="BU14" t="s">
        <v>163</v>
      </c>
      <c r="BV14" t="s">
        <v>101</v>
      </c>
      <c r="BY14">
        <v>10561.32</v>
      </c>
      <c r="BZ14" t="s">
        <v>87</v>
      </c>
      <c r="CA14" t="s">
        <v>164</v>
      </c>
      <c r="CC14" t="s">
        <v>160</v>
      </c>
      <c r="CD14">
        <v>9459</v>
      </c>
      <c r="CE14" t="s">
        <v>152</v>
      </c>
      <c r="CF14" s="3">
        <v>44613</v>
      </c>
      <c r="CI14">
        <v>1</v>
      </c>
      <c r="CJ14">
        <v>1</v>
      </c>
      <c r="CK14">
        <v>23</v>
      </c>
      <c r="CL14" t="s">
        <v>84</v>
      </c>
    </row>
    <row r="15" spans="1:92" x14ac:dyDescent="0.25">
      <c r="A15" t="s">
        <v>72</v>
      </c>
      <c r="B15" t="s">
        <v>73</v>
      </c>
      <c r="C15" t="s">
        <v>74</v>
      </c>
      <c r="E15" t="str">
        <f>"GAB2008364"</f>
        <v>GAB2008364</v>
      </c>
      <c r="F15" s="3">
        <v>44610</v>
      </c>
      <c r="G15">
        <v>202208</v>
      </c>
      <c r="H15" t="s">
        <v>75</v>
      </c>
      <c r="I15" t="s">
        <v>76</v>
      </c>
      <c r="J15" t="s">
        <v>77</v>
      </c>
      <c r="K15" t="s">
        <v>78</v>
      </c>
      <c r="L15" t="s">
        <v>165</v>
      </c>
      <c r="M15" t="s">
        <v>166</v>
      </c>
      <c r="N15" t="s">
        <v>167</v>
      </c>
      <c r="O15" t="s">
        <v>125</v>
      </c>
      <c r="P15" t="str">
        <f>"CT072056                      "</f>
        <v xml:space="preserve">CT072056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32.42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0.3</v>
      </c>
      <c r="BJ15">
        <v>2.4</v>
      </c>
      <c r="BK15">
        <v>3</v>
      </c>
      <c r="BL15">
        <v>121.87</v>
      </c>
      <c r="BM15">
        <v>18.28</v>
      </c>
      <c r="BN15">
        <v>140.15</v>
      </c>
      <c r="BO15">
        <v>140.15</v>
      </c>
      <c r="BQ15" t="s">
        <v>168</v>
      </c>
      <c r="BR15" t="s">
        <v>82</v>
      </c>
      <c r="BS15" s="3">
        <v>44613</v>
      </c>
      <c r="BT15" s="4">
        <v>0.39305555555555555</v>
      </c>
      <c r="BU15" t="s">
        <v>169</v>
      </c>
      <c r="BV15" t="s">
        <v>101</v>
      </c>
      <c r="BY15">
        <v>12177.76</v>
      </c>
      <c r="CA15" t="s">
        <v>170</v>
      </c>
      <c r="CC15" t="s">
        <v>166</v>
      </c>
      <c r="CD15">
        <v>2</v>
      </c>
      <c r="CE15" t="s">
        <v>130</v>
      </c>
      <c r="CF15" s="3">
        <v>44613</v>
      </c>
      <c r="CI15">
        <v>2</v>
      </c>
      <c r="CJ15">
        <v>1</v>
      </c>
      <c r="CK15">
        <v>41</v>
      </c>
      <c r="CL15" t="s">
        <v>84</v>
      </c>
    </row>
    <row r="16" spans="1:92" x14ac:dyDescent="0.25">
      <c r="A16" t="s">
        <v>72</v>
      </c>
      <c r="B16" t="s">
        <v>73</v>
      </c>
      <c r="C16" t="s">
        <v>74</v>
      </c>
      <c r="E16" t="str">
        <f>"GAB2008380"</f>
        <v>GAB2008380</v>
      </c>
      <c r="F16" s="3">
        <v>44610</v>
      </c>
      <c r="G16">
        <v>202208</v>
      </c>
      <c r="H16" t="s">
        <v>75</v>
      </c>
      <c r="I16" t="s">
        <v>76</v>
      </c>
      <c r="J16" t="s">
        <v>77</v>
      </c>
      <c r="K16" t="s">
        <v>78</v>
      </c>
      <c r="L16" t="s">
        <v>75</v>
      </c>
      <c r="M16" t="s">
        <v>76</v>
      </c>
      <c r="N16" t="s">
        <v>104</v>
      </c>
      <c r="O16" t="s">
        <v>80</v>
      </c>
      <c r="P16" t="str">
        <f>"                              "</f>
        <v xml:space="preserve">  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13.09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0.2</v>
      </c>
      <c r="BJ16">
        <v>1.8</v>
      </c>
      <c r="BK16">
        <v>2</v>
      </c>
      <c r="BL16">
        <v>47.1</v>
      </c>
      <c r="BM16">
        <v>7.07</v>
      </c>
      <c r="BN16">
        <v>54.17</v>
      </c>
      <c r="BO16">
        <v>54.17</v>
      </c>
      <c r="BQ16" t="s">
        <v>105</v>
      </c>
      <c r="BR16" t="s">
        <v>82</v>
      </c>
      <c r="BS16" s="3">
        <v>44613</v>
      </c>
      <c r="BT16" s="4">
        <v>0.3833333333333333</v>
      </c>
      <c r="BU16" t="s">
        <v>106</v>
      </c>
      <c r="BV16" t="s">
        <v>101</v>
      </c>
      <c r="BY16">
        <v>8952.66</v>
      </c>
      <c r="BZ16" t="s">
        <v>87</v>
      </c>
      <c r="CA16" t="s">
        <v>107</v>
      </c>
      <c r="CC16" t="s">
        <v>76</v>
      </c>
      <c r="CD16">
        <v>7441</v>
      </c>
      <c r="CE16" t="s">
        <v>97</v>
      </c>
      <c r="CF16" s="3">
        <v>44614</v>
      </c>
      <c r="CI16">
        <v>1</v>
      </c>
      <c r="CJ16">
        <v>1</v>
      </c>
      <c r="CK16">
        <v>22</v>
      </c>
      <c r="CL16" t="s">
        <v>84</v>
      </c>
    </row>
    <row r="17" spans="1:90" x14ac:dyDescent="0.25">
      <c r="A17" t="s">
        <v>72</v>
      </c>
      <c r="B17" t="s">
        <v>73</v>
      </c>
      <c r="C17" t="s">
        <v>74</v>
      </c>
      <c r="E17" t="str">
        <f>"GAB2008362"</f>
        <v>GAB2008362</v>
      </c>
      <c r="F17" s="3">
        <v>44610</v>
      </c>
      <c r="G17">
        <v>202208</v>
      </c>
      <c r="H17" t="s">
        <v>75</v>
      </c>
      <c r="I17" t="s">
        <v>76</v>
      </c>
      <c r="J17" t="s">
        <v>77</v>
      </c>
      <c r="K17" t="s">
        <v>78</v>
      </c>
      <c r="L17" t="s">
        <v>153</v>
      </c>
      <c r="M17" t="s">
        <v>154</v>
      </c>
      <c r="N17" t="s">
        <v>171</v>
      </c>
      <c r="O17" t="s">
        <v>125</v>
      </c>
      <c r="P17" t="str">
        <f>"CT072082                      "</f>
        <v xml:space="preserve">CT072082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32.42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0.2</v>
      </c>
      <c r="BJ17">
        <v>2</v>
      </c>
      <c r="BK17">
        <v>2</v>
      </c>
      <c r="BL17">
        <v>121.87</v>
      </c>
      <c r="BM17">
        <v>18.28</v>
      </c>
      <c r="BN17">
        <v>140.15</v>
      </c>
      <c r="BO17">
        <v>140.15</v>
      </c>
      <c r="BQ17" t="s">
        <v>172</v>
      </c>
      <c r="BR17" t="s">
        <v>82</v>
      </c>
      <c r="BS17" s="3">
        <v>44613</v>
      </c>
      <c r="BT17" s="4">
        <v>0.43124999999999997</v>
      </c>
      <c r="BU17" t="s">
        <v>173</v>
      </c>
      <c r="BV17" t="s">
        <v>101</v>
      </c>
      <c r="BY17">
        <v>9860.34</v>
      </c>
      <c r="CA17" t="s">
        <v>174</v>
      </c>
      <c r="CC17" t="s">
        <v>154</v>
      </c>
      <c r="CD17">
        <v>2191</v>
      </c>
      <c r="CE17" t="s">
        <v>130</v>
      </c>
      <c r="CF17" s="3">
        <v>44614</v>
      </c>
      <c r="CI17">
        <v>2</v>
      </c>
      <c r="CJ17">
        <v>1</v>
      </c>
      <c r="CK17">
        <v>41</v>
      </c>
      <c r="CL17" t="s">
        <v>84</v>
      </c>
    </row>
    <row r="18" spans="1:90" x14ac:dyDescent="0.25">
      <c r="A18" t="s">
        <v>72</v>
      </c>
      <c r="B18" t="s">
        <v>73</v>
      </c>
      <c r="C18" t="s">
        <v>74</v>
      </c>
      <c r="E18" t="str">
        <f>"GAB2008379"</f>
        <v>GAB2008379</v>
      </c>
      <c r="F18" s="3">
        <v>44610</v>
      </c>
      <c r="G18">
        <v>202208</v>
      </c>
      <c r="H18" t="s">
        <v>75</v>
      </c>
      <c r="I18" t="s">
        <v>76</v>
      </c>
      <c r="J18" t="s">
        <v>77</v>
      </c>
      <c r="K18" t="s">
        <v>78</v>
      </c>
      <c r="L18" t="s">
        <v>109</v>
      </c>
      <c r="M18" t="s">
        <v>110</v>
      </c>
      <c r="N18" t="s">
        <v>111</v>
      </c>
      <c r="O18" t="s">
        <v>80</v>
      </c>
      <c r="P18" t="str">
        <f>"CT072090                      "</f>
        <v xml:space="preserve">CT072090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16.760000000000002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0.2</v>
      </c>
      <c r="BJ18">
        <v>1.9</v>
      </c>
      <c r="BK18">
        <v>2</v>
      </c>
      <c r="BL18">
        <v>60.3</v>
      </c>
      <c r="BM18">
        <v>9.0500000000000007</v>
      </c>
      <c r="BN18">
        <v>69.349999999999994</v>
      </c>
      <c r="BO18">
        <v>69.349999999999994</v>
      </c>
      <c r="BQ18" t="s">
        <v>112</v>
      </c>
      <c r="BR18" t="s">
        <v>82</v>
      </c>
      <c r="BS18" s="3">
        <v>44613</v>
      </c>
      <c r="BT18" s="4">
        <v>0.48680555555555555</v>
      </c>
      <c r="BU18" t="s">
        <v>175</v>
      </c>
      <c r="BV18" t="s">
        <v>84</v>
      </c>
      <c r="BY18">
        <v>9296.2800000000007</v>
      </c>
      <c r="BZ18" t="s">
        <v>87</v>
      </c>
      <c r="CA18" t="s">
        <v>114</v>
      </c>
      <c r="CC18" t="s">
        <v>110</v>
      </c>
      <c r="CD18">
        <v>157</v>
      </c>
      <c r="CE18" t="s">
        <v>97</v>
      </c>
      <c r="CF18" s="3">
        <v>44613</v>
      </c>
      <c r="CI18">
        <v>1</v>
      </c>
      <c r="CJ18">
        <v>1</v>
      </c>
      <c r="CK18">
        <v>21</v>
      </c>
      <c r="CL18" t="s">
        <v>84</v>
      </c>
    </row>
    <row r="19" spans="1:90" x14ac:dyDescent="0.25">
      <c r="A19" t="s">
        <v>72</v>
      </c>
      <c r="B19" t="s">
        <v>73</v>
      </c>
      <c r="C19" t="s">
        <v>74</v>
      </c>
      <c r="E19" t="str">
        <f>"009941974265"</f>
        <v>009941974265</v>
      </c>
      <c r="F19" s="3">
        <v>44610</v>
      </c>
      <c r="G19">
        <v>202208</v>
      </c>
      <c r="H19" t="s">
        <v>176</v>
      </c>
      <c r="I19" t="s">
        <v>177</v>
      </c>
      <c r="J19" t="s">
        <v>178</v>
      </c>
      <c r="K19" t="s">
        <v>78</v>
      </c>
      <c r="L19" t="s">
        <v>109</v>
      </c>
      <c r="M19" t="s">
        <v>110</v>
      </c>
      <c r="N19" t="s">
        <v>111</v>
      </c>
      <c r="O19" t="s">
        <v>125</v>
      </c>
      <c r="P19" t="str">
        <f>"                              "</f>
        <v xml:space="preserve"> 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32.42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2</v>
      </c>
      <c r="BJ19">
        <v>5.4</v>
      </c>
      <c r="BK19">
        <v>6</v>
      </c>
      <c r="BL19">
        <v>121.87</v>
      </c>
      <c r="BM19">
        <v>18.28</v>
      </c>
      <c r="BN19">
        <v>140.15</v>
      </c>
      <c r="BO19">
        <v>140.15</v>
      </c>
      <c r="BQ19" t="s">
        <v>179</v>
      </c>
      <c r="BR19" t="s">
        <v>135</v>
      </c>
      <c r="BS19" s="3">
        <v>44614</v>
      </c>
      <c r="BT19" s="4">
        <v>0.46458333333333335</v>
      </c>
      <c r="BU19" t="s">
        <v>128</v>
      </c>
      <c r="BV19" t="s">
        <v>101</v>
      </c>
      <c r="BY19">
        <v>27000</v>
      </c>
      <c r="BZ19" t="s">
        <v>137</v>
      </c>
      <c r="CA19" t="s">
        <v>129</v>
      </c>
      <c r="CC19" t="s">
        <v>110</v>
      </c>
      <c r="CD19">
        <v>157</v>
      </c>
      <c r="CE19" t="s">
        <v>130</v>
      </c>
      <c r="CF19" s="3">
        <v>44614</v>
      </c>
      <c r="CI19">
        <v>2</v>
      </c>
      <c r="CJ19">
        <v>1</v>
      </c>
      <c r="CK19">
        <v>41</v>
      </c>
      <c r="CL19" t="s">
        <v>84</v>
      </c>
    </row>
    <row r="20" spans="1:90" x14ac:dyDescent="0.25">
      <c r="A20" t="s">
        <v>72</v>
      </c>
      <c r="B20" t="s">
        <v>73</v>
      </c>
      <c r="C20" t="s">
        <v>74</v>
      </c>
      <c r="E20" t="str">
        <f>"GAB2008240"</f>
        <v>GAB2008240</v>
      </c>
      <c r="F20" s="3">
        <v>44603</v>
      </c>
      <c r="G20">
        <v>202208</v>
      </c>
      <c r="H20" t="s">
        <v>75</v>
      </c>
      <c r="I20" t="s">
        <v>76</v>
      </c>
      <c r="J20" t="s">
        <v>77</v>
      </c>
      <c r="K20" t="s">
        <v>78</v>
      </c>
      <c r="L20" t="s">
        <v>165</v>
      </c>
      <c r="M20" t="s">
        <v>166</v>
      </c>
      <c r="N20" t="s">
        <v>180</v>
      </c>
      <c r="O20" t="s">
        <v>125</v>
      </c>
      <c r="P20" t="str">
        <f>"CT070704                      "</f>
        <v xml:space="preserve">CT070704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1302.9100000000001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15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3</v>
      </c>
      <c r="BI20">
        <v>603</v>
      </c>
      <c r="BJ20">
        <v>965.3</v>
      </c>
      <c r="BK20">
        <v>966</v>
      </c>
      <c r="BL20">
        <v>4707.33</v>
      </c>
      <c r="BM20">
        <v>706.1</v>
      </c>
      <c r="BN20">
        <v>5413.43</v>
      </c>
      <c r="BO20">
        <v>5413.43</v>
      </c>
      <c r="BQ20" t="s">
        <v>181</v>
      </c>
      <c r="BR20" t="s">
        <v>82</v>
      </c>
      <c r="BS20" s="3">
        <v>44607</v>
      </c>
      <c r="BT20" s="4">
        <v>0.42777777777777781</v>
      </c>
      <c r="BU20" t="s">
        <v>182</v>
      </c>
      <c r="BV20" t="s">
        <v>101</v>
      </c>
      <c r="BY20">
        <v>4826705</v>
      </c>
      <c r="BZ20" t="s">
        <v>30</v>
      </c>
      <c r="CA20" t="s">
        <v>183</v>
      </c>
      <c r="CC20" t="s">
        <v>166</v>
      </c>
      <c r="CD20">
        <v>122</v>
      </c>
      <c r="CE20" t="s">
        <v>130</v>
      </c>
      <c r="CF20" s="3">
        <v>44607</v>
      </c>
      <c r="CI20">
        <v>2</v>
      </c>
      <c r="CJ20">
        <v>2</v>
      </c>
      <c r="CK20">
        <v>41</v>
      </c>
      <c r="CL20" t="s">
        <v>84</v>
      </c>
    </row>
    <row r="21" spans="1:90" x14ac:dyDescent="0.25">
      <c r="A21" t="s">
        <v>72</v>
      </c>
      <c r="B21" t="s">
        <v>73</v>
      </c>
      <c r="C21" t="s">
        <v>74</v>
      </c>
      <c r="E21" t="str">
        <f>"GAB2008345"</f>
        <v>GAB2008345</v>
      </c>
      <c r="F21" s="3">
        <v>44609</v>
      </c>
      <c r="G21">
        <v>202208</v>
      </c>
      <c r="H21" t="s">
        <v>75</v>
      </c>
      <c r="I21" t="s">
        <v>76</v>
      </c>
      <c r="J21" t="s">
        <v>77</v>
      </c>
      <c r="K21" t="s">
        <v>78</v>
      </c>
      <c r="L21" t="s">
        <v>116</v>
      </c>
      <c r="M21" t="s">
        <v>117</v>
      </c>
      <c r="N21" t="s">
        <v>118</v>
      </c>
      <c r="O21" t="s">
        <v>80</v>
      </c>
      <c r="P21" t="str">
        <f>"CT072062                      "</f>
        <v xml:space="preserve">CT072062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16.760000000000002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15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0.1</v>
      </c>
      <c r="BJ21">
        <v>2</v>
      </c>
      <c r="BK21">
        <v>2</v>
      </c>
      <c r="BL21">
        <v>75.3</v>
      </c>
      <c r="BM21">
        <v>11.3</v>
      </c>
      <c r="BN21">
        <v>86.6</v>
      </c>
      <c r="BO21">
        <v>86.6</v>
      </c>
      <c r="BQ21" t="s">
        <v>119</v>
      </c>
      <c r="BR21" t="s">
        <v>82</v>
      </c>
      <c r="BS21" s="3">
        <v>44610</v>
      </c>
      <c r="BT21" s="4">
        <v>0.51458333333333328</v>
      </c>
      <c r="BU21" t="s">
        <v>184</v>
      </c>
      <c r="BV21" t="s">
        <v>101</v>
      </c>
      <c r="BY21">
        <v>9900.33</v>
      </c>
      <c r="BZ21" t="s">
        <v>121</v>
      </c>
      <c r="CA21" t="s">
        <v>122</v>
      </c>
      <c r="CC21" t="s">
        <v>117</v>
      </c>
      <c r="CD21">
        <v>1475</v>
      </c>
      <c r="CE21" t="s">
        <v>97</v>
      </c>
      <c r="CF21" s="3">
        <v>44610</v>
      </c>
      <c r="CI21">
        <v>1</v>
      </c>
      <c r="CJ21">
        <v>1</v>
      </c>
      <c r="CK21">
        <v>21</v>
      </c>
      <c r="CL21" t="s">
        <v>84</v>
      </c>
    </row>
    <row r="22" spans="1:90" x14ac:dyDescent="0.25">
      <c r="A22" t="s">
        <v>72</v>
      </c>
      <c r="B22" t="s">
        <v>73</v>
      </c>
      <c r="C22" t="s">
        <v>74</v>
      </c>
      <c r="E22" t="str">
        <f>"GAB2008360"</f>
        <v>GAB2008360</v>
      </c>
      <c r="F22" s="3">
        <v>44609</v>
      </c>
      <c r="G22">
        <v>202208</v>
      </c>
      <c r="H22" t="s">
        <v>75</v>
      </c>
      <c r="I22" t="s">
        <v>76</v>
      </c>
      <c r="J22" t="s">
        <v>77</v>
      </c>
      <c r="K22" t="s">
        <v>78</v>
      </c>
      <c r="L22" t="s">
        <v>185</v>
      </c>
      <c r="M22" t="s">
        <v>186</v>
      </c>
      <c r="N22" t="s">
        <v>187</v>
      </c>
      <c r="O22" t="s">
        <v>80</v>
      </c>
      <c r="P22" t="str">
        <f>"CT072078                      "</f>
        <v xml:space="preserve">CT072078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54.48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15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0.4</v>
      </c>
      <c r="BJ22">
        <v>3.3</v>
      </c>
      <c r="BK22">
        <v>3.5</v>
      </c>
      <c r="BL22">
        <v>210.99</v>
      </c>
      <c r="BM22">
        <v>31.65</v>
      </c>
      <c r="BN22">
        <v>242.64</v>
      </c>
      <c r="BO22">
        <v>242.64</v>
      </c>
      <c r="BQ22" t="s">
        <v>188</v>
      </c>
      <c r="BR22" t="s">
        <v>82</v>
      </c>
      <c r="BS22" s="3">
        <v>44610</v>
      </c>
      <c r="BT22" s="4">
        <v>0.4375</v>
      </c>
      <c r="BU22" t="s">
        <v>189</v>
      </c>
      <c r="BV22" t="s">
        <v>101</v>
      </c>
      <c r="BY22">
        <v>16278.08</v>
      </c>
      <c r="BZ22" t="s">
        <v>121</v>
      </c>
      <c r="CA22" t="s">
        <v>190</v>
      </c>
      <c r="CC22" t="s">
        <v>186</v>
      </c>
      <c r="CD22">
        <v>2745</v>
      </c>
      <c r="CE22" t="s">
        <v>191</v>
      </c>
      <c r="CF22" s="3">
        <v>44613</v>
      </c>
      <c r="CI22">
        <v>1</v>
      </c>
      <c r="CJ22">
        <v>1</v>
      </c>
      <c r="CK22">
        <v>23</v>
      </c>
      <c r="CL22" t="s">
        <v>84</v>
      </c>
    </row>
    <row r="23" spans="1:90" x14ac:dyDescent="0.25">
      <c r="A23" t="s">
        <v>72</v>
      </c>
      <c r="B23" t="s">
        <v>73</v>
      </c>
      <c r="C23" t="s">
        <v>74</v>
      </c>
      <c r="E23" t="str">
        <f>"GAB2008343"</f>
        <v>GAB2008343</v>
      </c>
      <c r="F23" s="3">
        <v>44609</v>
      </c>
      <c r="G23">
        <v>202208</v>
      </c>
      <c r="H23" t="s">
        <v>75</v>
      </c>
      <c r="I23" t="s">
        <v>76</v>
      </c>
      <c r="J23" t="s">
        <v>77</v>
      </c>
      <c r="K23" t="s">
        <v>78</v>
      </c>
      <c r="L23" t="s">
        <v>75</v>
      </c>
      <c r="M23" t="s">
        <v>76</v>
      </c>
      <c r="N23" t="s">
        <v>98</v>
      </c>
      <c r="O23" t="s">
        <v>80</v>
      </c>
      <c r="P23" t="str">
        <f>"CT072058                      "</f>
        <v xml:space="preserve">CT072058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13.09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0.4</v>
      </c>
      <c r="BJ23">
        <v>2.4</v>
      </c>
      <c r="BK23">
        <v>2.5</v>
      </c>
      <c r="BL23">
        <v>47.1</v>
      </c>
      <c r="BM23">
        <v>7.07</v>
      </c>
      <c r="BN23">
        <v>54.17</v>
      </c>
      <c r="BO23">
        <v>54.17</v>
      </c>
      <c r="BQ23" t="s">
        <v>99</v>
      </c>
      <c r="BR23" t="s">
        <v>82</v>
      </c>
      <c r="BS23" s="3">
        <v>44610</v>
      </c>
      <c r="BT23" s="4">
        <v>0.37152777777777773</v>
      </c>
      <c r="BU23" t="s">
        <v>100</v>
      </c>
      <c r="BV23" t="s">
        <v>101</v>
      </c>
      <c r="BY23">
        <v>12210.75</v>
      </c>
      <c r="BZ23" t="s">
        <v>87</v>
      </c>
      <c r="CA23" t="s">
        <v>102</v>
      </c>
      <c r="CC23" t="s">
        <v>76</v>
      </c>
      <c r="CD23">
        <v>7800</v>
      </c>
      <c r="CE23" t="s">
        <v>97</v>
      </c>
      <c r="CF23" s="3">
        <v>44613</v>
      </c>
      <c r="CI23">
        <v>1</v>
      </c>
      <c r="CJ23">
        <v>1</v>
      </c>
      <c r="CK23">
        <v>22</v>
      </c>
      <c r="CL23" t="s">
        <v>84</v>
      </c>
    </row>
    <row r="24" spans="1:90" x14ac:dyDescent="0.25">
      <c r="A24" t="s">
        <v>72</v>
      </c>
      <c r="B24" t="s">
        <v>73</v>
      </c>
      <c r="C24" t="s">
        <v>74</v>
      </c>
      <c r="E24" t="str">
        <f>"GAB2008356"</f>
        <v>GAB2008356</v>
      </c>
      <c r="F24" s="3">
        <v>44609</v>
      </c>
      <c r="G24">
        <v>202208</v>
      </c>
      <c r="H24" t="s">
        <v>75</v>
      </c>
      <c r="I24" t="s">
        <v>76</v>
      </c>
      <c r="J24" t="s">
        <v>77</v>
      </c>
      <c r="K24" t="s">
        <v>78</v>
      </c>
      <c r="L24" t="s">
        <v>192</v>
      </c>
      <c r="M24" t="s">
        <v>193</v>
      </c>
      <c r="N24" t="s">
        <v>194</v>
      </c>
      <c r="O24" t="s">
        <v>80</v>
      </c>
      <c r="P24" t="str">
        <f>"CT072077                      "</f>
        <v xml:space="preserve">CT072077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32.479999999999997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0.5</v>
      </c>
      <c r="BJ24">
        <v>2</v>
      </c>
      <c r="BK24">
        <v>2</v>
      </c>
      <c r="BL24">
        <v>116.84</v>
      </c>
      <c r="BM24">
        <v>17.53</v>
      </c>
      <c r="BN24">
        <v>134.37</v>
      </c>
      <c r="BO24">
        <v>134.37</v>
      </c>
      <c r="BQ24" t="s">
        <v>195</v>
      </c>
      <c r="BR24" t="s">
        <v>82</v>
      </c>
      <c r="BS24" s="3">
        <v>44610</v>
      </c>
      <c r="BT24" s="4">
        <v>0.4513888888888889</v>
      </c>
      <c r="BU24" t="s">
        <v>196</v>
      </c>
      <c r="BV24" t="s">
        <v>101</v>
      </c>
      <c r="BY24">
        <v>10072.5</v>
      </c>
      <c r="BZ24" t="s">
        <v>87</v>
      </c>
      <c r="CA24" t="s">
        <v>197</v>
      </c>
      <c r="CC24" t="s">
        <v>193</v>
      </c>
      <c r="CD24">
        <v>2515</v>
      </c>
      <c r="CE24" t="s">
        <v>198</v>
      </c>
      <c r="CF24" s="3">
        <v>44610</v>
      </c>
      <c r="CI24">
        <v>1</v>
      </c>
      <c r="CJ24">
        <v>1</v>
      </c>
      <c r="CK24">
        <v>23</v>
      </c>
      <c r="CL24" t="s">
        <v>84</v>
      </c>
    </row>
    <row r="25" spans="1:90" x14ac:dyDescent="0.25">
      <c r="A25" t="s">
        <v>72</v>
      </c>
      <c r="B25" t="s">
        <v>73</v>
      </c>
      <c r="C25" t="s">
        <v>74</v>
      </c>
      <c r="E25" t="str">
        <f>"GAB2008344"</f>
        <v>GAB2008344</v>
      </c>
      <c r="F25" s="3">
        <v>44609</v>
      </c>
      <c r="G25">
        <v>202208</v>
      </c>
      <c r="H25" t="s">
        <v>75</v>
      </c>
      <c r="I25" t="s">
        <v>76</v>
      </c>
      <c r="J25" t="s">
        <v>77</v>
      </c>
      <c r="K25" t="s">
        <v>78</v>
      </c>
      <c r="L25" t="s">
        <v>75</v>
      </c>
      <c r="M25" t="s">
        <v>76</v>
      </c>
      <c r="N25" t="s">
        <v>199</v>
      </c>
      <c r="O25" t="s">
        <v>80</v>
      </c>
      <c r="P25" t="str">
        <f>"CT072059                      "</f>
        <v xml:space="preserve">CT072059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13.09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0.3</v>
      </c>
      <c r="BJ25">
        <v>2.5</v>
      </c>
      <c r="BK25">
        <v>2.5</v>
      </c>
      <c r="BL25">
        <v>47.1</v>
      </c>
      <c r="BM25">
        <v>7.07</v>
      </c>
      <c r="BN25">
        <v>54.17</v>
      </c>
      <c r="BO25">
        <v>54.17</v>
      </c>
      <c r="BQ25" t="s">
        <v>200</v>
      </c>
      <c r="BR25" t="s">
        <v>82</v>
      </c>
      <c r="BS25" s="3">
        <v>44610</v>
      </c>
      <c r="BT25" s="4">
        <v>0.38472222222222219</v>
      </c>
      <c r="BU25" t="s">
        <v>201</v>
      </c>
      <c r="BV25" t="s">
        <v>101</v>
      </c>
      <c r="BY25">
        <v>12557.48</v>
      </c>
      <c r="BZ25" t="s">
        <v>87</v>
      </c>
      <c r="CA25" t="s">
        <v>107</v>
      </c>
      <c r="CC25" t="s">
        <v>76</v>
      </c>
      <c r="CD25">
        <v>7441</v>
      </c>
      <c r="CE25" t="s">
        <v>108</v>
      </c>
      <c r="CF25" s="3">
        <v>44613</v>
      </c>
      <c r="CI25">
        <v>1</v>
      </c>
      <c r="CJ25">
        <v>1</v>
      </c>
      <c r="CK25">
        <v>22</v>
      </c>
      <c r="CL25" t="s">
        <v>84</v>
      </c>
    </row>
    <row r="26" spans="1:90" x14ac:dyDescent="0.25">
      <c r="A26" t="s">
        <v>72</v>
      </c>
      <c r="B26" t="s">
        <v>73</v>
      </c>
      <c r="C26" t="s">
        <v>74</v>
      </c>
      <c r="E26" t="str">
        <f>"GAB2008358"</f>
        <v>GAB2008358</v>
      </c>
      <c r="F26" s="3">
        <v>44609</v>
      </c>
      <c r="G26">
        <v>202208</v>
      </c>
      <c r="H26" t="s">
        <v>75</v>
      </c>
      <c r="I26" t="s">
        <v>76</v>
      </c>
      <c r="J26" t="s">
        <v>77</v>
      </c>
      <c r="K26" t="s">
        <v>78</v>
      </c>
      <c r="L26" t="s">
        <v>202</v>
      </c>
      <c r="M26" t="s">
        <v>203</v>
      </c>
      <c r="N26" t="s">
        <v>204</v>
      </c>
      <c r="O26" t="s">
        <v>80</v>
      </c>
      <c r="P26" t="str">
        <f>"ORD006858 006842              "</f>
        <v xml:space="preserve">ORD006858 006842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20.95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0.2</v>
      </c>
      <c r="BJ26">
        <v>2.5</v>
      </c>
      <c r="BK26">
        <v>2.5</v>
      </c>
      <c r="BL26">
        <v>75.37</v>
      </c>
      <c r="BM26">
        <v>11.31</v>
      </c>
      <c r="BN26">
        <v>86.68</v>
      </c>
      <c r="BO26">
        <v>86.68</v>
      </c>
      <c r="BQ26" t="s">
        <v>205</v>
      </c>
      <c r="BR26" t="s">
        <v>82</v>
      </c>
      <c r="BS26" s="3">
        <v>44610</v>
      </c>
      <c r="BT26" s="4">
        <v>0.36805555555555558</v>
      </c>
      <c r="BU26" t="s">
        <v>206</v>
      </c>
      <c r="BV26" t="s">
        <v>101</v>
      </c>
      <c r="BY26">
        <v>12620.7</v>
      </c>
      <c r="BZ26" t="s">
        <v>87</v>
      </c>
      <c r="CA26" t="s">
        <v>207</v>
      </c>
      <c r="CC26" t="s">
        <v>203</v>
      </c>
      <c r="CD26">
        <v>1724</v>
      </c>
      <c r="CE26" t="s">
        <v>208</v>
      </c>
      <c r="CF26" s="3">
        <v>44611</v>
      </c>
      <c r="CI26">
        <v>1</v>
      </c>
      <c r="CJ26">
        <v>1</v>
      </c>
      <c r="CK26">
        <v>21</v>
      </c>
      <c r="CL26" t="s">
        <v>84</v>
      </c>
    </row>
    <row r="27" spans="1:90" x14ac:dyDescent="0.25">
      <c r="A27" t="s">
        <v>72</v>
      </c>
      <c r="B27" t="s">
        <v>73</v>
      </c>
      <c r="C27" t="s">
        <v>74</v>
      </c>
      <c r="E27" t="str">
        <f>"GAB2008351"</f>
        <v>GAB2008351</v>
      </c>
      <c r="F27" s="3">
        <v>44609</v>
      </c>
      <c r="G27">
        <v>202208</v>
      </c>
      <c r="H27" t="s">
        <v>75</v>
      </c>
      <c r="I27" t="s">
        <v>76</v>
      </c>
      <c r="J27" t="s">
        <v>77</v>
      </c>
      <c r="K27" t="s">
        <v>78</v>
      </c>
      <c r="L27" t="s">
        <v>109</v>
      </c>
      <c r="M27" t="s">
        <v>110</v>
      </c>
      <c r="N27" t="s">
        <v>111</v>
      </c>
      <c r="O27" t="s">
        <v>80</v>
      </c>
      <c r="P27" t="str">
        <f>"CT072068                      "</f>
        <v xml:space="preserve">CT072068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20.95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0.1</v>
      </c>
      <c r="BJ27">
        <v>2.2000000000000002</v>
      </c>
      <c r="BK27">
        <v>2.5</v>
      </c>
      <c r="BL27">
        <v>75.37</v>
      </c>
      <c r="BM27">
        <v>11.31</v>
      </c>
      <c r="BN27">
        <v>86.68</v>
      </c>
      <c r="BO27">
        <v>86.68</v>
      </c>
      <c r="BQ27" t="s">
        <v>209</v>
      </c>
      <c r="BR27" t="s">
        <v>82</v>
      </c>
      <c r="BS27" s="3">
        <v>44610</v>
      </c>
      <c r="BT27" s="4">
        <v>0.54722222222222217</v>
      </c>
      <c r="BU27" t="s">
        <v>128</v>
      </c>
      <c r="BV27" t="s">
        <v>84</v>
      </c>
      <c r="BY27">
        <v>11072.49</v>
      </c>
      <c r="BZ27" t="s">
        <v>87</v>
      </c>
      <c r="CA27" t="s">
        <v>129</v>
      </c>
      <c r="CC27" t="s">
        <v>110</v>
      </c>
      <c r="CD27">
        <v>157</v>
      </c>
      <c r="CE27" t="s">
        <v>152</v>
      </c>
      <c r="CF27" s="3">
        <v>44610</v>
      </c>
      <c r="CI27">
        <v>1</v>
      </c>
      <c r="CJ27">
        <v>1</v>
      </c>
      <c r="CK27">
        <v>21</v>
      </c>
      <c r="CL27" t="s">
        <v>84</v>
      </c>
    </row>
    <row r="28" spans="1:90" x14ac:dyDescent="0.25">
      <c r="A28" t="s">
        <v>72</v>
      </c>
      <c r="B28" t="s">
        <v>73</v>
      </c>
      <c r="C28" t="s">
        <v>74</v>
      </c>
      <c r="E28" t="str">
        <f>"GAB2008359"</f>
        <v>GAB2008359</v>
      </c>
      <c r="F28" s="3">
        <v>44609</v>
      </c>
      <c r="G28">
        <v>202208</v>
      </c>
      <c r="H28" t="s">
        <v>75</v>
      </c>
      <c r="I28" t="s">
        <v>76</v>
      </c>
      <c r="J28" t="s">
        <v>77</v>
      </c>
      <c r="K28" t="s">
        <v>78</v>
      </c>
      <c r="L28" t="s">
        <v>210</v>
      </c>
      <c r="M28" t="s">
        <v>211</v>
      </c>
      <c r="N28" t="s">
        <v>212</v>
      </c>
      <c r="O28" t="s">
        <v>80</v>
      </c>
      <c r="P28" t="str">
        <f>"ORD006902                     "</f>
        <v xml:space="preserve">ORD006902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35.06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0.2</v>
      </c>
      <c r="BJ28">
        <v>2.7</v>
      </c>
      <c r="BK28">
        <v>3</v>
      </c>
      <c r="BL28">
        <v>126.12</v>
      </c>
      <c r="BM28">
        <v>18.920000000000002</v>
      </c>
      <c r="BN28">
        <v>145.04</v>
      </c>
      <c r="BO28">
        <v>145.04</v>
      </c>
      <c r="BQ28" t="s">
        <v>213</v>
      </c>
      <c r="BR28" t="s">
        <v>82</v>
      </c>
      <c r="BS28" s="3">
        <v>44610</v>
      </c>
      <c r="BT28" s="4">
        <v>0.66249999999999998</v>
      </c>
      <c r="BU28" t="s">
        <v>214</v>
      </c>
      <c r="BV28" t="s">
        <v>101</v>
      </c>
      <c r="BY28">
        <v>13347.6</v>
      </c>
      <c r="BZ28" t="s">
        <v>87</v>
      </c>
      <c r="CA28" t="s">
        <v>215</v>
      </c>
      <c r="CC28" t="s">
        <v>211</v>
      </c>
      <c r="CD28">
        <v>7380</v>
      </c>
      <c r="CE28" t="s">
        <v>208</v>
      </c>
      <c r="CF28" s="3">
        <v>44613</v>
      </c>
      <c r="CI28">
        <v>5</v>
      </c>
      <c r="CJ28">
        <v>1</v>
      </c>
      <c r="CK28">
        <v>24</v>
      </c>
      <c r="CL28" t="s">
        <v>84</v>
      </c>
    </row>
    <row r="29" spans="1:90" x14ac:dyDescent="0.25">
      <c r="A29" t="s">
        <v>72</v>
      </c>
      <c r="B29" t="s">
        <v>73</v>
      </c>
      <c r="C29" t="s">
        <v>74</v>
      </c>
      <c r="E29" t="str">
        <f>"GAB2008342"</f>
        <v>GAB2008342</v>
      </c>
      <c r="F29" s="3">
        <v>44609</v>
      </c>
      <c r="G29">
        <v>202208</v>
      </c>
      <c r="H29" t="s">
        <v>75</v>
      </c>
      <c r="I29" t="s">
        <v>76</v>
      </c>
      <c r="J29" t="s">
        <v>77</v>
      </c>
      <c r="K29" t="s">
        <v>78</v>
      </c>
      <c r="L29" t="s">
        <v>109</v>
      </c>
      <c r="M29" t="s">
        <v>110</v>
      </c>
      <c r="N29" t="s">
        <v>216</v>
      </c>
      <c r="O29" t="s">
        <v>125</v>
      </c>
      <c r="P29" t="str">
        <f>"CT072054 CT072053             "</f>
        <v xml:space="preserve">CT072054 CT072053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32.42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4.9000000000000004</v>
      </c>
      <c r="BJ29">
        <v>12.4</v>
      </c>
      <c r="BK29">
        <v>13</v>
      </c>
      <c r="BL29">
        <v>121.87</v>
      </c>
      <c r="BM29">
        <v>18.28</v>
      </c>
      <c r="BN29">
        <v>140.15</v>
      </c>
      <c r="BO29">
        <v>140.15</v>
      </c>
      <c r="BQ29" t="s">
        <v>217</v>
      </c>
      <c r="BR29" t="s">
        <v>82</v>
      </c>
      <c r="BS29" s="3">
        <v>44613</v>
      </c>
      <c r="BT29" s="4">
        <v>0.46875</v>
      </c>
      <c r="BU29" t="s">
        <v>218</v>
      </c>
      <c r="BV29" t="s">
        <v>101</v>
      </c>
      <c r="BY29">
        <v>62088</v>
      </c>
      <c r="CA29" t="s">
        <v>219</v>
      </c>
      <c r="CC29" t="s">
        <v>110</v>
      </c>
      <c r="CD29">
        <v>157</v>
      </c>
      <c r="CE29" t="s">
        <v>130</v>
      </c>
      <c r="CF29" s="3">
        <v>44613</v>
      </c>
      <c r="CI29">
        <v>2</v>
      </c>
      <c r="CJ29">
        <v>2</v>
      </c>
      <c r="CK29">
        <v>41</v>
      </c>
      <c r="CL29" t="s">
        <v>84</v>
      </c>
    </row>
    <row r="30" spans="1:90" x14ac:dyDescent="0.25">
      <c r="A30" t="s">
        <v>72</v>
      </c>
      <c r="B30" t="s">
        <v>73</v>
      </c>
      <c r="C30" t="s">
        <v>74</v>
      </c>
      <c r="E30" t="str">
        <f>"GAB2008353"</f>
        <v>GAB2008353</v>
      </c>
      <c r="F30" s="3">
        <v>44609</v>
      </c>
      <c r="G30">
        <v>202208</v>
      </c>
      <c r="H30" t="s">
        <v>75</v>
      </c>
      <c r="I30" t="s">
        <v>76</v>
      </c>
      <c r="J30" t="s">
        <v>77</v>
      </c>
      <c r="K30" t="s">
        <v>78</v>
      </c>
      <c r="L30" t="s">
        <v>123</v>
      </c>
      <c r="M30" t="s">
        <v>124</v>
      </c>
      <c r="N30" t="s">
        <v>220</v>
      </c>
      <c r="O30" t="s">
        <v>80</v>
      </c>
      <c r="P30" t="str">
        <f>"ATT:M.FICK PLEASE PHONE HALEY "</f>
        <v xml:space="preserve">ATT:M.FICK PLEASE PHONE HALEY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25.14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0.2</v>
      </c>
      <c r="BJ30">
        <v>2.6</v>
      </c>
      <c r="BK30">
        <v>3</v>
      </c>
      <c r="BL30">
        <v>90.44</v>
      </c>
      <c r="BM30">
        <v>13.57</v>
      </c>
      <c r="BN30">
        <v>104.01</v>
      </c>
      <c r="BO30">
        <v>104.01</v>
      </c>
      <c r="BQ30" t="s">
        <v>127</v>
      </c>
      <c r="BR30" t="s">
        <v>82</v>
      </c>
      <c r="BS30" s="3">
        <v>44610</v>
      </c>
      <c r="BT30" s="4">
        <v>0.48958333333333331</v>
      </c>
      <c r="BU30" t="s">
        <v>221</v>
      </c>
      <c r="BV30" t="s">
        <v>84</v>
      </c>
      <c r="BW30" t="s">
        <v>85</v>
      </c>
      <c r="BX30" t="s">
        <v>222</v>
      </c>
      <c r="BY30">
        <v>12973.5</v>
      </c>
      <c r="BZ30" t="s">
        <v>87</v>
      </c>
      <c r="CA30" t="s">
        <v>223</v>
      </c>
      <c r="CC30" t="s">
        <v>124</v>
      </c>
      <c r="CD30">
        <v>6001</v>
      </c>
      <c r="CE30" t="s">
        <v>224</v>
      </c>
      <c r="CF30" s="3">
        <v>44613</v>
      </c>
      <c r="CI30">
        <v>1</v>
      </c>
      <c r="CJ30">
        <v>1</v>
      </c>
      <c r="CK30">
        <v>21</v>
      </c>
      <c r="CL30" t="s">
        <v>84</v>
      </c>
    </row>
    <row r="31" spans="1:90" x14ac:dyDescent="0.25">
      <c r="A31" t="s">
        <v>72</v>
      </c>
      <c r="B31" t="s">
        <v>73</v>
      </c>
      <c r="C31" t="s">
        <v>74</v>
      </c>
      <c r="E31" t="str">
        <f>"GAB2008350"</f>
        <v>GAB2008350</v>
      </c>
      <c r="F31" s="3">
        <v>44609</v>
      </c>
      <c r="G31">
        <v>202208</v>
      </c>
      <c r="H31" t="s">
        <v>75</v>
      </c>
      <c r="I31" t="s">
        <v>76</v>
      </c>
      <c r="J31" t="s">
        <v>77</v>
      </c>
      <c r="K31" t="s">
        <v>78</v>
      </c>
      <c r="L31" t="s">
        <v>225</v>
      </c>
      <c r="M31" t="s">
        <v>226</v>
      </c>
      <c r="N31" t="s">
        <v>227</v>
      </c>
      <c r="O31" t="s">
        <v>80</v>
      </c>
      <c r="P31" t="str">
        <f>"CT072067                      "</f>
        <v xml:space="preserve">CT072067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16.760000000000002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0.8</v>
      </c>
      <c r="BJ31">
        <v>1.7</v>
      </c>
      <c r="BK31">
        <v>2</v>
      </c>
      <c r="BL31">
        <v>60.3</v>
      </c>
      <c r="BM31">
        <v>9.0500000000000007</v>
      </c>
      <c r="BN31">
        <v>69.349999999999994</v>
      </c>
      <c r="BO31">
        <v>69.349999999999994</v>
      </c>
      <c r="BQ31" t="s">
        <v>228</v>
      </c>
      <c r="BR31" t="s">
        <v>82</v>
      </c>
      <c r="BS31" s="3">
        <v>44613</v>
      </c>
      <c r="BT31" s="4">
        <v>0.41944444444444445</v>
      </c>
      <c r="BU31" t="s">
        <v>229</v>
      </c>
      <c r="BV31" t="s">
        <v>101</v>
      </c>
      <c r="BY31">
        <v>8566.7999999999993</v>
      </c>
      <c r="BZ31" t="s">
        <v>87</v>
      </c>
      <c r="CA31" t="s">
        <v>230</v>
      </c>
      <c r="CC31" t="s">
        <v>226</v>
      </c>
      <c r="CD31">
        <v>8301</v>
      </c>
      <c r="CE31" t="s">
        <v>231</v>
      </c>
      <c r="CF31" s="3">
        <v>44614</v>
      </c>
      <c r="CI31">
        <v>2</v>
      </c>
      <c r="CJ31">
        <v>2</v>
      </c>
      <c r="CK31">
        <v>21</v>
      </c>
      <c r="CL31" t="s">
        <v>84</v>
      </c>
    </row>
    <row r="32" spans="1:90" x14ac:dyDescent="0.25">
      <c r="A32" t="s">
        <v>72</v>
      </c>
      <c r="B32" t="s">
        <v>73</v>
      </c>
      <c r="C32" t="s">
        <v>74</v>
      </c>
      <c r="E32" t="str">
        <f>"GAB2008346"</f>
        <v>GAB2008346</v>
      </c>
      <c r="F32" s="3">
        <v>44609</v>
      </c>
      <c r="G32">
        <v>202208</v>
      </c>
      <c r="H32" t="s">
        <v>75</v>
      </c>
      <c r="I32" t="s">
        <v>76</v>
      </c>
      <c r="J32" t="s">
        <v>77</v>
      </c>
      <c r="K32" t="s">
        <v>78</v>
      </c>
      <c r="L32" t="s">
        <v>90</v>
      </c>
      <c r="M32" t="s">
        <v>91</v>
      </c>
      <c r="N32" t="s">
        <v>92</v>
      </c>
      <c r="O32" t="s">
        <v>80</v>
      </c>
      <c r="P32" t="str">
        <f>"CT072061                      "</f>
        <v xml:space="preserve">CT072061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13.09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0.3</v>
      </c>
      <c r="BJ32">
        <v>2.6</v>
      </c>
      <c r="BK32">
        <v>3</v>
      </c>
      <c r="BL32">
        <v>47.1</v>
      </c>
      <c r="BM32">
        <v>7.07</v>
      </c>
      <c r="BN32">
        <v>54.17</v>
      </c>
      <c r="BO32">
        <v>54.17</v>
      </c>
      <c r="BQ32" t="s">
        <v>93</v>
      </c>
      <c r="BR32" t="s">
        <v>82</v>
      </c>
      <c r="BS32" s="3">
        <v>44610</v>
      </c>
      <c r="BT32" s="4">
        <v>0.58958333333333335</v>
      </c>
      <c r="BU32" t="s">
        <v>232</v>
      </c>
      <c r="BV32" t="s">
        <v>84</v>
      </c>
      <c r="BW32" t="s">
        <v>95</v>
      </c>
      <c r="BX32" t="s">
        <v>233</v>
      </c>
      <c r="BY32">
        <v>13101.38</v>
      </c>
      <c r="BZ32" t="s">
        <v>87</v>
      </c>
      <c r="CA32" t="s">
        <v>96</v>
      </c>
      <c r="CC32" t="s">
        <v>91</v>
      </c>
      <c r="CD32">
        <v>7600</v>
      </c>
      <c r="CE32" t="s">
        <v>191</v>
      </c>
      <c r="CF32" s="3">
        <v>44613</v>
      </c>
      <c r="CI32">
        <v>1</v>
      </c>
      <c r="CJ32">
        <v>1</v>
      </c>
      <c r="CK32">
        <v>22</v>
      </c>
      <c r="CL32" t="s">
        <v>84</v>
      </c>
    </row>
    <row r="33" spans="1:90" x14ac:dyDescent="0.25">
      <c r="A33" t="s">
        <v>72</v>
      </c>
      <c r="B33" t="s">
        <v>73</v>
      </c>
      <c r="C33" t="s">
        <v>74</v>
      </c>
      <c r="E33" t="str">
        <f>"GAB2008352"</f>
        <v>GAB2008352</v>
      </c>
      <c r="F33" s="3">
        <v>44609</v>
      </c>
      <c r="G33">
        <v>202208</v>
      </c>
      <c r="H33" t="s">
        <v>75</v>
      </c>
      <c r="I33" t="s">
        <v>76</v>
      </c>
      <c r="J33" t="s">
        <v>77</v>
      </c>
      <c r="K33" t="s">
        <v>78</v>
      </c>
      <c r="L33" t="s">
        <v>234</v>
      </c>
      <c r="M33" t="s">
        <v>235</v>
      </c>
      <c r="N33" t="s">
        <v>236</v>
      </c>
      <c r="O33" t="s">
        <v>80</v>
      </c>
      <c r="P33" t="str">
        <f>"ORD007069                     "</f>
        <v xml:space="preserve">ORD007069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16.760000000000002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0.2</v>
      </c>
      <c r="BJ33">
        <v>1.8</v>
      </c>
      <c r="BK33">
        <v>2</v>
      </c>
      <c r="BL33">
        <v>60.3</v>
      </c>
      <c r="BM33">
        <v>9.0500000000000007</v>
      </c>
      <c r="BN33">
        <v>69.349999999999994</v>
      </c>
      <c r="BO33">
        <v>69.349999999999994</v>
      </c>
      <c r="BQ33" t="s">
        <v>237</v>
      </c>
      <c r="BR33" t="s">
        <v>82</v>
      </c>
      <c r="BS33" s="3">
        <v>44613</v>
      </c>
      <c r="BT33" s="4">
        <v>0.3659722222222222</v>
      </c>
      <c r="BU33" t="s">
        <v>238</v>
      </c>
      <c r="BV33" t="s">
        <v>84</v>
      </c>
      <c r="BW33" t="s">
        <v>239</v>
      </c>
      <c r="BX33" t="s">
        <v>240</v>
      </c>
      <c r="BY33">
        <v>8756.8799999999992</v>
      </c>
      <c r="BZ33" t="s">
        <v>87</v>
      </c>
      <c r="CC33" t="s">
        <v>235</v>
      </c>
      <c r="CD33">
        <v>3201</v>
      </c>
      <c r="CE33" t="s">
        <v>103</v>
      </c>
      <c r="CF33" s="3">
        <v>44615</v>
      </c>
      <c r="CI33">
        <v>1</v>
      </c>
      <c r="CJ33">
        <v>2</v>
      </c>
      <c r="CK33">
        <v>21</v>
      </c>
      <c r="CL33" t="s">
        <v>84</v>
      </c>
    </row>
    <row r="34" spans="1:90" x14ac:dyDescent="0.25">
      <c r="A34" t="s">
        <v>72</v>
      </c>
      <c r="B34" t="s">
        <v>73</v>
      </c>
      <c r="C34" t="s">
        <v>74</v>
      </c>
      <c r="E34" t="str">
        <f>"GAB2008354"</f>
        <v>GAB2008354</v>
      </c>
      <c r="F34" s="3">
        <v>44609</v>
      </c>
      <c r="G34">
        <v>202208</v>
      </c>
      <c r="H34" t="s">
        <v>75</v>
      </c>
      <c r="I34" t="s">
        <v>76</v>
      </c>
      <c r="J34" t="s">
        <v>77</v>
      </c>
      <c r="K34" t="s">
        <v>78</v>
      </c>
      <c r="L34" t="s">
        <v>75</v>
      </c>
      <c r="M34" t="s">
        <v>76</v>
      </c>
      <c r="N34" t="s">
        <v>104</v>
      </c>
      <c r="O34" t="s">
        <v>80</v>
      </c>
      <c r="P34" t="str">
        <f>"CT072057                      "</f>
        <v xml:space="preserve">CT072057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13.09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2.4</v>
      </c>
      <c r="BK34">
        <v>2.5</v>
      </c>
      <c r="BL34">
        <v>47.1</v>
      </c>
      <c r="BM34">
        <v>7.07</v>
      </c>
      <c r="BN34">
        <v>54.17</v>
      </c>
      <c r="BO34">
        <v>54.17</v>
      </c>
      <c r="BQ34" t="s">
        <v>105</v>
      </c>
      <c r="BR34" t="s">
        <v>82</v>
      </c>
      <c r="BS34" s="3">
        <v>44610</v>
      </c>
      <c r="BT34" s="4">
        <v>0.42152777777777778</v>
      </c>
      <c r="BU34" t="s">
        <v>241</v>
      </c>
      <c r="BV34" t="s">
        <v>101</v>
      </c>
      <c r="BY34">
        <v>11753.34</v>
      </c>
      <c r="BZ34" t="s">
        <v>87</v>
      </c>
      <c r="CA34" t="s">
        <v>107</v>
      </c>
      <c r="CC34" t="s">
        <v>76</v>
      </c>
      <c r="CD34">
        <v>7441</v>
      </c>
      <c r="CE34" t="s">
        <v>242</v>
      </c>
      <c r="CF34" s="3">
        <v>44613</v>
      </c>
      <c r="CI34">
        <v>1</v>
      </c>
      <c r="CJ34">
        <v>1</v>
      </c>
      <c r="CK34">
        <v>22</v>
      </c>
      <c r="CL34" t="s">
        <v>84</v>
      </c>
    </row>
    <row r="35" spans="1:90" x14ac:dyDescent="0.25">
      <c r="A35" t="s">
        <v>72</v>
      </c>
      <c r="B35" t="s">
        <v>73</v>
      </c>
      <c r="C35" t="s">
        <v>74</v>
      </c>
      <c r="E35" t="str">
        <f>"GAB2008355"</f>
        <v>GAB2008355</v>
      </c>
      <c r="F35" s="3">
        <v>44609</v>
      </c>
      <c r="G35">
        <v>202208</v>
      </c>
      <c r="H35" t="s">
        <v>75</v>
      </c>
      <c r="I35" t="s">
        <v>76</v>
      </c>
      <c r="J35" t="s">
        <v>77</v>
      </c>
      <c r="K35" t="s">
        <v>78</v>
      </c>
      <c r="L35" t="s">
        <v>153</v>
      </c>
      <c r="M35" t="s">
        <v>154</v>
      </c>
      <c r="N35" t="s">
        <v>243</v>
      </c>
      <c r="O35" t="s">
        <v>80</v>
      </c>
      <c r="P35" t="str">
        <f>"CT072076                      "</f>
        <v xml:space="preserve">CT072076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20.95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0.1</v>
      </c>
      <c r="BJ35">
        <v>2.2000000000000002</v>
      </c>
      <c r="BK35">
        <v>2.5</v>
      </c>
      <c r="BL35">
        <v>75.37</v>
      </c>
      <c r="BM35">
        <v>11.31</v>
      </c>
      <c r="BN35">
        <v>86.68</v>
      </c>
      <c r="BO35">
        <v>86.68</v>
      </c>
      <c r="BQ35" t="s">
        <v>244</v>
      </c>
      <c r="BR35" t="s">
        <v>82</v>
      </c>
      <c r="BS35" s="3">
        <v>44610</v>
      </c>
      <c r="BT35" s="4">
        <v>0.30763888888888891</v>
      </c>
      <c r="BU35" t="s">
        <v>245</v>
      </c>
      <c r="BV35" t="s">
        <v>101</v>
      </c>
      <c r="BY35">
        <v>11151.2</v>
      </c>
      <c r="BZ35" t="s">
        <v>87</v>
      </c>
      <c r="CA35" t="s">
        <v>174</v>
      </c>
      <c r="CC35" t="s">
        <v>154</v>
      </c>
      <c r="CD35">
        <v>2196</v>
      </c>
      <c r="CE35" t="s">
        <v>89</v>
      </c>
      <c r="CF35" s="3">
        <v>44610</v>
      </c>
      <c r="CI35">
        <v>1</v>
      </c>
      <c r="CJ35">
        <v>1</v>
      </c>
      <c r="CK35">
        <v>21</v>
      </c>
      <c r="CL35" t="s">
        <v>84</v>
      </c>
    </row>
    <row r="36" spans="1:90" x14ac:dyDescent="0.25">
      <c r="A36" t="s">
        <v>72</v>
      </c>
      <c r="B36" t="s">
        <v>73</v>
      </c>
      <c r="C36" t="s">
        <v>74</v>
      </c>
      <c r="E36" t="str">
        <f>"GAB2008349"</f>
        <v>GAB2008349</v>
      </c>
      <c r="F36" s="3">
        <v>44609</v>
      </c>
      <c r="G36">
        <v>202208</v>
      </c>
      <c r="H36" t="s">
        <v>75</v>
      </c>
      <c r="I36" t="s">
        <v>76</v>
      </c>
      <c r="J36" t="s">
        <v>77</v>
      </c>
      <c r="K36" t="s">
        <v>78</v>
      </c>
      <c r="L36" t="s">
        <v>246</v>
      </c>
      <c r="M36" t="s">
        <v>247</v>
      </c>
      <c r="N36" t="s">
        <v>248</v>
      </c>
      <c r="O36" t="s">
        <v>80</v>
      </c>
      <c r="P36" t="str">
        <f>"CT072065                      "</f>
        <v xml:space="preserve">CT072065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23.58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0.2</v>
      </c>
      <c r="BJ36">
        <v>1.9</v>
      </c>
      <c r="BK36">
        <v>2</v>
      </c>
      <c r="BL36">
        <v>84.82</v>
      </c>
      <c r="BM36">
        <v>12.72</v>
      </c>
      <c r="BN36">
        <v>97.54</v>
      </c>
      <c r="BO36">
        <v>97.54</v>
      </c>
      <c r="BQ36" t="s">
        <v>249</v>
      </c>
      <c r="BR36" t="s">
        <v>82</v>
      </c>
      <c r="BS36" s="3">
        <v>44610</v>
      </c>
      <c r="BT36" s="4">
        <v>0.68472222222222223</v>
      </c>
      <c r="BU36" t="s">
        <v>250</v>
      </c>
      <c r="BV36" t="s">
        <v>84</v>
      </c>
      <c r="BW36" t="s">
        <v>95</v>
      </c>
      <c r="BX36" t="s">
        <v>233</v>
      </c>
      <c r="BY36">
        <v>9516</v>
      </c>
      <c r="BZ36" t="s">
        <v>87</v>
      </c>
      <c r="CA36" t="s">
        <v>251</v>
      </c>
      <c r="CC36" t="s">
        <v>247</v>
      </c>
      <c r="CD36">
        <v>7130</v>
      </c>
      <c r="CE36" t="s">
        <v>103</v>
      </c>
      <c r="CF36" s="3">
        <v>44613</v>
      </c>
      <c r="CI36">
        <v>1</v>
      </c>
      <c r="CJ36">
        <v>1</v>
      </c>
      <c r="CK36">
        <v>24</v>
      </c>
      <c r="CL36" t="s">
        <v>84</v>
      </c>
    </row>
    <row r="37" spans="1:90" x14ac:dyDescent="0.25">
      <c r="A37" t="s">
        <v>72</v>
      </c>
      <c r="B37" t="s">
        <v>73</v>
      </c>
      <c r="C37" t="s">
        <v>74</v>
      </c>
      <c r="E37" t="str">
        <f>"GAB2008357"</f>
        <v>GAB2008357</v>
      </c>
      <c r="F37" s="3">
        <v>44609</v>
      </c>
      <c r="G37">
        <v>202208</v>
      </c>
      <c r="H37" t="s">
        <v>75</v>
      </c>
      <c r="I37" t="s">
        <v>76</v>
      </c>
      <c r="J37" t="s">
        <v>77</v>
      </c>
      <c r="K37" t="s">
        <v>78</v>
      </c>
      <c r="L37" t="s">
        <v>252</v>
      </c>
      <c r="M37" t="s">
        <v>253</v>
      </c>
      <c r="N37" t="s">
        <v>254</v>
      </c>
      <c r="O37" t="s">
        <v>125</v>
      </c>
      <c r="P37" t="str">
        <f>"CT072074                      "</f>
        <v xml:space="preserve">CT072074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45.72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1.6</v>
      </c>
      <c r="BJ37">
        <v>6.6</v>
      </c>
      <c r="BK37">
        <v>7</v>
      </c>
      <c r="BL37">
        <v>169.72</v>
      </c>
      <c r="BM37">
        <v>25.46</v>
      </c>
      <c r="BN37">
        <v>195.18</v>
      </c>
      <c r="BO37">
        <v>195.18</v>
      </c>
      <c r="BQ37" t="s">
        <v>255</v>
      </c>
      <c r="BR37" t="s">
        <v>82</v>
      </c>
      <c r="BS37" s="3">
        <v>44613</v>
      </c>
      <c r="BT37" s="4">
        <v>0.62569444444444444</v>
      </c>
      <c r="BU37" t="s">
        <v>256</v>
      </c>
      <c r="BV37" t="s">
        <v>101</v>
      </c>
      <c r="BY37">
        <v>33040.639999999999</v>
      </c>
      <c r="CA37" t="s">
        <v>257</v>
      </c>
      <c r="CC37" t="s">
        <v>253</v>
      </c>
      <c r="CD37">
        <v>4420</v>
      </c>
      <c r="CE37" t="s">
        <v>130</v>
      </c>
      <c r="CF37" s="3">
        <v>44614</v>
      </c>
      <c r="CI37">
        <v>3</v>
      </c>
      <c r="CJ37">
        <v>2</v>
      </c>
      <c r="CK37">
        <v>43</v>
      </c>
      <c r="CL37" t="s">
        <v>84</v>
      </c>
    </row>
    <row r="38" spans="1:90" x14ac:dyDescent="0.25">
      <c r="A38" t="s">
        <v>72</v>
      </c>
      <c r="B38" t="s">
        <v>73</v>
      </c>
      <c r="C38" t="s">
        <v>74</v>
      </c>
      <c r="E38" t="str">
        <f>"GAB2008347"</f>
        <v>GAB2008347</v>
      </c>
      <c r="F38" s="3">
        <v>44609</v>
      </c>
      <c r="G38">
        <v>202208</v>
      </c>
      <c r="H38" t="s">
        <v>75</v>
      </c>
      <c r="I38" t="s">
        <v>76</v>
      </c>
      <c r="J38" t="s">
        <v>77</v>
      </c>
      <c r="K38" t="s">
        <v>78</v>
      </c>
      <c r="L38" t="s">
        <v>234</v>
      </c>
      <c r="M38" t="s">
        <v>235</v>
      </c>
      <c r="N38" t="s">
        <v>258</v>
      </c>
      <c r="O38" t="s">
        <v>80</v>
      </c>
      <c r="P38" t="str">
        <f>"CT072060                      "</f>
        <v xml:space="preserve">CT072060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20.95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0.3</v>
      </c>
      <c r="BJ38">
        <v>2.4</v>
      </c>
      <c r="BK38">
        <v>2.5</v>
      </c>
      <c r="BL38">
        <v>75.37</v>
      </c>
      <c r="BM38">
        <v>11.31</v>
      </c>
      <c r="BN38">
        <v>86.68</v>
      </c>
      <c r="BO38">
        <v>86.68</v>
      </c>
      <c r="BQ38" t="s">
        <v>259</v>
      </c>
      <c r="BR38" t="s">
        <v>82</v>
      </c>
      <c r="BS38" s="3">
        <v>44613</v>
      </c>
      <c r="BT38" s="4">
        <v>0.34722222222222227</v>
      </c>
      <c r="BU38" t="s">
        <v>260</v>
      </c>
      <c r="BV38" t="s">
        <v>84</v>
      </c>
      <c r="BW38" t="s">
        <v>239</v>
      </c>
      <c r="BX38" t="s">
        <v>240</v>
      </c>
      <c r="BY38">
        <v>11890.87</v>
      </c>
      <c r="BZ38" t="s">
        <v>87</v>
      </c>
      <c r="CC38" t="s">
        <v>235</v>
      </c>
      <c r="CD38">
        <v>3201</v>
      </c>
      <c r="CE38" t="s">
        <v>208</v>
      </c>
      <c r="CF38" s="3">
        <v>44615</v>
      </c>
      <c r="CI38">
        <v>1</v>
      </c>
      <c r="CJ38">
        <v>2</v>
      </c>
      <c r="CK38">
        <v>21</v>
      </c>
      <c r="CL38" t="s">
        <v>84</v>
      </c>
    </row>
    <row r="39" spans="1:90" x14ac:dyDescent="0.25">
      <c r="A39" t="s">
        <v>72</v>
      </c>
      <c r="B39" t="s">
        <v>73</v>
      </c>
      <c r="C39" t="s">
        <v>74</v>
      </c>
      <c r="E39" t="str">
        <f>"GAB2008348"</f>
        <v>GAB2008348</v>
      </c>
      <c r="F39" s="3">
        <v>44609</v>
      </c>
      <c r="G39">
        <v>202208</v>
      </c>
      <c r="H39" t="s">
        <v>75</v>
      </c>
      <c r="I39" t="s">
        <v>76</v>
      </c>
      <c r="J39" t="s">
        <v>77</v>
      </c>
      <c r="K39" t="s">
        <v>78</v>
      </c>
      <c r="L39" t="s">
        <v>176</v>
      </c>
      <c r="M39" t="s">
        <v>177</v>
      </c>
      <c r="N39" t="s">
        <v>261</v>
      </c>
      <c r="O39" t="s">
        <v>125</v>
      </c>
      <c r="P39" t="str">
        <f>"CT072063                      "</f>
        <v xml:space="preserve">CT072063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32.42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0.3</v>
      </c>
      <c r="BJ39">
        <v>2.2999999999999998</v>
      </c>
      <c r="BK39">
        <v>3</v>
      </c>
      <c r="BL39">
        <v>121.87</v>
      </c>
      <c r="BM39">
        <v>18.28</v>
      </c>
      <c r="BN39">
        <v>140.15</v>
      </c>
      <c r="BO39">
        <v>140.15</v>
      </c>
      <c r="BQ39" t="s">
        <v>262</v>
      </c>
      <c r="BR39" t="s">
        <v>82</v>
      </c>
      <c r="BS39" s="3">
        <v>44613</v>
      </c>
      <c r="BT39" s="4">
        <v>0.50347222222222221</v>
      </c>
      <c r="BU39" t="s">
        <v>263</v>
      </c>
      <c r="BV39" t="s">
        <v>101</v>
      </c>
      <c r="BY39">
        <v>11508.75</v>
      </c>
      <c r="CA39" t="s">
        <v>264</v>
      </c>
      <c r="CC39" t="s">
        <v>177</v>
      </c>
      <c r="CD39">
        <v>3610</v>
      </c>
      <c r="CE39" t="s">
        <v>130</v>
      </c>
      <c r="CF39" s="3">
        <v>44613</v>
      </c>
      <c r="CI39">
        <v>3</v>
      </c>
      <c r="CJ39">
        <v>2</v>
      </c>
      <c r="CK39">
        <v>41</v>
      </c>
      <c r="CL39" t="s">
        <v>84</v>
      </c>
    </row>
    <row r="40" spans="1:90" x14ac:dyDescent="0.25">
      <c r="A40" t="s">
        <v>72</v>
      </c>
      <c r="B40" t="s">
        <v>73</v>
      </c>
      <c r="C40" t="s">
        <v>74</v>
      </c>
      <c r="E40" t="str">
        <f>"GAB2008384"</f>
        <v>GAB2008384</v>
      </c>
      <c r="F40" s="3">
        <v>44613</v>
      </c>
      <c r="G40">
        <v>202208</v>
      </c>
      <c r="H40" t="s">
        <v>75</v>
      </c>
      <c r="I40" t="s">
        <v>76</v>
      </c>
      <c r="J40" t="s">
        <v>77</v>
      </c>
      <c r="K40" t="s">
        <v>78</v>
      </c>
      <c r="L40" t="s">
        <v>131</v>
      </c>
      <c r="M40" t="s">
        <v>132</v>
      </c>
      <c r="N40" t="s">
        <v>265</v>
      </c>
      <c r="O40" t="s">
        <v>125</v>
      </c>
      <c r="P40" t="str">
        <f>"CT071952                      "</f>
        <v xml:space="preserve">CT071952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32.42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5.2</v>
      </c>
      <c r="BJ40">
        <v>13.9</v>
      </c>
      <c r="BK40">
        <v>14</v>
      </c>
      <c r="BL40">
        <v>121.87</v>
      </c>
      <c r="BM40">
        <v>18.28</v>
      </c>
      <c r="BN40">
        <v>140.15</v>
      </c>
      <c r="BO40">
        <v>140.15</v>
      </c>
      <c r="BQ40" t="s">
        <v>266</v>
      </c>
      <c r="BR40" t="s">
        <v>82</v>
      </c>
      <c r="BS40" s="3">
        <v>44617</v>
      </c>
      <c r="BT40" s="4">
        <v>0.40833333333333338</v>
      </c>
      <c r="BU40" t="s">
        <v>267</v>
      </c>
      <c r="BV40" t="s">
        <v>84</v>
      </c>
      <c r="BW40" t="s">
        <v>268</v>
      </c>
      <c r="BX40" t="s">
        <v>269</v>
      </c>
      <c r="BY40">
        <v>69412.320000000007</v>
      </c>
      <c r="CA40" t="s">
        <v>270</v>
      </c>
      <c r="CC40" t="s">
        <v>132</v>
      </c>
      <c r="CD40">
        <v>4001</v>
      </c>
      <c r="CE40" t="s">
        <v>130</v>
      </c>
      <c r="CI40">
        <v>3</v>
      </c>
      <c r="CJ40">
        <v>4</v>
      </c>
      <c r="CK40">
        <v>41</v>
      </c>
      <c r="CL40" t="s">
        <v>84</v>
      </c>
    </row>
    <row r="41" spans="1:90" x14ac:dyDescent="0.25">
      <c r="A41" t="s">
        <v>72</v>
      </c>
      <c r="B41" t="s">
        <v>73</v>
      </c>
      <c r="C41" t="s">
        <v>74</v>
      </c>
      <c r="E41" t="str">
        <f>"RGAB2008307"</f>
        <v>RGAB2008307</v>
      </c>
      <c r="F41" s="3">
        <v>44613</v>
      </c>
      <c r="G41">
        <v>202208</v>
      </c>
      <c r="H41" t="s">
        <v>123</v>
      </c>
      <c r="I41" t="s">
        <v>124</v>
      </c>
      <c r="J41" t="s">
        <v>271</v>
      </c>
      <c r="K41" t="s">
        <v>78</v>
      </c>
      <c r="L41" t="s">
        <v>75</v>
      </c>
      <c r="M41" t="s">
        <v>76</v>
      </c>
      <c r="N41" t="s">
        <v>77</v>
      </c>
      <c r="O41" t="s">
        <v>125</v>
      </c>
      <c r="P41" t="str">
        <f>"CT070133                      "</f>
        <v xml:space="preserve">CT070133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85.86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4</v>
      </c>
      <c r="BI41">
        <v>16.100000000000001</v>
      </c>
      <c r="BJ41">
        <v>54.8</v>
      </c>
      <c r="BK41">
        <v>55</v>
      </c>
      <c r="BL41">
        <v>314.11</v>
      </c>
      <c r="BM41">
        <v>47.12</v>
      </c>
      <c r="BN41">
        <v>361.23</v>
      </c>
      <c r="BO41">
        <v>361.23</v>
      </c>
      <c r="BQ41" t="s">
        <v>82</v>
      </c>
      <c r="BR41" t="s">
        <v>272</v>
      </c>
      <c r="BS41" s="3">
        <v>44616</v>
      </c>
      <c r="BT41" s="4">
        <v>0.4513888888888889</v>
      </c>
      <c r="BU41" t="s">
        <v>273</v>
      </c>
      <c r="BV41" t="s">
        <v>84</v>
      </c>
      <c r="BW41" t="s">
        <v>85</v>
      </c>
      <c r="BX41" t="s">
        <v>233</v>
      </c>
      <c r="BY41">
        <v>274066</v>
      </c>
      <c r="CA41" t="s">
        <v>274</v>
      </c>
      <c r="CC41" t="s">
        <v>76</v>
      </c>
      <c r="CD41">
        <v>8001</v>
      </c>
      <c r="CE41" t="s">
        <v>275</v>
      </c>
      <c r="CF41" s="3">
        <v>44617</v>
      </c>
      <c r="CI41">
        <v>2</v>
      </c>
      <c r="CJ41">
        <v>3</v>
      </c>
      <c r="CK41">
        <v>41</v>
      </c>
      <c r="CL41" t="s">
        <v>84</v>
      </c>
    </row>
    <row r="42" spans="1:90" x14ac:dyDescent="0.25">
      <c r="A42" t="s">
        <v>72</v>
      </c>
      <c r="B42" t="s">
        <v>73</v>
      </c>
      <c r="C42" t="s">
        <v>74</v>
      </c>
      <c r="E42" t="str">
        <f>"GAB2008399"</f>
        <v>GAB2008399</v>
      </c>
      <c r="F42" s="3">
        <v>44613</v>
      </c>
      <c r="G42">
        <v>202208</v>
      </c>
      <c r="H42" t="s">
        <v>75</v>
      </c>
      <c r="I42" t="s">
        <v>76</v>
      </c>
      <c r="J42" t="s">
        <v>77</v>
      </c>
      <c r="K42" t="s">
        <v>78</v>
      </c>
      <c r="L42" t="s">
        <v>131</v>
      </c>
      <c r="M42" t="s">
        <v>132</v>
      </c>
      <c r="N42" t="s">
        <v>276</v>
      </c>
      <c r="O42" t="s">
        <v>80</v>
      </c>
      <c r="P42" t="str">
        <f>"006907 007101 007097          "</f>
        <v xml:space="preserve">006907 007101 007097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25.14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0.4</v>
      </c>
      <c r="BJ42">
        <v>2.8</v>
      </c>
      <c r="BK42">
        <v>3</v>
      </c>
      <c r="BL42">
        <v>90.44</v>
      </c>
      <c r="BM42">
        <v>13.57</v>
      </c>
      <c r="BN42">
        <v>104.01</v>
      </c>
      <c r="BO42">
        <v>104.01</v>
      </c>
      <c r="BQ42" t="s">
        <v>277</v>
      </c>
      <c r="BR42" t="s">
        <v>82</v>
      </c>
      <c r="BS42" s="3">
        <v>44615</v>
      </c>
      <c r="BT42" s="4">
        <v>0.6791666666666667</v>
      </c>
      <c r="BU42" t="s">
        <v>278</v>
      </c>
      <c r="BV42" t="s">
        <v>84</v>
      </c>
      <c r="BW42" t="s">
        <v>268</v>
      </c>
      <c r="BX42" t="s">
        <v>279</v>
      </c>
      <c r="BY42">
        <v>14229.6</v>
      </c>
      <c r="BZ42" t="s">
        <v>87</v>
      </c>
      <c r="CA42" t="s">
        <v>280</v>
      </c>
      <c r="CC42" t="s">
        <v>132</v>
      </c>
      <c r="CD42">
        <v>4000</v>
      </c>
      <c r="CE42" t="s">
        <v>281</v>
      </c>
      <c r="CF42" s="3">
        <v>44616</v>
      </c>
      <c r="CI42">
        <v>1</v>
      </c>
      <c r="CJ42">
        <v>2</v>
      </c>
      <c r="CK42">
        <v>21</v>
      </c>
      <c r="CL42" t="s">
        <v>84</v>
      </c>
    </row>
    <row r="43" spans="1:90" x14ac:dyDescent="0.25">
      <c r="A43" t="s">
        <v>72</v>
      </c>
      <c r="B43" t="s">
        <v>73</v>
      </c>
      <c r="C43" t="s">
        <v>74</v>
      </c>
      <c r="E43" t="str">
        <f>"GAB2008391"</f>
        <v>GAB2008391</v>
      </c>
      <c r="F43" s="3">
        <v>44613</v>
      </c>
      <c r="G43">
        <v>202208</v>
      </c>
      <c r="H43" t="s">
        <v>75</v>
      </c>
      <c r="I43" t="s">
        <v>76</v>
      </c>
      <c r="J43" t="s">
        <v>77</v>
      </c>
      <c r="K43" t="s">
        <v>78</v>
      </c>
      <c r="L43" t="s">
        <v>282</v>
      </c>
      <c r="M43" t="s">
        <v>283</v>
      </c>
      <c r="N43" t="s">
        <v>284</v>
      </c>
      <c r="O43" t="s">
        <v>80</v>
      </c>
      <c r="P43" t="str">
        <f>"007095                        "</f>
        <v xml:space="preserve">007095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47.15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0.4</v>
      </c>
      <c r="BJ43">
        <v>2.6</v>
      </c>
      <c r="BK43">
        <v>3</v>
      </c>
      <c r="BL43">
        <v>169.61</v>
      </c>
      <c r="BM43">
        <v>25.44</v>
      </c>
      <c r="BN43">
        <v>195.05</v>
      </c>
      <c r="BO43">
        <v>195.05</v>
      </c>
      <c r="BQ43" t="s">
        <v>285</v>
      </c>
      <c r="BR43" t="s">
        <v>82</v>
      </c>
      <c r="BS43" s="3">
        <v>44614</v>
      </c>
      <c r="BT43" s="4">
        <v>0.36180555555555555</v>
      </c>
      <c r="BU43" t="s">
        <v>286</v>
      </c>
      <c r="BV43" t="s">
        <v>101</v>
      </c>
      <c r="BY43">
        <v>12812.24</v>
      </c>
      <c r="BZ43" t="s">
        <v>87</v>
      </c>
      <c r="CA43" t="s">
        <v>287</v>
      </c>
      <c r="CC43" t="s">
        <v>283</v>
      </c>
      <c r="CD43">
        <v>300</v>
      </c>
      <c r="CE43" t="s">
        <v>288</v>
      </c>
      <c r="CF43" s="3">
        <v>44614</v>
      </c>
      <c r="CI43">
        <v>1</v>
      </c>
      <c r="CJ43">
        <v>1</v>
      </c>
      <c r="CK43">
        <v>23</v>
      </c>
      <c r="CL43" t="s">
        <v>84</v>
      </c>
    </row>
    <row r="44" spans="1:90" x14ac:dyDescent="0.25">
      <c r="A44" t="s">
        <v>72</v>
      </c>
      <c r="B44" t="s">
        <v>73</v>
      </c>
      <c r="C44" t="s">
        <v>74</v>
      </c>
      <c r="E44" t="str">
        <f>"GAB2008400"</f>
        <v>GAB2008400</v>
      </c>
      <c r="F44" s="3">
        <v>44613</v>
      </c>
      <c r="G44">
        <v>202208</v>
      </c>
      <c r="H44" t="s">
        <v>75</v>
      </c>
      <c r="I44" t="s">
        <v>76</v>
      </c>
      <c r="J44" t="s">
        <v>77</v>
      </c>
      <c r="K44" t="s">
        <v>78</v>
      </c>
      <c r="L44" t="s">
        <v>282</v>
      </c>
      <c r="M44" t="s">
        <v>283</v>
      </c>
      <c r="N44" t="s">
        <v>289</v>
      </c>
      <c r="O44" t="s">
        <v>125</v>
      </c>
      <c r="P44" t="str">
        <f>"CT071853                      "</f>
        <v xml:space="preserve">CT071853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45.72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10</v>
      </c>
      <c r="BJ44">
        <v>13.8</v>
      </c>
      <c r="BK44">
        <v>14</v>
      </c>
      <c r="BL44">
        <v>169.72</v>
      </c>
      <c r="BM44">
        <v>25.46</v>
      </c>
      <c r="BN44">
        <v>195.18</v>
      </c>
      <c r="BO44">
        <v>195.18</v>
      </c>
      <c r="BQ44" t="s">
        <v>290</v>
      </c>
      <c r="BR44" t="s">
        <v>82</v>
      </c>
      <c r="BS44" s="3">
        <v>44615</v>
      </c>
      <c r="BT44" s="4">
        <v>0.5395833333333333</v>
      </c>
      <c r="BU44" t="s">
        <v>291</v>
      </c>
      <c r="BV44" t="s">
        <v>101</v>
      </c>
      <c r="BY44">
        <v>68959.199999999997</v>
      </c>
      <c r="CA44" t="s">
        <v>292</v>
      </c>
      <c r="CC44" t="s">
        <v>283</v>
      </c>
      <c r="CD44">
        <v>300</v>
      </c>
      <c r="CE44" t="s">
        <v>130</v>
      </c>
      <c r="CF44" s="3">
        <v>44615</v>
      </c>
      <c r="CI44">
        <v>3</v>
      </c>
      <c r="CJ44">
        <v>2</v>
      </c>
      <c r="CK44">
        <v>43</v>
      </c>
      <c r="CL44" t="s">
        <v>84</v>
      </c>
    </row>
    <row r="45" spans="1:90" x14ac:dyDescent="0.25">
      <c r="A45" t="s">
        <v>72</v>
      </c>
      <c r="B45" t="s">
        <v>73</v>
      </c>
      <c r="C45" t="s">
        <v>74</v>
      </c>
      <c r="E45" t="str">
        <f>"GAB2008401"</f>
        <v>GAB2008401</v>
      </c>
      <c r="F45" s="3">
        <v>44613</v>
      </c>
      <c r="G45">
        <v>202208</v>
      </c>
      <c r="H45" t="s">
        <v>75</v>
      </c>
      <c r="I45" t="s">
        <v>76</v>
      </c>
      <c r="J45" t="s">
        <v>77</v>
      </c>
      <c r="K45" t="s">
        <v>78</v>
      </c>
      <c r="L45" t="s">
        <v>192</v>
      </c>
      <c r="M45" t="s">
        <v>193</v>
      </c>
      <c r="N45" t="s">
        <v>194</v>
      </c>
      <c r="O45" t="s">
        <v>80</v>
      </c>
      <c r="P45" t="str">
        <f>"CT072124                      "</f>
        <v xml:space="preserve">CT072124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47.15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0.2</v>
      </c>
      <c r="BJ45">
        <v>3</v>
      </c>
      <c r="BK45">
        <v>3</v>
      </c>
      <c r="BL45">
        <v>169.61</v>
      </c>
      <c r="BM45">
        <v>25.44</v>
      </c>
      <c r="BN45">
        <v>195.05</v>
      </c>
      <c r="BO45">
        <v>195.05</v>
      </c>
      <c r="BQ45" t="s">
        <v>195</v>
      </c>
      <c r="BR45" t="s">
        <v>82</v>
      </c>
      <c r="BS45" s="3">
        <v>44614</v>
      </c>
      <c r="BT45" s="4">
        <v>0.38055555555555554</v>
      </c>
      <c r="BU45" t="s">
        <v>293</v>
      </c>
      <c r="BV45" t="s">
        <v>101</v>
      </c>
      <c r="BY45">
        <v>15175.29</v>
      </c>
      <c r="BZ45" t="s">
        <v>87</v>
      </c>
      <c r="CA45" t="s">
        <v>197</v>
      </c>
      <c r="CC45" t="s">
        <v>193</v>
      </c>
      <c r="CD45">
        <v>2515</v>
      </c>
      <c r="CE45" t="s">
        <v>152</v>
      </c>
      <c r="CF45" s="3">
        <v>44615</v>
      </c>
      <c r="CI45">
        <v>1</v>
      </c>
      <c r="CJ45">
        <v>1</v>
      </c>
      <c r="CK45">
        <v>23</v>
      </c>
      <c r="CL45" t="s">
        <v>84</v>
      </c>
    </row>
    <row r="46" spans="1:90" x14ac:dyDescent="0.25">
      <c r="A46" t="s">
        <v>72</v>
      </c>
      <c r="B46" t="s">
        <v>73</v>
      </c>
      <c r="C46" t="s">
        <v>74</v>
      </c>
      <c r="E46" t="str">
        <f>"GAB2008390"</f>
        <v>GAB2008390</v>
      </c>
      <c r="F46" s="3">
        <v>44613</v>
      </c>
      <c r="G46">
        <v>202208</v>
      </c>
      <c r="H46" t="s">
        <v>75</v>
      </c>
      <c r="I46" t="s">
        <v>76</v>
      </c>
      <c r="J46" t="s">
        <v>77</v>
      </c>
      <c r="K46" t="s">
        <v>78</v>
      </c>
      <c r="L46" t="s">
        <v>202</v>
      </c>
      <c r="M46" t="s">
        <v>203</v>
      </c>
      <c r="N46" t="s">
        <v>294</v>
      </c>
      <c r="O46" t="s">
        <v>80</v>
      </c>
      <c r="P46" t="str">
        <f>"007113                        "</f>
        <v xml:space="preserve">007113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20.95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0.4</v>
      </c>
      <c r="BJ46">
        <v>2.5</v>
      </c>
      <c r="BK46">
        <v>2.5</v>
      </c>
      <c r="BL46">
        <v>75.37</v>
      </c>
      <c r="BM46">
        <v>11.31</v>
      </c>
      <c r="BN46">
        <v>86.68</v>
      </c>
      <c r="BO46">
        <v>86.68</v>
      </c>
      <c r="BQ46" t="s">
        <v>295</v>
      </c>
      <c r="BR46" t="s">
        <v>82</v>
      </c>
      <c r="BS46" s="3">
        <v>44614</v>
      </c>
      <c r="BT46" s="4">
        <v>0.37708333333333338</v>
      </c>
      <c r="BU46" t="s">
        <v>296</v>
      </c>
      <c r="BV46" t="s">
        <v>101</v>
      </c>
      <c r="BY46">
        <v>12697.76</v>
      </c>
      <c r="BZ46" t="s">
        <v>87</v>
      </c>
      <c r="CA46" t="s">
        <v>297</v>
      </c>
      <c r="CC46" t="s">
        <v>203</v>
      </c>
      <c r="CD46">
        <v>1709</v>
      </c>
      <c r="CE46" t="s">
        <v>281</v>
      </c>
      <c r="CF46" s="3">
        <v>44615</v>
      </c>
      <c r="CI46">
        <v>1</v>
      </c>
      <c r="CJ46">
        <v>1</v>
      </c>
      <c r="CK46">
        <v>21</v>
      </c>
      <c r="CL46" t="s">
        <v>84</v>
      </c>
    </row>
    <row r="47" spans="1:90" x14ac:dyDescent="0.25">
      <c r="A47" t="s">
        <v>72</v>
      </c>
      <c r="B47" t="s">
        <v>73</v>
      </c>
      <c r="C47" t="s">
        <v>74</v>
      </c>
      <c r="E47" t="str">
        <f>"GAB2008396"</f>
        <v>GAB2008396</v>
      </c>
      <c r="F47" s="3">
        <v>44613</v>
      </c>
      <c r="G47">
        <v>202208</v>
      </c>
      <c r="H47" t="s">
        <v>75</v>
      </c>
      <c r="I47" t="s">
        <v>76</v>
      </c>
      <c r="J47" t="s">
        <v>77</v>
      </c>
      <c r="K47" t="s">
        <v>78</v>
      </c>
      <c r="L47" t="s">
        <v>298</v>
      </c>
      <c r="M47" t="s">
        <v>299</v>
      </c>
      <c r="N47" t="s">
        <v>300</v>
      </c>
      <c r="O47" t="s">
        <v>80</v>
      </c>
      <c r="P47" t="str">
        <f>"007128                        "</f>
        <v xml:space="preserve">007128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32.479999999999997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0.2</v>
      </c>
      <c r="BJ47">
        <v>2</v>
      </c>
      <c r="BK47">
        <v>2</v>
      </c>
      <c r="BL47">
        <v>116.84</v>
      </c>
      <c r="BM47">
        <v>17.53</v>
      </c>
      <c r="BN47">
        <v>134.37</v>
      </c>
      <c r="BO47">
        <v>134.37</v>
      </c>
      <c r="BQ47" t="s">
        <v>301</v>
      </c>
      <c r="BR47" t="s">
        <v>82</v>
      </c>
      <c r="BS47" s="3">
        <v>44614</v>
      </c>
      <c r="BT47" s="4">
        <v>0.49861111111111112</v>
      </c>
      <c r="BU47" t="s">
        <v>302</v>
      </c>
      <c r="BV47" t="s">
        <v>101</v>
      </c>
      <c r="BY47">
        <v>10192</v>
      </c>
      <c r="BZ47" t="s">
        <v>87</v>
      </c>
      <c r="CC47" t="s">
        <v>299</v>
      </c>
      <c r="CD47">
        <v>6570</v>
      </c>
      <c r="CE47" t="s">
        <v>152</v>
      </c>
      <c r="CI47">
        <v>1</v>
      </c>
      <c r="CJ47">
        <v>1</v>
      </c>
      <c r="CK47">
        <v>23</v>
      </c>
      <c r="CL47" t="s">
        <v>84</v>
      </c>
    </row>
    <row r="48" spans="1:90" x14ac:dyDescent="0.25">
      <c r="A48" t="s">
        <v>72</v>
      </c>
      <c r="B48" t="s">
        <v>73</v>
      </c>
      <c r="C48" t="s">
        <v>74</v>
      </c>
      <c r="E48" t="str">
        <f>"GAB2008385"</f>
        <v>GAB2008385</v>
      </c>
      <c r="F48" s="3">
        <v>44613</v>
      </c>
      <c r="G48">
        <v>202208</v>
      </c>
      <c r="H48" t="s">
        <v>75</v>
      </c>
      <c r="I48" t="s">
        <v>76</v>
      </c>
      <c r="J48" t="s">
        <v>77</v>
      </c>
      <c r="K48" t="s">
        <v>78</v>
      </c>
      <c r="L48" t="s">
        <v>131</v>
      </c>
      <c r="M48" t="s">
        <v>132</v>
      </c>
      <c r="N48" t="s">
        <v>303</v>
      </c>
      <c r="O48" t="s">
        <v>125</v>
      </c>
      <c r="P48" t="str">
        <f>"CT072036 CT071910             "</f>
        <v xml:space="preserve">CT072036 CT071910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119.25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2</v>
      </c>
      <c r="BI48">
        <v>59.8</v>
      </c>
      <c r="BJ48">
        <v>79.2</v>
      </c>
      <c r="BK48">
        <v>80</v>
      </c>
      <c r="BL48">
        <v>434.25</v>
      </c>
      <c r="BM48">
        <v>65.14</v>
      </c>
      <c r="BN48">
        <v>499.39</v>
      </c>
      <c r="BO48">
        <v>499.39</v>
      </c>
      <c r="BQ48" t="s">
        <v>304</v>
      </c>
      <c r="BR48" t="s">
        <v>82</v>
      </c>
      <c r="BS48" s="3">
        <v>44616</v>
      </c>
      <c r="BT48" s="4">
        <v>0.54166666666666663</v>
      </c>
      <c r="BU48" t="s">
        <v>305</v>
      </c>
      <c r="BV48" t="s">
        <v>101</v>
      </c>
      <c r="BY48">
        <v>395846.40000000002</v>
      </c>
      <c r="CC48" t="s">
        <v>132</v>
      </c>
      <c r="CD48">
        <v>4001</v>
      </c>
      <c r="CE48" t="s">
        <v>130</v>
      </c>
      <c r="CF48" s="3">
        <v>44617</v>
      </c>
      <c r="CI48">
        <v>3</v>
      </c>
      <c r="CJ48">
        <v>3</v>
      </c>
      <c r="CK48">
        <v>41</v>
      </c>
      <c r="CL48" t="s">
        <v>84</v>
      </c>
    </row>
    <row r="49" spans="1:90" x14ac:dyDescent="0.25">
      <c r="A49" t="s">
        <v>72</v>
      </c>
      <c r="B49" t="s">
        <v>73</v>
      </c>
      <c r="C49" t="s">
        <v>74</v>
      </c>
      <c r="E49" t="str">
        <f>"GAB2008386"</f>
        <v>GAB2008386</v>
      </c>
      <c r="F49" s="3">
        <v>44613</v>
      </c>
      <c r="G49">
        <v>202208</v>
      </c>
      <c r="H49" t="s">
        <v>75</v>
      </c>
      <c r="I49" t="s">
        <v>76</v>
      </c>
      <c r="J49" t="s">
        <v>77</v>
      </c>
      <c r="K49" t="s">
        <v>78</v>
      </c>
      <c r="L49" t="s">
        <v>109</v>
      </c>
      <c r="M49" t="s">
        <v>110</v>
      </c>
      <c r="N49" t="s">
        <v>216</v>
      </c>
      <c r="O49" t="s">
        <v>125</v>
      </c>
      <c r="P49" t="str">
        <f>"CT072106                      "</f>
        <v xml:space="preserve">CT072106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32.42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2.9</v>
      </c>
      <c r="BJ49">
        <v>6.3</v>
      </c>
      <c r="BK49">
        <v>7</v>
      </c>
      <c r="BL49">
        <v>121.87</v>
      </c>
      <c r="BM49">
        <v>18.28</v>
      </c>
      <c r="BN49">
        <v>140.15</v>
      </c>
      <c r="BO49">
        <v>140.15</v>
      </c>
      <c r="BQ49" t="s">
        <v>217</v>
      </c>
      <c r="BR49" t="s">
        <v>82</v>
      </c>
      <c r="BS49" s="3">
        <v>44615</v>
      </c>
      <c r="BT49" s="4">
        <v>0.47222222222222227</v>
      </c>
      <c r="BU49" t="s">
        <v>306</v>
      </c>
      <c r="BV49" t="s">
        <v>101</v>
      </c>
      <c r="BY49">
        <v>31476.25</v>
      </c>
      <c r="CA49" t="s">
        <v>307</v>
      </c>
      <c r="CC49" t="s">
        <v>110</v>
      </c>
      <c r="CD49">
        <v>157</v>
      </c>
      <c r="CE49" t="s">
        <v>130</v>
      </c>
      <c r="CF49" s="3">
        <v>44615</v>
      </c>
      <c r="CI49">
        <v>2</v>
      </c>
      <c r="CJ49">
        <v>2</v>
      </c>
      <c r="CK49">
        <v>41</v>
      </c>
      <c r="CL49" t="s">
        <v>84</v>
      </c>
    </row>
    <row r="50" spans="1:90" x14ac:dyDescent="0.25">
      <c r="A50" t="s">
        <v>72</v>
      </c>
      <c r="B50" t="s">
        <v>73</v>
      </c>
      <c r="C50" t="s">
        <v>74</v>
      </c>
      <c r="E50" t="str">
        <f>"GAB2008388"</f>
        <v>GAB2008388</v>
      </c>
      <c r="F50" s="3">
        <v>44613</v>
      </c>
      <c r="G50">
        <v>202208</v>
      </c>
      <c r="H50" t="s">
        <v>75</v>
      </c>
      <c r="I50" t="s">
        <v>76</v>
      </c>
      <c r="J50" t="s">
        <v>77</v>
      </c>
      <c r="K50" t="s">
        <v>78</v>
      </c>
      <c r="L50" t="s">
        <v>308</v>
      </c>
      <c r="M50" t="s">
        <v>309</v>
      </c>
      <c r="N50" t="s">
        <v>310</v>
      </c>
      <c r="O50" t="s">
        <v>125</v>
      </c>
      <c r="P50" t="str">
        <f>"CT072109 CT072110             "</f>
        <v xml:space="preserve">CT072109 CT072110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45.72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1.4</v>
      </c>
      <c r="BJ50">
        <v>2.5</v>
      </c>
      <c r="BK50">
        <v>3</v>
      </c>
      <c r="BL50">
        <v>169.72</v>
      </c>
      <c r="BM50">
        <v>25.46</v>
      </c>
      <c r="BN50">
        <v>195.18</v>
      </c>
      <c r="BO50">
        <v>195.18</v>
      </c>
      <c r="BQ50" t="s">
        <v>311</v>
      </c>
      <c r="BR50" t="s">
        <v>82</v>
      </c>
      <c r="BS50" s="3">
        <v>44615</v>
      </c>
      <c r="BT50" s="4">
        <v>0.61041666666666672</v>
      </c>
      <c r="BU50" t="s">
        <v>312</v>
      </c>
      <c r="BV50" t="s">
        <v>101</v>
      </c>
      <c r="BY50">
        <v>12423.2</v>
      </c>
      <c r="CA50" t="s">
        <v>313</v>
      </c>
      <c r="CC50" t="s">
        <v>309</v>
      </c>
      <c r="CD50">
        <v>601</v>
      </c>
      <c r="CE50" t="s">
        <v>130</v>
      </c>
      <c r="CI50">
        <v>3</v>
      </c>
      <c r="CJ50">
        <v>2</v>
      </c>
      <c r="CK50">
        <v>43</v>
      </c>
      <c r="CL50" t="s">
        <v>84</v>
      </c>
    </row>
    <row r="51" spans="1:90" x14ac:dyDescent="0.25">
      <c r="A51" t="s">
        <v>72</v>
      </c>
      <c r="B51" t="s">
        <v>73</v>
      </c>
      <c r="C51" t="s">
        <v>74</v>
      </c>
      <c r="E51" t="str">
        <f>"GAB2008392"</f>
        <v>GAB2008392</v>
      </c>
      <c r="F51" s="3">
        <v>44613</v>
      </c>
      <c r="G51">
        <v>202208</v>
      </c>
      <c r="H51" t="s">
        <v>75</v>
      </c>
      <c r="I51" t="s">
        <v>76</v>
      </c>
      <c r="J51" t="s">
        <v>77</v>
      </c>
      <c r="K51" t="s">
        <v>78</v>
      </c>
      <c r="L51" t="s">
        <v>109</v>
      </c>
      <c r="M51" t="s">
        <v>110</v>
      </c>
      <c r="N51" t="s">
        <v>111</v>
      </c>
      <c r="O51" t="s">
        <v>125</v>
      </c>
      <c r="P51" t="str">
        <f>"CT072022                      "</f>
        <v xml:space="preserve">CT072022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32.42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8.9</v>
      </c>
      <c r="BJ51">
        <v>13.7</v>
      </c>
      <c r="BK51">
        <v>14</v>
      </c>
      <c r="BL51">
        <v>121.87</v>
      </c>
      <c r="BM51">
        <v>18.28</v>
      </c>
      <c r="BN51">
        <v>140.15</v>
      </c>
      <c r="BO51">
        <v>140.15</v>
      </c>
      <c r="BQ51" t="s">
        <v>179</v>
      </c>
      <c r="BR51" t="s">
        <v>82</v>
      </c>
      <c r="BS51" s="3">
        <v>44615</v>
      </c>
      <c r="BT51" s="4">
        <v>0.38819444444444445</v>
      </c>
      <c r="BU51" t="s">
        <v>128</v>
      </c>
      <c r="BV51" t="s">
        <v>101</v>
      </c>
      <c r="BY51">
        <v>68637.75</v>
      </c>
      <c r="CA51" t="s">
        <v>129</v>
      </c>
      <c r="CC51" t="s">
        <v>110</v>
      </c>
      <c r="CD51">
        <v>157</v>
      </c>
      <c r="CE51" t="s">
        <v>130</v>
      </c>
      <c r="CI51">
        <v>2</v>
      </c>
      <c r="CJ51">
        <v>2</v>
      </c>
      <c r="CK51">
        <v>41</v>
      </c>
      <c r="CL51" t="s">
        <v>84</v>
      </c>
    </row>
    <row r="52" spans="1:90" x14ac:dyDescent="0.25">
      <c r="A52" t="s">
        <v>72</v>
      </c>
      <c r="B52" t="s">
        <v>73</v>
      </c>
      <c r="C52" t="s">
        <v>74</v>
      </c>
      <c r="E52" t="str">
        <f>"GAB2008393"</f>
        <v>GAB2008393</v>
      </c>
      <c r="F52" s="3">
        <v>44613</v>
      </c>
      <c r="G52">
        <v>202208</v>
      </c>
      <c r="H52" t="s">
        <v>75</v>
      </c>
      <c r="I52" t="s">
        <v>76</v>
      </c>
      <c r="J52" t="s">
        <v>77</v>
      </c>
      <c r="K52" t="s">
        <v>78</v>
      </c>
      <c r="L52" t="s">
        <v>123</v>
      </c>
      <c r="M52" t="s">
        <v>124</v>
      </c>
      <c r="N52" t="s">
        <v>314</v>
      </c>
      <c r="O52" t="s">
        <v>125</v>
      </c>
      <c r="P52" t="str">
        <f>"CT072099                      "</f>
        <v xml:space="preserve">CT072099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32.42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0.5</v>
      </c>
      <c r="BJ52">
        <v>1.7</v>
      </c>
      <c r="BK52">
        <v>2</v>
      </c>
      <c r="BL52">
        <v>121.87</v>
      </c>
      <c r="BM52">
        <v>18.28</v>
      </c>
      <c r="BN52">
        <v>140.15</v>
      </c>
      <c r="BO52">
        <v>140.15</v>
      </c>
      <c r="BQ52" t="s">
        <v>315</v>
      </c>
      <c r="BR52" t="s">
        <v>82</v>
      </c>
      <c r="BS52" s="3">
        <v>44615</v>
      </c>
      <c r="BT52" s="4">
        <v>0.63541666666666663</v>
      </c>
      <c r="BU52" t="s">
        <v>316</v>
      </c>
      <c r="BV52" t="s">
        <v>101</v>
      </c>
      <c r="BY52">
        <v>8537.1200000000008</v>
      </c>
      <c r="CA52" t="s">
        <v>317</v>
      </c>
      <c r="CC52" t="s">
        <v>124</v>
      </c>
      <c r="CD52">
        <v>6001</v>
      </c>
      <c r="CE52" t="s">
        <v>130</v>
      </c>
      <c r="CI52">
        <v>2</v>
      </c>
      <c r="CJ52">
        <v>2</v>
      </c>
      <c r="CK52">
        <v>41</v>
      </c>
      <c r="CL52" t="s">
        <v>84</v>
      </c>
    </row>
    <row r="53" spans="1:90" x14ac:dyDescent="0.25">
      <c r="A53" t="s">
        <v>72</v>
      </c>
      <c r="B53" t="s">
        <v>73</v>
      </c>
      <c r="C53" t="s">
        <v>74</v>
      </c>
      <c r="E53" t="str">
        <f>"GAB2008397"</f>
        <v>GAB2008397</v>
      </c>
      <c r="F53" s="3">
        <v>44613</v>
      </c>
      <c r="G53">
        <v>202208</v>
      </c>
      <c r="H53" t="s">
        <v>75</v>
      </c>
      <c r="I53" t="s">
        <v>76</v>
      </c>
      <c r="J53" t="s">
        <v>77</v>
      </c>
      <c r="K53" t="s">
        <v>78</v>
      </c>
      <c r="L53" t="s">
        <v>75</v>
      </c>
      <c r="M53" t="s">
        <v>76</v>
      </c>
      <c r="N53" t="s">
        <v>318</v>
      </c>
      <c r="O53" t="s">
        <v>125</v>
      </c>
      <c r="P53" t="str">
        <f>"CT072121                      "</f>
        <v xml:space="preserve">CT072121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63.05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5</v>
      </c>
      <c r="BI53">
        <v>20.8</v>
      </c>
      <c r="BJ53">
        <v>66.8</v>
      </c>
      <c r="BK53">
        <v>67</v>
      </c>
      <c r="BL53">
        <v>232.07</v>
      </c>
      <c r="BM53">
        <v>34.81</v>
      </c>
      <c r="BN53">
        <v>266.88</v>
      </c>
      <c r="BO53">
        <v>266.88</v>
      </c>
      <c r="BQ53" t="s">
        <v>319</v>
      </c>
      <c r="BR53" t="s">
        <v>82</v>
      </c>
      <c r="BS53" s="3">
        <v>44614</v>
      </c>
      <c r="BT53" s="4">
        <v>0.41319444444444442</v>
      </c>
      <c r="BU53" t="s">
        <v>320</v>
      </c>
      <c r="BV53" t="s">
        <v>101</v>
      </c>
      <c r="BY53">
        <v>334140.08</v>
      </c>
      <c r="CA53" t="s">
        <v>321</v>
      </c>
      <c r="CC53" t="s">
        <v>76</v>
      </c>
      <c r="CD53">
        <v>8000</v>
      </c>
      <c r="CE53" t="s">
        <v>130</v>
      </c>
      <c r="CF53" s="3">
        <v>44615</v>
      </c>
      <c r="CI53">
        <v>1</v>
      </c>
      <c r="CJ53">
        <v>1</v>
      </c>
      <c r="CK53">
        <v>42</v>
      </c>
      <c r="CL53" t="s">
        <v>84</v>
      </c>
    </row>
    <row r="54" spans="1:90" x14ac:dyDescent="0.25">
      <c r="A54" t="s">
        <v>72</v>
      </c>
      <c r="B54" t="s">
        <v>73</v>
      </c>
      <c r="C54" t="s">
        <v>74</v>
      </c>
      <c r="E54" t="str">
        <f>"GAB2008398"</f>
        <v>GAB2008398</v>
      </c>
      <c r="F54" s="3">
        <v>44613</v>
      </c>
      <c r="G54">
        <v>202208</v>
      </c>
      <c r="H54" t="s">
        <v>75</v>
      </c>
      <c r="I54" t="s">
        <v>76</v>
      </c>
      <c r="J54" t="s">
        <v>77</v>
      </c>
      <c r="K54" t="s">
        <v>78</v>
      </c>
      <c r="L54" t="s">
        <v>123</v>
      </c>
      <c r="M54" t="s">
        <v>124</v>
      </c>
      <c r="N54" t="s">
        <v>322</v>
      </c>
      <c r="O54" t="s">
        <v>125</v>
      </c>
      <c r="P54" t="str">
        <f>"CT072122                      "</f>
        <v xml:space="preserve">CT072122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84.52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4</v>
      </c>
      <c r="BI54">
        <v>16.3</v>
      </c>
      <c r="BJ54">
        <v>53.5</v>
      </c>
      <c r="BK54">
        <v>54</v>
      </c>
      <c r="BL54">
        <v>309.3</v>
      </c>
      <c r="BM54">
        <v>46.4</v>
      </c>
      <c r="BN54">
        <v>355.7</v>
      </c>
      <c r="BO54">
        <v>355.7</v>
      </c>
      <c r="BQ54" t="s">
        <v>323</v>
      </c>
      <c r="BR54" t="s">
        <v>82</v>
      </c>
      <c r="BS54" s="3">
        <v>44615</v>
      </c>
      <c r="BT54" s="4">
        <v>0.48055555555555557</v>
      </c>
      <c r="BU54" t="s">
        <v>324</v>
      </c>
      <c r="BV54" t="s">
        <v>101</v>
      </c>
      <c r="BY54">
        <v>267357.93</v>
      </c>
      <c r="CA54" t="s">
        <v>325</v>
      </c>
      <c r="CC54" t="s">
        <v>124</v>
      </c>
      <c r="CD54">
        <v>6001</v>
      </c>
      <c r="CE54" t="s">
        <v>130</v>
      </c>
      <c r="CF54" s="3">
        <v>44616</v>
      </c>
      <c r="CI54">
        <v>2</v>
      </c>
      <c r="CJ54">
        <v>2</v>
      </c>
      <c r="CK54">
        <v>41</v>
      </c>
      <c r="CL54" t="s">
        <v>84</v>
      </c>
    </row>
    <row r="55" spans="1:90" x14ac:dyDescent="0.25">
      <c r="A55" t="s">
        <v>72</v>
      </c>
      <c r="B55" t="s">
        <v>73</v>
      </c>
      <c r="C55" t="s">
        <v>74</v>
      </c>
      <c r="E55" t="str">
        <f>"GAB2008403"</f>
        <v>GAB2008403</v>
      </c>
      <c r="F55" s="3">
        <v>44613</v>
      </c>
      <c r="G55">
        <v>202208</v>
      </c>
      <c r="H55" t="s">
        <v>75</v>
      </c>
      <c r="I55" t="s">
        <v>76</v>
      </c>
      <c r="J55" t="s">
        <v>77</v>
      </c>
      <c r="K55" t="s">
        <v>78</v>
      </c>
      <c r="L55" t="s">
        <v>165</v>
      </c>
      <c r="M55" t="s">
        <v>166</v>
      </c>
      <c r="N55" t="s">
        <v>326</v>
      </c>
      <c r="O55" t="s">
        <v>125</v>
      </c>
      <c r="P55" t="str">
        <f>"CT072126                      "</f>
        <v xml:space="preserve">CT072126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32.42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0.4</v>
      </c>
      <c r="BJ55">
        <v>2.7</v>
      </c>
      <c r="BK55">
        <v>3</v>
      </c>
      <c r="BL55">
        <v>121.87</v>
      </c>
      <c r="BM55">
        <v>18.28</v>
      </c>
      <c r="BN55">
        <v>140.15</v>
      </c>
      <c r="BO55">
        <v>140.15</v>
      </c>
      <c r="BQ55" t="s">
        <v>327</v>
      </c>
      <c r="BR55" t="s">
        <v>82</v>
      </c>
      <c r="BS55" s="3">
        <v>44615</v>
      </c>
      <c r="BT55" s="4">
        <v>0.4604166666666667</v>
      </c>
      <c r="BU55" t="s">
        <v>328</v>
      </c>
      <c r="BV55" t="s">
        <v>101</v>
      </c>
      <c r="BY55">
        <v>13250.48</v>
      </c>
      <c r="CA55" t="s">
        <v>329</v>
      </c>
      <c r="CC55" t="s">
        <v>166</v>
      </c>
      <c r="CD55">
        <v>181</v>
      </c>
      <c r="CE55" t="s">
        <v>130</v>
      </c>
      <c r="CF55" s="3">
        <v>44615</v>
      </c>
      <c r="CI55">
        <v>2</v>
      </c>
      <c r="CJ55">
        <v>2</v>
      </c>
      <c r="CK55">
        <v>41</v>
      </c>
      <c r="CL55" t="s">
        <v>84</v>
      </c>
    </row>
    <row r="56" spans="1:90" x14ac:dyDescent="0.25">
      <c r="A56" t="s">
        <v>72</v>
      </c>
      <c r="B56" t="s">
        <v>73</v>
      </c>
      <c r="C56" t="s">
        <v>74</v>
      </c>
      <c r="E56" t="str">
        <f>"GAB2008405"</f>
        <v>GAB2008405</v>
      </c>
      <c r="F56" s="3">
        <v>44613</v>
      </c>
      <c r="G56">
        <v>202208</v>
      </c>
      <c r="H56" t="s">
        <v>75</v>
      </c>
      <c r="I56" t="s">
        <v>76</v>
      </c>
      <c r="J56" t="s">
        <v>77</v>
      </c>
      <c r="K56" t="s">
        <v>78</v>
      </c>
      <c r="L56" t="s">
        <v>75</v>
      </c>
      <c r="M56" t="s">
        <v>76</v>
      </c>
      <c r="N56" t="s">
        <v>330</v>
      </c>
      <c r="O56" t="s">
        <v>125</v>
      </c>
      <c r="P56" t="str">
        <f>"CT072125                      "</f>
        <v xml:space="preserve">CT072125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52.81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2</v>
      </c>
      <c r="BI56">
        <v>26.2</v>
      </c>
      <c r="BJ56">
        <v>52.9</v>
      </c>
      <c r="BK56">
        <v>53</v>
      </c>
      <c r="BL56">
        <v>195.23</v>
      </c>
      <c r="BM56">
        <v>29.28</v>
      </c>
      <c r="BN56">
        <v>224.51</v>
      </c>
      <c r="BO56">
        <v>224.51</v>
      </c>
      <c r="BQ56" t="s">
        <v>331</v>
      </c>
      <c r="BR56" t="s">
        <v>82</v>
      </c>
      <c r="BS56" s="3">
        <v>44614</v>
      </c>
      <c r="BT56" s="4">
        <v>0.47291666666666665</v>
      </c>
      <c r="BU56" t="s">
        <v>332</v>
      </c>
      <c r="BV56" t="s">
        <v>101</v>
      </c>
      <c r="BY56">
        <v>264738.45</v>
      </c>
      <c r="CA56" t="s">
        <v>88</v>
      </c>
      <c r="CC56" t="s">
        <v>76</v>
      </c>
      <c r="CD56">
        <v>7550</v>
      </c>
      <c r="CE56" t="s">
        <v>130</v>
      </c>
      <c r="CF56" s="3">
        <v>44615</v>
      </c>
      <c r="CI56">
        <v>1</v>
      </c>
      <c r="CJ56">
        <v>1</v>
      </c>
      <c r="CK56">
        <v>42</v>
      </c>
      <c r="CL56" t="s">
        <v>84</v>
      </c>
    </row>
    <row r="57" spans="1:90" x14ac:dyDescent="0.25">
      <c r="A57" t="s">
        <v>72</v>
      </c>
      <c r="B57" t="s">
        <v>73</v>
      </c>
      <c r="C57" t="s">
        <v>74</v>
      </c>
      <c r="E57" t="str">
        <f>"GAB2008394"</f>
        <v>GAB2008394</v>
      </c>
      <c r="F57" s="3">
        <v>44613</v>
      </c>
      <c r="G57">
        <v>202208</v>
      </c>
      <c r="H57" t="s">
        <v>75</v>
      </c>
      <c r="I57" t="s">
        <v>76</v>
      </c>
      <c r="J57" t="s">
        <v>77</v>
      </c>
      <c r="K57" t="s">
        <v>78</v>
      </c>
      <c r="L57" t="s">
        <v>185</v>
      </c>
      <c r="M57" t="s">
        <v>186</v>
      </c>
      <c r="N57" t="s">
        <v>187</v>
      </c>
      <c r="O57" t="s">
        <v>80</v>
      </c>
      <c r="P57" t="str">
        <f>"CT072116                      "</f>
        <v xml:space="preserve">CT072116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32.479999999999997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15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0.8</v>
      </c>
      <c r="BJ57">
        <v>1.7</v>
      </c>
      <c r="BK57">
        <v>2</v>
      </c>
      <c r="BL57">
        <v>131.84</v>
      </c>
      <c r="BM57">
        <v>19.78</v>
      </c>
      <c r="BN57">
        <v>151.62</v>
      </c>
      <c r="BO57">
        <v>151.62</v>
      </c>
      <c r="BQ57" t="s">
        <v>188</v>
      </c>
      <c r="BR57" t="s">
        <v>82</v>
      </c>
      <c r="BS57" s="3">
        <v>44614</v>
      </c>
      <c r="BT57" s="4">
        <v>0.41250000000000003</v>
      </c>
      <c r="BU57" t="s">
        <v>250</v>
      </c>
      <c r="BV57" t="s">
        <v>101</v>
      </c>
      <c r="BY57">
        <v>8530.5</v>
      </c>
      <c r="BZ57" t="s">
        <v>121</v>
      </c>
      <c r="CA57" t="s">
        <v>190</v>
      </c>
      <c r="CC57" t="s">
        <v>186</v>
      </c>
      <c r="CD57">
        <v>2745</v>
      </c>
      <c r="CE57" t="s">
        <v>333</v>
      </c>
      <c r="CF57" s="3">
        <v>44615</v>
      </c>
      <c r="CI57">
        <v>1</v>
      </c>
      <c r="CJ57">
        <v>1</v>
      </c>
      <c r="CK57">
        <v>23</v>
      </c>
      <c r="CL57" t="s">
        <v>84</v>
      </c>
    </row>
    <row r="58" spans="1:90" x14ac:dyDescent="0.25">
      <c r="A58" t="s">
        <v>72</v>
      </c>
      <c r="B58" t="s">
        <v>73</v>
      </c>
      <c r="C58" t="s">
        <v>74</v>
      </c>
      <c r="E58" t="str">
        <f>"GAB2008395"</f>
        <v>GAB2008395</v>
      </c>
      <c r="F58" s="3">
        <v>44613</v>
      </c>
      <c r="G58">
        <v>202208</v>
      </c>
      <c r="H58" t="s">
        <v>75</v>
      </c>
      <c r="I58" t="s">
        <v>76</v>
      </c>
      <c r="J58" t="s">
        <v>77</v>
      </c>
      <c r="K58" t="s">
        <v>78</v>
      </c>
      <c r="L58" t="s">
        <v>116</v>
      </c>
      <c r="M58" t="s">
        <v>117</v>
      </c>
      <c r="N58" t="s">
        <v>334</v>
      </c>
      <c r="O58" t="s">
        <v>80</v>
      </c>
      <c r="P58" t="str">
        <f>"CT072117                      "</f>
        <v xml:space="preserve">CT072117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25.14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15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0.4</v>
      </c>
      <c r="BJ58">
        <v>2.6</v>
      </c>
      <c r="BK58">
        <v>3</v>
      </c>
      <c r="BL58">
        <v>105.44</v>
      </c>
      <c r="BM58">
        <v>15.82</v>
      </c>
      <c r="BN58">
        <v>121.26</v>
      </c>
      <c r="BO58">
        <v>121.26</v>
      </c>
      <c r="BQ58" t="s">
        <v>119</v>
      </c>
      <c r="BR58" t="s">
        <v>82</v>
      </c>
      <c r="BS58" s="3">
        <v>44614</v>
      </c>
      <c r="BT58" s="4">
        <v>0.50763888888888886</v>
      </c>
      <c r="BU58" t="s">
        <v>335</v>
      </c>
      <c r="BV58" t="s">
        <v>101</v>
      </c>
      <c r="BY58">
        <v>13003.02</v>
      </c>
      <c r="BZ58" t="s">
        <v>121</v>
      </c>
      <c r="CA58" t="s">
        <v>122</v>
      </c>
      <c r="CC58" t="s">
        <v>117</v>
      </c>
      <c r="CD58">
        <v>1475</v>
      </c>
      <c r="CE58" t="s">
        <v>191</v>
      </c>
      <c r="CF58" s="3">
        <v>44615</v>
      </c>
      <c r="CI58">
        <v>1</v>
      </c>
      <c r="CJ58">
        <v>1</v>
      </c>
      <c r="CK58">
        <v>21</v>
      </c>
      <c r="CL58" t="s">
        <v>84</v>
      </c>
    </row>
    <row r="59" spans="1:90" x14ac:dyDescent="0.25">
      <c r="A59" t="s">
        <v>72</v>
      </c>
      <c r="B59" t="s">
        <v>73</v>
      </c>
      <c r="C59" t="s">
        <v>74</v>
      </c>
      <c r="E59" t="str">
        <f>"009940256275"</f>
        <v>009940256275</v>
      </c>
      <c r="F59" s="3">
        <v>44613</v>
      </c>
      <c r="G59">
        <v>202208</v>
      </c>
      <c r="H59" t="s">
        <v>75</v>
      </c>
      <c r="I59" t="s">
        <v>76</v>
      </c>
      <c r="J59" t="s">
        <v>111</v>
      </c>
      <c r="K59" t="s">
        <v>78</v>
      </c>
      <c r="L59" t="s">
        <v>336</v>
      </c>
      <c r="M59" t="s">
        <v>337</v>
      </c>
      <c r="N59" t="s">
        <v>338</v>
      </c>
      <c r="O59" t="s">
        <v>339</v>
      </c>
      <c r="P59" t="str">
        <f>"CR071857                      "</f>
        <v xml:space="preserve">CR071857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138.04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192.14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3.5</v>
      </c>
      <c r="BJ59">
        <v>10.1</v>
      </c>
      <c r="BK59">
        <v>11</v>
      </c>
      <c r="BL59">
        <v>1001.44</v>
      </c>
      <c r="BM59">
        <v>0</v>
      </c>
      <c r="BN59">
        <v>1001.44</v>
      </c>
      <c r="BO59">
        <v>1001.44</v>
      </c>
      <c r="BQ59" t="s">
        <v>340</v>
      </c>
      <c r="BR59" t="s">
        <v>341</v>
      </c>
      <c r="BS59" s="3">
        <v>44620</v>
      </c>
      <c r="BT59" s="4">
        <v>0.35972222222222222</v>
      </c>
      <c r="BU59" t="s">
        <v>342</v>
      </c>
      <c r="BY59">
        <v>50670.720000000001</v>
      </c>
      <c r="BZ59" t="s">
        <v>343</v>
      </c>
      <c r="CA59" t="s">
        <v>344</v>
      </c>
      <c r="CC59" t="s">
        <v>337</v>
      </c>
      <c r="CD59" t="s">
        <v>345</v>
      </c>
      <c r="CE59" t="s">
        <v>130</v>
      </c>
      <c r="CI59">
        <v>0</v>
      </c>
      <c r="CJ59">
        <v>0</v>
      </c>
      <c r="CK59">
        <v>301</v>
      </c>
      <c r="CL59" t="s">
        <v>84</v>
      </c>
    </row>
    <row r="60" spans="1:90" x14ac:dyDescent="0.25">
      <c r="A60" t="s">
        <v>72</v>
      </c>
      <c r="B60" t="s">
        <v>73</v>
      </c>
      <c r="C60" t="s">
        <v>74</v>
      </c>
      <c r="E60" t="str">
        <f>"GAB2008338"</f>
        <v>GAB2008338</v>
      </c>
      <c r="F60" s="3">
        <v>44608</v>
      </c>
      <c r="G60">
        <v>202208</v>
      </c>
      <c r="H60" t="s">
        <v>75</v>
      </c>
      <c r="I60" t="s">
        <v>76</v>
      </c>
      <c r="J60" t="s">
        <v>77</v>
      </c>
      <c r="K60" t="s">
        <v>78</v>
      </c>
      <c r="L60" t="s">
        <v>346</v>
      </c>
      <c r="M60" t="s">
        <v>346</v>
      </c>
      <c r="N60" t="s">
        <v>347</v>
      </c>
      <c r="O60" t="s">
        <v>125</v>
      </c>
      <c r="P60" t="str">
        <f>"007054                        "</f>
        <v xml:space="preserve">007054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35.799999999999997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2</v>
      </c>
      <c r="BJ60">
        <v>0.5</v>
      </c>
      <c r="BK60">
        <v>2</v>
      </c>
      <c r="BL60">
        <v>134.04</v>
      </c>
      <c r="BM60">
        <v>20.11</v>
      </c>
      <c r="BN60">
        <v>154.15</v>
      </c>
      <c r="BO60">
        <v>154.15</v>
      </c>
      <c r="BQ60" t="s">
        <v>348</v>
      </c>
      <c r="BR60" t="s">
        <v>82</v>
      </c>
      <c r="BS60" s="3">
        <v>44609</v>
      </c>
      <c r="BT60" s="4">
        <v>0.47986111111111113</v>
      </c>
      <c r="BU60" t="s">
        <v>349</v>
      </c>
      <c r="BV60" t="s">
        <v>101</v>
      </c>
      <c r="BY60">
        <v>2400</v>
      </c>
      <c r="CA60" t="s">
        <v>350</v>
      </c>
      <c r="CC60" t="s">
        <v>346</v>
      </c>
      <c r="CD60">
        <v>7646</v>
      </c>
      <c r="CE60" t="s">
        <v>130</v>
      </c>
      <c r="CF60" s="3">
        <v>44610</v>
      </c>
      <c r="CI60">
        <v>0</v>
      </c>
      <c r="CJ60">
        <v>0</v>
      </c>
      <c r="CK60">
        <v>44</v>
      </c>
      <c r="CL60" t="s">
        <v>84</v>
      </c>
    </row>
    <row r="61" spans="1:90" x14ac:dyDescent="0.25">
      <c r="A61" t="s">
        <v>72</v>
      </c>
      <c r="B61" t="s">
        <v>73</v>
      </c>
      <c r="C61" t="s">
        <v>74</v>
      </c>
      <c r="E61" t="str">
        <f>"GAB2008324"</f>
        <v>GAB2008324</v>
      </c>
      <c r="F61" s="3">
        <v>44608</v>
      </c>
      <c r="G61">
        <v>202208</v>
      </c>
      <c r="H61" t="s">
        <v>75</v>
      </c>
      <c r="I61" t="s">
        <v>76</v>
      </c>
      <c r="J61" t="s">
        <v>77</v>
      </c>
      <c r="K61" t="s">
        <v>78</v>
      </c>
      <c r="L61" t="s">
        <v>153</v>
      </c>
      <c r="M61" t="s">
        <v>154</v>
      </c>
      <c r="N61" t="s">
        <v>351</v>
      </c>
      <c r="O61" t="s">
        <v>125</v>
      </c>
      <c r="P61" t="str">
        <f>"CT072038                      "</f>
        <v xml:space="preserve">CT072038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32.42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2</v>
      </c>
      <c r="BJ61">
        <v>0.5</v>
      </c>
      <c r="BK61">
        <v>2</v>
      </c>
      <c r="BL61">
        <v>121.87</v>
      </c>
      <c r="BM61">
        <v>18.28</v>
      </c>
      <c r="BN61">
        <v>140.15</v>
      </c>
      <c r="BO61">
        <v>140.15</v>
      </c>
      <c r="BQ61" t="s">
        <v>352</v>
      </c>
      <c r="BR61" t="s">
        <v>82</v>
      </c>
      <c r="BS61" s="3">
        <v>44610</v>
      </c>
      <c r="BT61" s="4">
        <v>0.59097222222222223</v>
      </c>
      <c r="BU61" t="s">
        <v>353</v>
      </c>
      <c r="BV61" t="s">
        <v>101</v>
      </c>
      <c r="BY61">
        <v>2400</v>
      </c>
      <c r="CA61" t="s">
        <v>354</v>
      </c>
      <c r="CC61" t="s">
        <v>154</v>
      </c>
      <c r="CD61">
        <v>2196</v>
      </c>
      <c r="CE61" t="s">
        <v>130</v>
      </c>
      <c r="CF61" s="3">
        <v>44611</v>
      </c>
      <c r="CI61">
        <v>2</v>
      </c>
      <c r="CJ61">
        <v>2</v>
      </c>
      <c r="CK61">
        <v>41</v>
      </c>
      <c r="CL61" t="s">
        <v>84</v>
      </c>
    </row>
    <row r="62" spans="1:90" x14ac:dyDescent="0.25">
      <c r="A62" t="s">
        <v>72</v>
      </c>
      <c r="B62" t="s">
        <v>73</v>
      </c>
      <c r="C62" t="s">
        <v>74</v>
      </c>
      <c r="E62" t="str">
        <f>"GAB2008341"</f>
        <v>GAB2008341</v>
      </c>
      <c r="F62" s="3">
        <v>44608</v>
      </c>
      <c r="G62">
        <v>202208</v>
      </c>
      <c r="H62" t="s">
        <v>75</v>
      </c>
      <c r="I62" t="s">
        <v>76</v>
      </c>
      <c r="J62" t="s">
        <v>77</v>
      </c>
      <c r="K62" t="s">
        <v>78</v>
      </c>
      <c r="L62" t="s">
        <v>165</v>
      </c>
      <c r="M62" t="s">
        <v>166</v>
      </c>
      <c r="N62" t="s">
        <v>355</v>
      </c>
      <c r="O62" t="s">
        <v>125</v>
      </c>
      <c r="P62" t="str">
        <f>"CT072052                      "</f>
        <v xml:space="preserve">CT072052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32.42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2</v>
      </c>
      <c r="BJ62">
        <v>0.5</v>
      </c>
      <c r="BK62">
        <v>2</v>
      </c>
      <c r="BL62">
        <v>121.87</v>
      </c>
      <c r="BM62">
        <v>18.28</v>
      </c>
      <c r="BN62">
        <v>140.15</v>
      </c>
      <c r="BO62">
        <v>140.15</v>
      </c>
      <c r="BQ62" t="s">
        <v>356</v>
      </c>
      <c r="BR62" t="s">
        <v>82</v>
      </c>
      <c r="BS62" s="3">
        <v>44616</v>
      </c>
      <c r="BT62" s="4">
        <v>0.42986111111111108</v>
      </c>
      <c r="BU62" t="s">
        <v>357</v>
      </c>
      <c r="BV62" t="s">
        <v>84</v>
      </c>
      <c r="BY62">
        <v>2400</v>
      </c>
      <c r="CC62" t="s">
        <v>166</v>
      </c>
      <c r="CD62">
        <v>2</v>
      </c>
      <c r="CE62" t="s">
        <v>130</v>
      </c>
      <c r="CF62" s="3">
        <v>44616</v>
      </c>
      <c r="CI62">
        <v>2</v>
      </c>
      <c r="CJ62">
        <v>6</v>
      </c>
      <c r="CK62">
        <v>41</v>
      </c>
      <c r="CL62" t="s">
        <v>84</v>
      </c>
    </row>
    <row r="63" spans="1:90" x14ac:dyDescent="0.25">
      <c r="A63" t="s">
        <v>72</v>
      </c>
      <c r="B63" t="s">
        <v>73</v>
      </c>
      <c r="C63" t="s">
        <v>74</v>
      </c>
      <c r="E63" t="str">
        <f>"GAB2008321"</f>
        <v>GAB2008321</v>
      </c>
      <c r="F63" s="3">
        <v>44608</v>
      </c>
      <c r="G63">
        <v>202208</v>
      </c>
      <c r="H63" t="s">
        <v>75</v>
      </c>
      <c r="I63" t="s">
        <v>76</v>
      </c>
      <c r="J63" t="s">
        <v>77</v>
      </c>
      <c r="K63" t="s">
        <v>78</v>
      </c>
      <c r="L63" t="s">
        <v>358</v>
      </c>
      <c r="M63" t="s">
        <v>359</v>
      </c>
      <c r="N63" t="s">
        <v>360</v>
      </c>
      <c r="O63" t="s">
        <v>125</v>
      </c>
      <c r="P63" t="str">
        <f>"CT072035                      "</f>
        <v xml:space="preserve">CT072035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74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4</v>
      </c>
      <c r="BI63">
        <v>16.2</v>
      </c>
      <c r="BJ63">
        <v>55.3</v>
      </c>
      <c r="BK63">
        <v>56</v>
      </c>
      <c r="BL63">
        <v>271.45999999999998</v>
      </c>
      <c r="BM63">
        <v>40.72</v>
      </c>
      <c r="BN63">
        <v>312.18</v>
      </c>
      <c r="BO63">
        <v>312.18</v>
      </c>
      <c r="BQ63" t="s">
        <v>361</v>
      </c>
      <c r="BR63" t="s">
        <v>82</v>
      </c>
      <c r="BS63" s="3">
        <v>44609</v>
      </c>
      <c r="BT63" s="4">
        <v>0.5444444444444444</v>
      </c>
      <c r="BU63" t="s">
        <v>362</v>
      </c>
      <c r="BV63" t="s">
        <v>101</v>
      </c>
      <c r="BY63">
        <v>276677.68</v>
      </c>
      <c r="CA63" t="s">
        <v>363</v>
      </c>
      <c r="CC63" t="s">
        <v>359</v>
      </c>
      <c r="CD63">
        <v>7200</v>
      </c>
      <c r="CE63" t="s">
        <v>130</v>
      </c>
      <c r="CF63" s="3">
        <v>44610</v>
      </c>
      <c r="CI63">
        <v>0</v>
      </c>
      <c r="CJ63">
        <v>0</v>
      </c>
      <c r="CK63">
        <v>44</v>
      </c>
      <c r="CL63" t="s">
        <v>84</v>
      </c>
    </row>
    <row r="64" spans="1:90" x14ac:dyDescent="0.25">
      <c r="A64" t="s">
        <v>72</v>
      </c>
      <c r="B64" t="s">
        <v>73</v>
      </c>
      <c r="C64" t="s">
        <v>74</v>
      </c>
      <c r="E64" t="str">
        <f>"GAB2008320"</f>
        <v>GAB2008320</v>
      </c>
      <c r="F64" s="3">
        <v>44608</v>
      </c>
      <c r="G64">
        <v>202208</v>
      </c>
      <c r="H64" t="s">
        <v>75</v>
      </c>
      <c r="I64" t="s">
        <v>76</v>
      </c>
      <c r="J64" t="s">
        <v>77</v>
      </c>
      <c r="K64" t="s">
        <v>78</v>
      </c>
      <c r="L64" t="s">
        <v>159</v>
      </c>
      <c r="M64" t="s">
        <v>160</v>
      </c>
      <c r="N64" t="s">
        <v>364</v>
      </c>
      <c r="O64" t="s">
        <v>125</v>
      </c>
      <c r="P64" t="str">
        <f>"CT072037                      "</f>
        <v xml:space="preserve">CT072037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45.72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2</v>
      </c>
      <c r="BI64">
        <v>4.8</v>
      </c>
      <c r="BJ64">
        <v>12.8</v>
      </c>
      <c r="BK64">
        <v>13</v>
      </c>
      <c r="BL64">
        <v>169.72</v>
      </c>
      <c r="BM64">
        <v>25.46</v>
      </c>
      <c r="BN64">
        <v>195.18</v>
      </c>
      <c r="BO64">
        <v>195.18</v>
      </c>
      <c r="BQ64" t="s">
        <v>162</v>
      </c>
      <c r="BR64" t="s">
        <v>82</v>
      </c>
      <c r="BS64" s="3">
        <v>44610</v>
      </c>
      <c r="BT64" s="4">
        <v>0.47638888888888892</v>
      </c>
      <c r="BU64" t="s">
        <v>365</v>
      </c>
      <c r="BV64" t="s">
        <v>101</v>
      </c>
      <c r="BY64">
        <v>63973.68</v>
      </c>
      <c r="CC64" t="s">
        <v>160</v>
      </c>
      <c r="CD64">
        <v>9460</v>
      </c>
      <c r="CE64" t="s">
        <v>130</v>
      </c>
      <c r="CF64" s="3">
        <v>44610</v>
      </c>
      <c r="CI64">
        <v>3</v>
      </c>
      <c r="CJ64">
        <v>2</v>
      </c>
      <c r="CK64">
        <v>43</v>
      </c>
      <c r="CL64" t="s">
        <v>84</v>
      </c>
    </row>
    <row r="65" spans="1:90" x14ac:dyDescent="0.25">
      <c r="A65" t="s">
        <v>72</v>
      </c>
      <c r="B65" t="s">
        <v>73</v>
      </c>
      <c r="C65" t="s">
        <v>74</v>
      </c>
      <c r="E65" t="str">
        <f>"GAB2008328"</f>
        <v>GAB2008328</v>
      </c>
      <c r="F65" s="3">
        <v>44608</v>
      </c>
      <c r="G65">
        <v>202208</v>
      </c>
      <c r="H65" t="s">
        <v>75</v>
      </c>
      <c r="I65" t="s">
        <v>76</v>
      </c>
      <c r="J65" t="s">
        <v>77</v>
      </c>
      <c r="K65" t="s">
        <v>78</v>
      </c>
      <c r="L65" t="s">
        <v>192</v>
      </c>
      <c r="M65" t="s">
        <v>193</v>
      </c>
      <c r="N65" t="s">
        <v>194</v>
      </c>
      <c r="O65" t="s">
        <v>80</v>
      </c>
      <c r="P65" t="str">
        <f>"CT072045                      "</f>
        <v xml:space="preserve">CT072045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32.479999999999997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2</v>
      </c>
      <c r="BJ65">
        <v>0.5</v>
      </c>
      <c r="BK65">
        <v>2</v>
      </c>
      <c r="BL65">
        <v>116.84</v>
      </c>
      <c r="BM65">
        <v>17.53</v>
      </c>
      <c r="BN65">
        <v>134.37</v>
      </c>
      <c r="BO65">
        <v>134.37</v>
      </c>
      <c r="BQ65" t="s">
        <v>195</v>
      </c>
      <c r="BR65" t="s">
        <v>82</v>
      </c>
      <c r="BS65" s="3">
        <v>44609</v>
      </c>
      <c r="BT65" s="4">
        <v>0.36527777777777781</v>
      </c>
      <c r="BU65" t="s">
        <v>196</v>
      </c>
      <c r="BV65" t="s">
        <v>101</v>
      </c>
      <c r="BY65">
        <v>2400</v>
      </c>
      <c r="BZ65" t="s">
        <v>87</v>
      </c>
      <c r="CA65" t="s">
        <v>197</v>
      </c>
      <c r="CC65" t="s">
        <v>193</v>
      </c>
      <c r="CD65">
        <v>2515</v>
      </c>
      <c r="CE65" t="s">
        <v>108</v>
      </c>
      <c r="CF65" s="3">
        <v>44609</v>
      </c>
      <c r="CI65">
        <v>1</v>
      </c>
      <c r="CJ65">
        <v>1</v>
      </c>
      <c r="CK65">
        <v>23</v>
      </c>
      <c r="CL65" t="s">
        <v>84</v>
      </c>
    </row>
    <row r="66" spans="1:90" x14ac:dyDescent="0.25">
      <c r="A66" t="s">
        <v>72</v>
      </c>
      <c r="B66" t="s">
        <v>73</v>
      </c>
      <c r="C66" t="s">
        <v>74</v>
      </c>
      <c r="E66" t="str">
        <f>"GAB2008323"</f>
        <v>GAB2008323</v>
      </c>
      <c r="F66" s="3">
        <v>44608</v>
      </c>
      <c r="G66">
        <v>202208</v>
      </c>
      <c r="H66" t="s">
        <v>75</v>
      </c>
      <c r="I66" t="s">
        <v>76</v>
      </c>
      <c r="J66" t="s">
        <v>77</v>
      </c>
      <c r="K66" t="s">
        <v>78</v>
      </c>
      <c r="L66" t="s">
        <v>176</v>
      </c>
      <c r="M66" t="s">
        <v>177</v>
      </c>
      <c r="N66" t="s">
        <v>366</v>
      </c>
      <c r="O66" t="s">
        <v>80</v>
      </c>
      <c r="P66" t="str">
        <f>"007030                        "</f>
        <v xml:space="preserve">007030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16.760000000000002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2</v>
      </c>
      <c r="BJ66">
        <v>0.5</v>
      </c>
      <c r="BK66">
        <v>2</v>
      </c>
      <c r="BL66">
        <v>60.3</v>
      </c>
      <c r="BM66">
        <v>9.0500000000000007</v>
      </c>
      <c r="BN66">
        <v>69.349999999999994</v>
      </c>
      <c r="BO66">
        <v>69.349999999999994</v>
      </c>
      <c r="BQ66" t="s">
        <v>367</v>
      </c>
      <c r="BR66" t="s">
        <v>82</v>
      </c>
      <c r="BS66" s="3">
        <v>44613</v>
      </c>
      <c r="BT66" s="4">
        <v>0.41666666666666669</v>
      </c>
      <c r="BU66" t="s">
        <v>368</v>
      </c>
      <c r="BV66" t="s">
        <v>84</v>
      </c>
      <c r="BW66" t="s">
        <v>268</v>
      </c>
      <c r="BX66" t="s">
        <v>269</v>
      </c>
      <c r="BY66">
        <v>2400</v>
      </c>
      <c r="BZ66" t="s">
        <v>87</v>
      </c>
      <c r="CA66" t="s">
        <v>369</v>
      </c>
      <c r="CC66" t="s">
        <v>177</v>
      </c>
      <c r="CD66">
        <v>3610</v>
      </c>
      <c r="CE66" t="s">
        <v>103</v>
      </c>
      <c r="CF66" s="3">
        <v>44614</v>
      </c>
      <c r="CI66">
        <v>1</v>
      </c>
      <c r="CJ66">
        <v>3</v>
      </c>
      <c r="CK66">
        <v>21</v>
      </c>
      <c r="CL66" t="s">
        <v>84</v>
      </c>
    </row>
    <row r="67" spans="1:90" x14ac:dyDescent="0.25">
      <c r="A67" t="s">
        <v>72</v>
      </c>
      <c r="B67" t="s">
        <v>73</v>
      </c>
      <c r="C67" t="s">
        <v>74</v>
      </c>
      <c r="E67" t="str">
        <f>"GAB2008322"</f>
        <v>GAB2008322</v>
      </c>
      <c r="F67" s="3">
        <v>44608</v>
      </c>
      <c r="G67">
        <v>202208</v>
      </c>
      <c r="H67" t="s">
        <v>75</v>
      </c>
      <c r="I67" t="s">
        <v>76</v>
      </c>
      <c r="J67" t="s">
        <v>77</v>
      </c>
      <c r="K67" t="s">
        <v>78</v>
      </c>
      <c r="L67" t="s">
        <v>153</v>
      </c>
      <c r="M67" t="s">
        <v>154</v>
      </c>
      <c r="N67" t="s">
        <v>370</v>
      </c>
      <c r="O67" t="s">
        <v>80</v>
      </c>
      <c r="P67" t="str">
        <f>"ORD007045                     "</f>
        <v xml:space="preserve">ORD007045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16.760000000000002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15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2</v>
      </c>
      <c r="BJ67">
        <v>0.5</v>
      </c>
      <c r="BK67">
        <v>2</v>
      </c>
      <c r="BL67">
        <v>75.3</v>
      </c>
      <c r="BM67">
        <v>11.3</v>
      </c>
      <c r="BN67">
        <v>86.6</v>
      </c>
      <c r="BO67">
        <v>86.6</v>
      </c>
      <c r="BQ67" t="s">
        <v>371</v>
      </c>
      <c r="BR67" t="s">
        <v>82</v>
      </c>
      <c r="BS67" s="3">
        <v>44609</v>
      </c>
      <c r="BT67" s="4">
        <v>0.34375</v>
      </c>
      <c r="BU67" t="s">
        <v>372</v>
      </c>
      <c r="BV67" t="s">
        <v>101</v>
      </c>
      <c r="BY67">
        <v>2400</v>
      </c>
      <c r="BZ67" t="s">
        <v>121</v>
      </c>
      <c r="CA67" t="s">
        <v>373</v>
      </c>
      <c r="CC67" t="s">
        <v>154</v>
      </c>
      <c r="CD67">
        <v>2000</v>
      </c>
      <c r="CE67" t="s">
        <v>152</v>
      </c>
      <c r="CF67" s="3">
        <v>44610</v>
      </c>
      <c r="CI67">
        <v>1</v>
      </c>
      <c r="CJ67">
        <v>1</v>
      </c>
      <c r="CK67">
        <v>21</v>
      </c>
      <c r="CL67" t="s">
        <v>84</v>
      </c>
    </row>
    <row r="68" spans="1:90" x14ac:dyDescent="0.25">
      <c r="A68" t="s">
        <v>72</v>
      </c>
      <c r="B68" t="s">
        <v>73</v>
      </c>
      <c r="C68" t="s">
        <v>74</v>
      </c>
      <c r="E68" t="str">
        <f>"GAB2008319"</f>
        <v>GAB2008319</v>
      </c>
      <c r="F68" s="3">
        <v>44608</v>
      </c>
      <c r="G68">
        <v>202208</v>
      </c>
      <c r="H68" t="s">
        <v>75</v>
      </c>
      <c r="I68" t="s">
        <v>76</v>
      </c>
      <c r="J68" t="s">
        <v>77</v>
      </c>
      <c r="K68" t="s">
        <v>78</v>
      </c>
      <c r="L68" t="s">
        <v>75</v>
      </c>
      <c r="M68" t="s">
        <v>76</v>
      </c>
      <c r="N68" t="s">
        <v>374</v>
      </c>
      <c r="O68" t="s">
        <v>80</v>
      </c>
      <c r="P68" t="str">
        <f>"CT072034                      "</f>
        <v xml:space="preserve">CT072034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13.09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0.5</v>
      </c>
      <c r="BJ68">
        <v>1.7</v>
      </c>
      <c r="BK68">
        <v>2</v>
      </c>
      <c r="BL68">
        <v>47.1</v>
      </c>
      <c r="BM68">
        <v>7.07</v>
      </c>
      <c r="BN68">
        <v>54.17</v>
      </c>
      <c r="BO68">
        <v>54.17</v>
      </c>
      <c r="BQ68" t="s">
        <v>375</v>
      </c>
      <c r="BR68" t="s">
        <v>82</v>
      </c>
      <c r="BS68" s="3">
        <v>44609</v>
      </c>
      <c r="BT68" s="4">
        <v>0.59166666666666667</v>
      </c>
      <c r="BU68" t="s">
        <v>376</v>
      </c>
      <c r="BV68" t="s">
        <v>84</v>
      </c>
      <c r="BW68" t="s">
        <v>95</v>
      </c>
      <c r="BX68" t="s">
        <v>233</v>
      </c>
      <c r="BY68">
        <v>8313.44</v>
      </c>
      <c r="BZ68" t="s">
        <v>87</v>
      </c>
      <c r="CA68" t="s">
        <v>377</v>
      </c>
      <c r="CC68" t="s">
        <v>76</v>
      </c>
      <c r="CD68">
        <v>7806</v>
      </c>
      <c r="CE68" t="s">
        <v>333</v>
      </c>
      <c r="CF68" s="3">
        <v>44610</v>
      </c>
      <c r="CI68">
        <v>1</v>
      </c>
      <c r="CJ68">
        <v>1</v>
      </c>
      <c r="CK68">
        <v>22</v>
      </c>
      <c r="CL68" t="s">
        <v>84</v>
      </c>
    </row>
    <row r="69" spans="1:90" x14ac:dyDescent="0.25">
      <c r="A69" t="s">
        <v>72</v>
      </c>
      <c r="B69" t="s">
        <v>73</v>
      </c>
      <c r="C69" t="s">
        <v>74</v>
      </c>
      <c r="E69" t="str">
        <f>"GAB2008318"</f>
        <v>GAB2008318</v>
      </c>
      <c r="F69" s="3">
        <v>44608</v>
      </c>
      <c r="G69">
        <v>202208</v>
      </c>
      <c r="H69" t="s">
        <v>75</v>
      </c>
      <c r="I69" t="s">
        <v>76</v>
      </c>
      <c r="J69" t="s">
        <v>77</v>
      </c>
      <c r="K69" t="s">
        <v>78</v>
      </c>
      <c r="L69" t="s">
        <v>378</v>
      </c>
      <c r="M69" t="s">
        <v>379</v>
      </c>
      <c r="N69" t="s">
        <v>380</v>
      </c>
      <c r="O69" t="s">
        <v>80</v>
      </c>
      <c r="P69" t="str">
        <f>"CT072033                      "</f>
        <v xml:space="preserve">CT072033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32.479999999999997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2</v>
      </c>
      <c r="BJ69">
        <v>0.5</v>
      </c>
      <c r="BK69">
        <v>2</v>
      </c>
      <c r="BL69">
        <v>116.84</v>
      </c>
      <c r="BM69">
        <v>17.53</v>
      </c>
      <c r="BN69">
        <v>134.37</v>
      </c>
      <c r="BO69">
        <v>134.37</v>
      </c>
      <c r="BQ69" t="s">
        <v>381</v>
      </c>
      <c r="BR69" t="s">
        <v>82</v>
      </c>
      <c r="BS69" s="3">
        <v>44609</v>
      </c>
      <c r="BT69" s="4">
        <v>0.40833333333333338</v>
      </c>
      <c r="BU69" t="s">
        <v>382</v>
      </c>
      <c r="BV69" t="s">
        <v>101</v>
      </c>
      <c r="BY69">
        <v>2400</v>
      </c>
      <c r="BZ69" t="s">
        <v>87</v>
      </c>
      <c r="CA69" t="s">
        <v>383</v>
      </c>
      <c r="CC69" t="s">
        <v>379</v>
      </c>
      <c r="CD69">
        <v>1900</v>
      </c>
      <c r="CE69" t="s">
        <v>281</v>
      </c>
      <c r="CF69" s="3">
        <v>44610</v>
      </c>
      <c r="CI69">
        <v>1</v>
      </c>
      <c r="CJ69">
        <v>1</v>
      </c>
      <c r="CK69">
        <v>23</v>
      </c>
      <c r="CL69" t="s">
        <v>84</v>
      </c>
    </row>
    <row r="70" spans="1:90" x14ac:dyDescent="0.25">
      <c r="A70" t="s">
        <v>72</v>
      </c>
      <c r="B70" t="s">
        <v>73</v>
      </c>
      <c r="C70" t="s">
        <v>74</v>
      </c>
      <c r="E70" t="str">
        <f>"GAB2008317"</f>
        <v>GAB2008317</v>
      </c>
      <c r="F70" s="3">
        <v>44608</v>
      </c>
      <c r="G70">
        <v>202208</v>
      </c>
      <c r="H70" t="s">
        <v>75</v>
      </c>
      <c r="I70" t="s">
        <v>76</v>
      </c>
      <c r="J70" t="s">
        <v>77</v>
      </c>
      <c r="K70" t="s">
        <v>78</v>
      </c>
      <c r="L70" t="s">
        <v>384</v>
      </c>
      <c r="M70" t="s">
        <v>385</v>
      </c>
      <c r="N70" t="s">
        <v>386</v>
      </c>
      <c r="O70" t="s">
        <v>80</v>
      </c>
      <c r="P70" t="str">
        <f>"CT072028                      "</f>
        <v xml:space="preserve">CT072028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16.760000000000002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2</v>
      </c>
      <c r="BJ70">
        <v>0.5</v>
      </c>
      <c r="BK70">
        <v>2</v>
      </c>
      <c r="BL70">
        <v>60.3</v>
      </c>
      <c r="BM70">
        <v>9.0500000000000007</v>
      </c>
      <c r="BN70">
        <v>69.349999999999994</v>
      </c>
      <c r="BO70">
        <v>69.349999999999994</v>
      </c>
      <c r="BQ70" t="s">
        <v>387</v>
      </c>
      <c r="BR70" t="s">
        <v>82</v>
      </c>
      <c r="BS70" s="3">
        <v>44609</v>
      </c>
      <c r="BT70" s="4">
        <v>0.40972222222222227</v>
      </c>
      <c r="BU70" t="s">
        <v>388</v>
      </c>
      <c r="BV70" t="s">
        <v>101</v>
      </c>
      <c r="BY70">
        <v>2400</v>
      </c>
      <c r="BZ70" t="s">
        <v>87</v>
      </c>
      <c r="CA70" t="s">
        <v>389</v>
      </c>
      <c r="CC70" t="s">
        <v>385</v>
      </c>
      <c r="CD70">
        <v>2194</v>
      </c>
      <c r="CE70" t="s">
        <v>288</v>
      </c>
      <c r="CF70" s="3">
        <v>44610</v>
      </c>
      <c r="CI70">
        <v>1</v>
      </c>
      <c r="CJ70">
        <v>1</v>
      </c>
      <c r="CK70">
        <v>21</v>
      </c>
      <c r="CL70" t="s">
        <v>84</v>
      </c>
    </row>
    <row r="71" spans="1:90" x14ac:dyDescent="0.25">
      <c r="A71" t="s">
        <v>72</v>
      </c>
      <c r="B71" t="s">
        <v>73</v>
      </c>
      <c r="C71" t="s">
        <v>74</v>
      </c>
      <c r="E71" t="str">
        <f>"GAB2008313"</f>
        <v>GAB2008313</v>
      </c>
      <c r="F71" s="3">
        <v>44608</v>
      </c>
      <c r="G71">
        <v>202208</v>
      </c>
      <c r="H71" t="s">
        <v>75</v>
      </c>
      <c r="I71" t="s">
        <v>76</v>
      </c>
      <c r="J71" t="s">
        <v>77</v>
      </c>
      <c r="K71" t="s">
        <v>78</v>
      </c>
      <c r="L71" t="s">
        <v>234</v>
      </c>
      <c r="M71" t="s">
        <v>235</v>
      </c>
      <c r="N71" t="s">
        <v>390</v>
      </c>
      <c r="O71" t="s">
        <v>80</v>
      </c>
      <c r="P71" t="str">
        <f>"CT072019                      "</f>
        <v xml:space="preserve">CT072019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16.760000000000002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2</v>
      </c>
      <c r="BJ71">
        <v>0.5</v>
      </c>
      <c r="BK71">
        <v>2</v>
      </c>
      <c r="BL71">
        <v>60.3</v>
      </c>
      <c r="BM71">
        <v>9.0500000000000007</v>
      </c>
      <c r="BN71">
        <v>69.349999999999994</v>
      </c>
      <c r="BO71">
        <v>69.349999999999994</v>
      </c>
      <c r="BR71" t="s">
        <v>82</v>
      </c>
      <c r="BS71" s="3">
        <v>44610</v>
      </c>
      <c r="BT71" s="4">
        <v>0.4375</v>
      </c>
      <c r="BU71" t="s">
        <v>391</v>
      </c>
      <c r="BV71" t="s">
        <v>84</v>
      </c>
      <c r="BW71" t="s">
        <v>239</v>
      </c>
      <c r="BX71" t="s">
        <v>392</v>
      </c>
      <c r="BY71">
        <v>2400</v>
      </c>
      <c r="BZ71" t="s">
        <v>87</v>
      </c>
      <c r="CC71" t="s">
        <v>235</v>
      </c>
      <c r="CD71">
        <v>3201</v>
      </c>
      <c r="CE71" t="s">
        <v>393</v>
      </c>
      <c r="CF71" s="3">
        <v>44614</v>
      </c>
      <c r="CI71">
        <v>1</v>
      </c>
      <c r="CJ71">
        <v>2</v>
      </c>
      <c r="CK71">
        <v>21</v>
      </c>
      <c r="CL71" t="s">
        <v>84</v>
      </c>
    </row>
    <row r="72" spans="1:90" x14ac:dyDescent="0.25">
      <c r="A72" t="s">
        <v>72</v>
      </c>
      <c r="B72" t="s">
        <v>73</v>
      </c>
      <c r="C72" t="s">
        <v>74</v>
      </c>
      <c r="E72" t="str">
        <f>"GAB2008316"</f>
        <v>GAB2008316</v>
      </c>
      <c r="F72" s="3">
        <v>44608</v>
      </c>
      <c r="G72">
        <v>202208</v>
      </c>
      <c r="H72" t="s">
        <v>75</v>
      </c>
      <c r="I72" t="s">
        <v>76</v>
      </c>
      <c r="J72" t="s">
        <v>77</v>
      </c>
      <c r="K72" t="s">
        <v>78</v>
      </c>
      <c r="L72" t="s">
        <v>109</v>
      </c>
      <c r="M72" t="s">
        <v>110</v>
      </c>
      <c r="N72" t="s">
        <v>394</v>
      </c>
      <c r="O72" t="s">
        <v>125</v>
      </c>
      <c r="P72" t="str">
        <f>"CT072027                      "</f>
        <v xml:space="preserve">CT072027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64.48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3</v>
      </c>
      <c r="BI72">
        <v>30.6</v>
      </c>
      <c r="BJ72">
        <v>39</v>
      </c>
      <c r="BK72">
        <v>39</v>
      </c>
      <c r="BL72">
        <v>237.21</v>
      </c>
      <c r="BM72">
        <v>35.58</v>
      </c>
      <c r="BN72">
        <v>272.79000000000002</v>
      </c>
      <c r="BO72">
        <v>272.79000000000002</v>
      </c>
      <c r="BQ72" t="s">
        <v>395</v>
      </c>
      <c r="BR72" t="s">
        <v>82</v>
      </c>
      <c r="BS72" s="3">
        <v>44610</v>
      </c>
      <c r="BT72" s="4">
        <v>0.42638888888888887</v>
      </c>
      <c r="BU72" t="s">
        <v>218</v>
      </c>
      <c r="BV72" t="s">
        <v>101</v>
      </c>
      <c r="BY72">
        <v>194873.35</v>
      </c>
      <c r="CA72" t="s">
        <v>396</v>
      </c>
      <c r="CC72" t="s">
        <v>110</v>
      </c>
      <c r="CD72">
        <v>157</v>
      </c>
      <c r="CE72" t="s">
        <v>130</v>
      </c>
      <c r="CF72" s="3">
        <v>44610</v>
      </c>
      <c r="CI72">
        <v>2</v>
      </c>
      <c r="CJ72">
        <v>2</v>
      </c>
      <c r="CK72">
        <v>41</v>
      </c>
      <c r="CL72" t="s">
        <v>84</v>
      </c>
    </row>
    <row r="73" spans="1:90" x14ac:dyDescent="0.25">
      <c r="A73" t="s">
        <v>72</v>
      </c>
      <c r="B73" t="s">
        <v>73</v>
      </c>
      <c r="C73" t="s">
        <v>74</v>
      </c>
      <c r="E73" t="str">
        <f>"GAB2008333"</f>
        <v>GAB2008333</v>
      </c>
      <c r="F73" s="3">
        <v>44608</v>
      </c>
      <c r="G73">
        <v>202208</v>
      </c>
      <c r="H73" t="s">
        <v>75</v>
      </c>
      <c r="I73" t="s">
        <v>76</v>
      </c>
      <c r="J73" t="s">
        <v>77</v>
      </c>
      <c r="K73" t="s">
        <v>78</v>
      </c>
      <c r="L73" t="s">
        <v>153</v>
      </c>
      <c r="M73" t="s">
        <v>154</v>
      </c>
      <c r="N73" t="s">
        <v>397</v>
      </c>
      <c r="O73" t="s">
        <v>125</v>
      </c>
      <c r="P73" t="str">
        <f>"CT071527                      "</f>
        <v xml:space="preserve">CT071527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47.11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3</v>
      </c>
      <c r="BI73">
        <v>26</v>
      </c>
      <c r="BJ73">
        <v>22.5</v>
      </c>
      <c r="BK73">
        <v>26</v>
      </c>
      <c r="BL73">
        <v>174.73</v>
      </c>
      <c r="BM73">
        <v>26.21</v>
      </c>
      <c r="BN73">
        <v>200.94</v>
      </c>
      <c r="BO73">
        <v>200.94</v>
      </c>
      <c r="BR73" t="s">
        <v>82</v>
      </c>
      <c r="BS73" s="3">
        <v>44610</v>
      </c>
      <c r="BT73" s="4">
        <v>0.51388888888888895</v>
      </c>
      <c r="BU73" t="s">
        <v>398</v>
      </c>
      <c r="BV73" t="s">
        <v>101</v>
      </c>
      <c r="BY73">
        <v>112504.64</v>
      </c>
      <c r="CA73" t="s">
        <v>399</v>
      </c>
      <c r="CC73" t="s">
        <v>154</v>
      </c>
      <c r="CD73">
        <v>2001</v>
      </c>
      <c r="CE73" t="s">
        <v>130</v>
      </c>
      <c r="CF73" s="3">
        <v>44610</v>
      </c>
      <c r="CI73">
        <v>2</v>
      </c>
      <c r="CJ73">
        <v>2</v>
      </c>
      <c r="CK73">
        <v>41</v>
      </c>
      <c r="CL73" t="s">
        <v>84</v>
      </c>
    </row>
    <row r="74" spans="1:90" x14ac:dyDescent="0.25">
      <c r="A74" t="s">
        <v>72</v>
      </c>
      <c r="B74" t="s">
        <v>73</v>
      </c>
      <c r="C74" t="s">
        <v>74</v>
      </c>
      <c r="E74" t="str">
        <f>"GAB2008337"</f>
        <v>GAB2008337</v>
      </c>
      <c r="F74" s="3">
        <v>44608</v>
      </c>
      <c r="G74">
        <v>202208</v>
      </c>
      <c r="H74" t="s">
        <v>75</v>
      </c>
      <c r="I74" t="s">
        <v>76</v>
      </c>
      <c r="J74" t="s">
        <v>77</v>
      </c>
      <c r="K74" t="s">
        <v>78</v>
      </c>
      <c r="L74" t="s">
        <v>384</v>
      </c>
      <c r="M74" t="s">
        <v>385</v>
      </c>
      <c r="N74" t="s">
        <v>386</v>
      </c>
      <c r="O74" t="s">
        <v>125</v>
      </c>
      <c r="P74" t="str">
        <f>"CT072014 CT071961             "</f>
        <v xml:space="preserve">CT072014 CT071961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41.77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2</v>
      </c>
      <c r="BI74">
        <v>10.4</v>
      </c>
      <c r="BJ74">
        <v>22</v>
      </c>
      <c r="BK74">
        <v>22</v>
      </c>
      <c r="BL74">
        <v>155.51</v>
      </c>
      <c r="BM74">
        <v>23.33</v>
      </c>
      <c r="BN74">
        <v>178.84</v>
      </c>
      <c r="BO74">
        <v>178.84</v>
      </c>
      <c r="BQ74" t="s">
        <v>387</v>
      </c>
      <c r="BR74" t="s">
        <v>82</v>
      </c>
      <c r="BS74" s="3">
        <v>44610</v>
      </c>
      <c r="BT74" s="4">
        <v>0.35833333333333334</v>
      </c>
      <c r="BU74" t="s">
        <v>400</v>
      </c>
      <c r="BV74" t="s">
        <v>101</v>
      </c>
      <c r="BY74">
        <v>110141.07</v>
      </c>
      <c r="CA74" t="s">
        <v>389</v>
      </c>
      <c r="CC74" t="s">
        <v>385</v>
      </c>
      <c r="CD74">
        <v>2194</v>
      </c>
      <c r="CE74" t="s">
        <v>130</v>
      </c>
      <c r="CF74" s="3">
        <v>44610</v>
      </c>
      <c r="CI74">
        <v>2</v>
      </c>
      <c r="CJ74">
        <v>2</v>
      </c>
      <c r="CK74">
        <v>41</v>
      </c>
      <c r="CL74" t="s">
        <v>84</v>
      </c>
    </row>
    <row r="75" spans="1:90" x14ac:dyDescent="0.25">
      <c r="A75" t="s">
        <v>72</v>
      </c>
      <c r="B75" t="s">
        <v>73</v>
      </c>
      <c r="C75" t="s">
        <v>74</v>
      </c>
      <c r="E75" t="str">
        <f>"GAB2008327"</f>
        <v>GAB2008327</v>
      </c>
      <c r="F75" s="3">
        <v>44608</v>
      </c>
      <c r="G75">
        <v>202208</v>
      </c>
      <c r="H75" t="s">
        <v>75</v>
      </c>
      <c r="I75" t="s">
        <v>76</v>
      </c>
      <c r="J75" t="s">
        <v>77</v>
      </c>
      <c r="K75" t="s">
        <v>78</v>
      </c>
      <c r="L75" t="s">
        <v>401</v>
      </c>
      <c r="M75" t="s">
        <v>402</v>
      </c>
      <c r="N75" t="s">
        <v>403</v>
      </c>
      <c r="O75" t="s">
        <v>125</v>
      </c>
      <c r="P75" t="str">
        <f>"CT071987                      "</f>
        <v xml:space="preserve">CT071987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32.42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3</v>
      </c>
      <c r="BJ75">
        <v>5.2</v>
      </c>
      <c r="BK75">
        <v>6</v>
      </c>
      <c r="BL75">
        <v>121.87</v>
      </c>
      <c r="BM75">
        <v>18.28</v>
      </c>
      <c r="BN75">
        <v>140.15</v>
      </c>
      <c r="BO75">
        <v>140.15</v>
      </c>
      <c r="BQ75" t="s">
        <v>311</v>
      </c>
      <c r="BR75" t="s">
        <v>82</v>
      </c>
      <c r="BS75" s="3">
        <v>44610</v>
      </c>
      <c r="BT75" s="4">
        <v>0.41805555555555557</v>
      </c>
      <c r="BU75" t="s">
        <v>404</v>
      </c>
      <c r="BV75" t="s">
        <v>101</v>
      </c>
      <c r="BY75">
        <v>26124.29</v>
      </c>
      <c r="CA75" t="s">
        <v>405</v>
      </c>
      <c r="CC75" t="s">
        <v>402</v>
      </c>
      <c r="CD75">
        <v>699</v>
      </c>
      <c r="CE75" t="s">
        <v>130</v>
      </c>
      <c r="CF75" s="3">
        <v>44610</v>
      </c>
      <c r="CI75">
        <v>3</v>
      </c>
      <c r="CJ75">
        <v>2</v>
      </c>
      <c r="CK75">
        <v>41</v>
      </c>
      <c r="CL75" t="s">
        <v>84</v>
      </c>
    </row>
    <row r="76" spans="1:90" x14ac:dyDescent="0.25">
      <c r="A76" t="s">
        <v>72</v>
      </c>
      <c r="B76" t="s">
        <v>73</v>
      </c>
      <c r="C76" t="s">
        <v>74</v>
      </c>
      <c r="E76" t="str">
        <f>"GAB2008326"</f>
        <v>GAB2008326</v>
      </c>
      <c r="F76" s="3">
        <v>44608</v>
      </c>
      <c r="G76">
        <v>202208</v>
      </c>
      <c r="H76" t="s">
        <v>75</v>
      </c>
      <c r="I76" t="s">
        <v>76</v>
      </c>
      <c r="J76" t="s">
        <v>77</v>
      </c>
      <c r="K76" t="s">
        <v>78</v>
      </c>
      <c r="L76" t="s">
        <v>165</v>
      </c>
      <c r="M76" t="s">
        <v>166</v>
      </c>
      <c r="N76" t="s">
        <v>406</v>
      </c>
      <c r="O76" t="s">
        <v>125</v>
      </c>
      <c r="P76" t="str">
        <f>"CT071964 CT071963             "</f>
        <v xml:space="preserve">CT071964 CT071963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53.79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2</v>
      </c>
      <c r="BI76">
        <v>18.2</v>
      </c>
      <c r="BJ76">
        <v>30.5</v>
      </c>
      <c r="BK76">
        <v>31</v>
      </c>
      <c r="BL76">
        <v>198.76</v>
      </c>
      <c r="BM76">
        <v>29.81</v>
      </c>
      <c r="BN76">
        <v>228.57</v>
      </c>
      <c r="BO76">
        <v>228.57</v>
      </c>
      <c r="BQ76" t="s">
        <v>407</v>
      </c>
      <c r="BR76" t="s">
        <v>82</v>
      </c>
      <c r="BS76" s="3">
        <v>44610</v>
      </c>
      <c r="BT76" s="4">
        <v>0.43402777777777773</v>
      </c>
      <c r="BU76" t="s">
        <v>408</v>
      </c>
      <c r="BV76" t="s">
        <v>101</v>
      </c>
      <c r="BY76">
        <v>152519.98000000001</v>
      </c>
      <c r="CA76" t="s">
        <v>409</v>
      </c>
      <c r="CC76" t="s">
        <v>166</v>
      </c>
      <c r="CD76">
        <v>2</v>
      </c>
      <c r="CE76" t="s">
        <v>130</v>
      </c>
      <c r="CF76" s="3">
        <v>44610</v>
      </c>
      <c r="CI76">
        <v>2</v>
      </c>
      <c r="CJ76">
        <v>2</v>
      </c>
      <c r="CK76">
        <v>41</v>
      </c>
      <c r="CL76" t="s">
        <v>84</v>
      </c>
    </row>
    <row r="77" spans="1:90" x14ac:dyDescent="0.25">
      <c r="A77" t="s">
        <v>72</v>
      </c>
      <c r="B77" t="s">
        <v>73</v>
      </c>
      <c r="C77" t="s">
        <v>74</v>
      </c>
      <c r="E77" t="str">
        <f>"GAB2008335"</f>
        <v>GAB2008335</v>
      </c>
      <c r="F77" s="3">
        <v>44608</v>
      </c>
      <c r="G77">
        <v>202208</v>
      </c>
      <c r="H77" t="s">
        <v>75</v>
      </c>
      <c r="I77" t="s">
        <v>76</v>
      </c>
      <c r="J77" t="s">
        <v>77</v>
      </c>
      <c r="K77" t="s">
        <v>78</v>
      </c>
      <c r="L77" t="s">
        <v>185</v>
      </c>
      <c r="M77" t="s">
        <v>186</v>
      </c>
      <c r="N77" t="s">
        <v>410</v>
      </c>
      <c r="O77" t="s">
        <v>125</v>
      </c>
      <c r="P77" t="str">
        <f>"CT072042 CT072043 CT072044 CT0"</f>
        <v>CT072042 CT072043 CT072044 CT0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69.09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2</v>
      </c>
      <c r="BI77">
        <v>15.7</v>
      </c>
      <c r="BJ77">
        <v>24.2</v>
      </c>
      <c r="BK77">
        <v>25</v>
      </c>
      <c r="BL77">
        <v>253.79</v>
      </c>
      <c r="BM77">
        <v>38.07</v>
      </c>
      <c r="BN77">
        <v>291.86</v>
      </c>
      <c r="BO77">
        <v>291.86</v>
      </c>
      <c r="BQ77" t="s">
        <v>411</v>
      </c>
      <c r="BR77" t="s">
        <v>82</v>
      </c>
      <c r="BS77" s="3">
        <v>44610</v>
      </c>
      <c r="BT77" s="4">
        <v>0.55902777777777779</v>
      </c>
      <c r="BU77" t="s">
        <v>412</v>
      </c>
      <c r="BV77" t="s">
        <v>101</v>
      </c>
      <c r="BY77">
        <v>120767.85</v>
      </c>
      <c r="CA77" t="s">
        <v>413</v>
      </c>
      <c r="CC77" t="s">
        <v>186</v>
      </c>
      <c r="CD77">
        <v>2745</v>
      </c>
      <c r="CE77" t="s">
        <v>130</v>
      </c>
      <c r="CF77" s="3">
        <v>44613</v>
      </c>
      <c r="CI77">
        <v>2</v>
      </c>
      <c r="CJ77">
        <v>2</v>
      </c>
      <c r="CK77">
        <v>43</v>
      </c>
      <c r="CL77" t="s">
        <v>84</v>
      </c>
    </row>
    <row r="78" spans="1:90" x14ac:dyDescent="0.25">
      <c r="A78" t="s">
        <v>72</v>
      </c>
      <c r="B78" t="s">
        <v>73</v>
      </c>
      <c r="C78" t="s">
        <v>74</v>
      </c>
      <c r="E78" t="str">
        <f>"GAB2008389"</f>
        <v>GAB2008389</v>
      </c>
      <c r="F78" s="3">
        <v>44613</v>
      </c>
      <c r="G78">
        <v>202208</v>
      </c>
      <c r="H78" t="s">
        <v>75</v>
      </c>
      <c r="I78" t="s">
        <v>76</v>
      </c>
      <c r="J78" t="s">
        <v>77</v>
      </c>
      <c r="K78" t="s">
        <v>78</v>
      </c>
      <c r="L78" t="s">
        <v>414</v>
      </c>
      <c r="M78" t="s">
        <v>415</v>
      </c>
      <c r="N78" t="s">
        <v>416</v>
      </c>
      <c r="O78" t="s">
        <v>125</v>
      </c>
      <c r="P78" t="str">
        <f>"CT072112                      "</f>
        <v xml:space="preserve">CT072112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45.72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0.9</v>
      </c>
      <c r="BJ78">
        <v>1.6</v>
      </c>
      <c r="BK78">
        <v>2</v>
      </c>
      <c r="BL78">
        <v>169.72</v>
      </c>
      <c r="BM78">
        <v>25.46</v>
      </c>
      <c r="BN78">
        <v>195.18</v>
      </c>
      <c r="BO78">
        <v>195.18</v>
      </c>
      <c r="BQ78" t="s">
        <v>311</v>
      </c>
      <c r="BR78" t="s">
        <v>82</v>
      </c>
      <c r="BS78" s="3">
        <v>44615</v>
      </c>
      <c r="BT78" s="4">
        <v>0.4236111111111111</v>
      </c>
      <c r="BU78" t="s">
        <v>417</v>
      </c>
      <c r="BV78" t="s">
        <v>101</v>
      </c>
      <c r="BY78">
        <v>8208</v>
      </c>
      <c r="CA78" t="s">
        <v>418</v>
      </c>
      <c r="CC78" t="s">
        <v>415</v>
      </c>
      <c r="CD78">
        <v>1030</v>
      </c>
      <c r="CE78" t="s">
        <v>130</v>
      </c>
      <c r="CI78">
        <v>3</v>
      </c>
      <c r="CJ78">
        <v>2</v>
      </c>
      <c r="CK78">
        <v>43</v>
      </c>
      <c r="CL78" t="s">
        <v>84</v>
      </c>
    </row>
    <row r="79" spans="1:90" x14ac:dyDescent="0.25">
      <c r="A79" t="s">
        <v>72</v>
      </c>
      <c r="B79" t="s">
        <v>73</v>
      </c>
      <c r="C79" t="s">
        <v>74</v>
      </c>
      <c r="E79" t="str">
        <f>"GAB2008410"</f>
        <v>GAB2008410</v>
      </c>
      <c r="F79" s="3">
        <v>44614</v>
      </c>
      <c r="G79">
        <v>202208</v>
      </c>
      <c r="H79" t="s">
        <v>75</v>
      </c>
      <c r="I79" t="s">
        <v>76</v>
      </c>
      <c r="J79" t="s">
        <v>77</v>
      </c>
      <c r="K79" t="s">
        <v>78</v>
      </c>
      <c r="L79" t="s">
        <v>159</v>
      </c>
      <c r="M79" t="s">
        <v>160</v>
      </c>
      <c r="N79" t="s">
        <v>419</v>
      </c>
      <c r="O79" t="s">
        <v>80</v>
      </c>
      <c r="P79" t="str">
        <f>"CT072129                      "</f>
        <v xml:space="preserve">CT072129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32.479999999999997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0.8</v>
      </c>
      <c r="BJ79">
        <v>1.9</v>
      </c>
      <c r="BK79">
        <v>2</v>
      </c>
      <c r="BL79">
        <v>116.84</v>
      </c>
      <c r="BM79">
        <v>17.53</v>
      </c>
      <c r="BN79">
        <v>134.37</v>
      </c>
      <c r="BO79">
        <v>134.37</v>
      </c>
      <c r="BQ79" t="s">
        <v>420</v>
      </c>
      <c r="BR79" t="s">
        <v>82</v>
      </c>
      <c r="BS79" s="3">
        <v>44615</v>
      </c>
      <c r="BT79" s="4">
        <v>0.4368055555555555</v>
      </c>
      <c r="BU79" t="s">
        <v>421</v>
      </c>
      <c r="BV79" t="s">
        <v>101</v>
      </c>
      <c r="BY79">
        <v>9424.7999999999993</v>
      </c>
      <c r="BZ79" t="s">
        <v>87</v>
      </c>
      <c r="CA79" t="s">
        <v>422</v>
      </c>
      <c r="CC79" t="s">
        <v>160</v>
      </c>
      <c r="CD79">
        <v>9459</v>
      </c>
      <c r="CE79" t="s">
        <v>333</v>
      </c>
      <c r="CF79" s="3">
        <v>44615</v>
      </c>
      <c r="CI79">
        <v>1</v>
      </c>
      <c r="CJ79">
        <v>1</v>
      </c>
      <c r="CK79">
        <v>23</v>
      </c>
      <c r="CL79" t="s">
        <v>84</v>
      </c>
    </row>
    <row r="80" spans="1:90" x14ac:dyDescent="0.25">
      <c r="A80" t="s">
        <v>72</v>
      </c>
      <c r="B80" t="s">
        <v>73</v>
      </c>
      <c r="C80" t="s">
        <v>74</v>
      </c>
      <c r="E80" t="str">
        <f>"GAB2008433"</f>
        <v>GAB2008433</v>
      </c>
      <c r="F80" s="3">
        <v>44614</v>
      </c>
      <c r="G80">
        <v>202208</v>
      </c>
      <c r="H80" t="s">
        <v>75</v>
      </c>
      <c r="I80" t="s">
        <v>76</v>
      </c>
      <c r="J80" t="s">
        <v>77</v>
      </c>
      <c r="K80" t="s">
        <v>78</v>
      </c>
      <c r="L80" t="s">
        <v>75</v>
      </c>
      <c r="M80" t="s">
        <v>76</v>
      </c>
      <c r="N80" t="s">
        <v>104</v>
      </c>
      <c r="O80" t="s">
        <v>80</v>
      </c>
      <c r="P80" t="str">
        <f>"CT072147                      "</f>
        <v xml:space="preserve">CT072147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13.09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0.4</v>
      </c>
      <c r="BJ80">
        <v>3</v>
      </c>
      <c r="BK80">
        <v>3</v>
      </c>
      <c r="BL80">
        <v>47.1</v>
      </c>
      <c r="BM80">
        <v>7.07</v>
      </c>
      <c r="BN80">
        <v>54.17</v>
      </c>
      <c r="BO80">
        <v>54.17</v>
      </c>
      <c r="BQ80" t="s">
        <v>105</v>
      </c>
      <c r="BR80" t="s">
        <v>82</v>
      </c>
      <c r="BS80" s="3">
        <v>44615</v>
      </c>
      <c r="BT80" s="4">
        <v>0.4055555555555555</v>
      </c>
      <c r="BU80" t="s">
        <v>106</v>
      </c>
      <c r="BV80" t="s">
        <v>101</v>
      </c>
      <c r="BY80">
        <v>15176.7</v>
      </c>
      <c r="BZ80" t="s">
        <v>87</v>
      </c>
      <c r="CA80" t="s">
        <v>107</v>
      </c>
      <c r="CC80" t="s">
        <v>76</v>
      </c>
      <c r="CD80">
        <v>7441</v>
      </c>
      <c r="CE80" t="s">
        <v>108</v>
      </c>
      <c r="CF80" s="3">
        <v>44616</v>
      </c>
      <c r="CI80">
        <v>1</v>
      </c>
      <c r="CJ80">
        <v>1</v>
      </c>
      <c r="CK80">
        <v>22</v>
      </c>
      <c r="CL80" t="s">
        <v>84</v>
      </c>
    </row>
    <row r="81" spans="1:90" x14ac:dyDescent="0.25">
      <c r="A81" t="s">
        <v>72</v>
      </c>
      <c r="B81" t="s">
        <v>73</v>
      </c>
      <c r="C81" t="s">
        <v>74</v>
      </c>
      <c r="E81" t="str">
        <f>"GAB2008432"</f>
        <v>GAB2008432</v>
      </c>
      <c r="F81" s="3">
        <v>44614</v>
      </c>
      <c r="G81">
        <v>202208</v>
      </c>
      <c r="H81" t="s">
        <v>75</v>
      </c>
      <c r="I81" t="s">
        <v>76</v>
      </c>
      <c r="J81" t="s">
        <v>77</v>
      </c>
      <c r="K81" t="s">
        <v>78</v>
      </c>
      <c r="L81" t="s">
        <v>165</v>
      </c>
      <c r="M81" t="s">
        <v>166</v>
      </c>
      <c r="N81" t="s">
        <v>423</v>
      </c>
      <c r="O81" t="s">
        <v>80</v>
      </c>
      <c r="P81" t="str">
        <f>"ORD007109                     "</f>
        <v xml:space="preserve">ORD007109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20.95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0.3</v>
      </c>
      <c r="BJ81">
        <v>2.2999999999999998</v>
      </c>
      <c r="BK81">
        <v>2.5</v>
      </c>
      <c r="BL81">
        <v>75.37</v>
      </c>
      <c r="BM81">
        <v>11.31</v>
      </c>
      <c r="BN81">
        <v>86.68</v>
      </c>
      <c r="BO81">
        <v>86.68</v>
      </c>
      <c r="BQ81" t="s">
        <v>424</v>
      </c>
      <c r="BR81" t="s">
        <v>82</v>
      </c>
      <c r="BS81" s="3">
        <v>44615</v>
      </c>
      <c r="BT81" s="4">
        <v>0.4368055555555555</v>
      </c>
      <c r="BU81" t="s">
        <v>425</v>
      </c>
      <c r="BV81" t="s">
        <v>101</v>
      </c>
      <c r="BY81">
        <v>11536.2</v>
      </c>
      <c r="BZ81" t="s">
        <v>87</v>
      </c>
      <c r="CA81" t="s">
        <v>426</v>
      </c>
      <c r="CC81" t="s">
        <v>166</v>
      </c>
      <c r="CD81">
        <v>2</v>
      </c>
      <c r="CE81" t="s">
        <v>427</v>
      </c>
      <c r="CI81">
        <v>1</v>
      </c>
      <c r="CJ81">
        <v>1</v>
      </c>
      <c r="CK81">
        <v>21</v>
      </c>
      <c r="CL81" t="s">
        <v>84</v>
      </c>
    </row>
    <row r="82" spans="1:90" x14ac:dyDescent="0.25">
      <c r="A82" t="s">
        <v>72</v>
      </c>
      <c r="B82" t="s">
        <v>73</v>
      </c>
      <c r="C82" t="s">
        <v>74</v>
      </c>
      <c r="E82" t="str">
        <f>"GAB2008431"</f>
        <v>GAB2008431</v>
      </c>
      <c r="F82" s="3">
        <v>44614</v>
      </c>
      <c r="G82">
        <v>202208</v>
      </c>
      <c r="H82" t="s">
        <v>75</v>
      </c>
      <c r="I82" t="s">
        <v>76</v>
      </c>
      <c r="J82" t="s">
        <v>77</v>
      </c>
      <c r="K82" t="s">
        <v>78</v>
      </c>
      <c r="L82" t="s">
        <v>165</v>
      </c>
      <c r="M82" t="s">
        <v>166</v>
      </c>
      <c r="N82" t="s">
        <v>428</v>
      </c>
      <c r="O82" t="s">
        <v>80</v>
      </c>
      <c r="P82" t="str">
        <f>"ORD007122                     "</f>
        <v xml:space="preserve">ORD007122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16.760000000000002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0.3</v>
      </c>
      <c r="BJ82">
        <v>1.9</v>
      </c>
      <c r="BK82">
        <v>2</v>
      </c>
      <c r="BL82">
        <v>60.3</v>
      </c>
      <c r="BM82">
        <v>9.0500000000000007</v>
      </c>
      <c r="BN82">
        <v>69.349999999999994</v>
      </c>
      <c r="BO82">
        <v>69.349999999999994</v>
      </c>
      <c r="BQ82" t="s">
        <v>429</v>
      </c>
      <c r="BR82" t="s">
        <v>82</v>
      </c>
      <c r="BS82" s="3">
        <v>44615</v>
      </c>
      <c r="BT82" s="4">
        <v>0.32291666666666669</v>
      </c>
      <c r="BU82" t="s">
        <v>430</v>
      </c>
      <c r="BV82" t="s">
        <v>101</v>
      </c>
      <c r="BY82">
        <v>9678.24</v>
      </c>
      <c r="BZ82" t="s">
        <v>87</v>
      </c>
      <c r="CA82" t="s">
        <v>431</v>
      </c>
      <c r="CC82" t="s">
        <v>166</v>
      </c>
      <c r="CD82">
        <v>2</v>
      </c>
      <c r="CE82" t="s">
        <v>432</v>
      </c>
      <c r="CF82" s="3">
        <v>44615</v>
      </c>
      <c r="CI82">
        <v>1</v>
      </c>
      <c r="CJ82">
        <v>1</v>
      </c>
      <c r="CK82">
        <v>21</v>
      </c>
      <c r="CL82" t="s">
        <v>84</v>
      </c>
    </row>
    <row r="83" spans="1:90" x14ac:dyDescent="0.25">
      <c r="A83" t="s">
        <v>72</v>
      </c>
      <c r="B83" t="s">
        <v>73</v>
      </c>
      <c r="C83" t="s">
        <v>74</v>
      </c>
      <c r="E83" t="str">
        <f>"GAB2008421"</f>
        <v>GAB2008421</v>
      </c>
      <c r="F83" s="3">
        <v>44614</v>
      </c>
      <c r="G83">
        <v>202208</v>
      </c>
      <c r="H83" t="s">
        <v>75</v>
      </c>
      <c r="I83" t="s">
        <v>76</v>
      </c>
      <c r="J83" t="s">
        <v>77</v>
      </c>
      <c r="K83" t="s">
        <v>78</v>
      </c>
      <c r="L83" t="s">
        <v>210</v>
      </c>
      <c r="M83" t="s">
        <v>211</v>
      </c>
      <c r="N83" t="s">
        <v>212</v>
      </c>
      <c r="O83" t="s">
        <v>80</v>
      </c>
      <c r="P83" t="str">
        <f>"ORD007145                     "</f>
        <v xml:space="preserve">ORD007145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23.58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0.3</v>
      </c>
      <c r="BJ83">
        <v>1.5</v>
      </c>
      <c r="BK83">
        <v>1.5</v>
      </c>
      <c r="BL83">
        <v>84.82</v>
      </c>
      <c r="BM83">
        <v>12.72</v>
      </c>
      <c r="BN83">
        <v>97.54</v>
      </c>
      <c r="BO83">
        <v>97.54</v>
      </c>
      <c r="BQ83" t="s">
        <v>213</v>
      </c>
      <c r="BR83" t="s">
        <v>82</v>
      </c>
      <c r="BS83" s="3">
        <v>44615</v>
      </c>
      <c r="BT83" s="4">
        <v>0.67569444444444438</v>
      </c>
      <c r="BU83" t="s">
        <v>433</v>
      </c>
      <c r="BV83" t="s">
        <v>101</v>
      </c>
      <c r="BY83">
        <v>7288.16</v>
      </c>
      <c r="BZ83" t="s">
        <v>87</v>
      </c>
      <c r="CA83" t="s">
        <v>215</v>
      </c>
      <c r="CC83" t="s">
        <v>211</v>
      </c>
      <c r="CD83">
        <v>7380</v>
      </c>
      <c r="CE83" t="s">
        <v>103</v>
      </c>
      <c r="CF83" s="3">
        <v>44616</v>
      </c>
      <c r="CI83">
        <v>5</v>
      </c>
      <c r="CJ83">
        <v>1</v>
      </c>
      <c r="CK83">
        <v>24</v>
      </c>
      <c r="CL83" t="s">
        <v>84</v>
      </c>
    </row>
    <row r="84" spans="1:90" x14ac:dyDescent="0.25">
      <c r="A84" t="s">
        <v>72</v>
      </c>
      <c r="B84" t="s">
        <v>73</v>
      </c>
      <c r="C84" t="s">
        <v>74</v>
      </c>
      <c r="E84" t="str">
        <f>"GAB2008423"</f>
        <v>GAB2008423</v>
      </c>
      <c r="F84" s="3">
        <v>44614</v>
      </c>
      <c r="G84">
        <v>202208</v>
      </c>
      <c r="H84" t="s">
        <v>75</v>
      </c>
      <c r="I84" t="s">
        <v>76</v>
      </c>
      <c r="J84" t="s">
        <v>77</v>
      </c>
      <c r="K84" t="s">
        <v>78</v>
      </c>
      <c r="L84" t="s">
        <v>153</v>
      </c>
      <c r="M84" t="s">
        <v>154</v>
      </c>
      <c r="N84" t="s">
        <v>243</v>
      </c>
      <c r="O84" t="s">
        <v>80</v>
      </c>
      <c r="P84" t="str">
        <f>"CT072153                      "</f>
        <v xml:space="preserve">CT072153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25.14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0.4</v>
      </c>
      <c r="BJ84">
        <v>2.7</v>
      </c>
      <c r="BK84">
        <v>3</v>
      </c>
      <c r="BL84">
        <v>90.44</v>
      </c>
      <c r="BM84">
        <v>13.57</v>
      </c>
      <c r="BN84">
        <v>104.01</v>
      </c>
      <c r="BO84">
        <v>104.01</v>
      </c>
      <c r="BQ84" t="s">
        <v>244</v>
      </c>
      <c r="BR84" t="s">
        <v>82</v>
      </c>
      <c r="BS84" s="3">
        <v>44615</v>
      </c>
      <c r="BT84" s="4">
        <v>0.33819444444444446</v>
      </c>
      <c r="BU84" t="s">
        <v>434</v>
      </c>
      <c r="BV84" t="s">
        <v>101</v>
      </c>
      <c r="BY84">
        <v>13359.75</v>
      </c>
      <c r="BZ84" t="s">
        <v>87</v>
      </c>
      <c r="CA84" t="s">
        <v>174</v>
      </c>
      <c r="CC84" t="s">
        <v>154</v>
      </c>
      <c r="CD84">
        <v>2196</v>
      </c>
      <c r="CE84" t="s">
        <v>103</v>
      </c>
      <c r="CI84">
        <v>1</v>
      </c>
      <c r="CJ84">
        <v>1</v>
      </c>
      <c r="CK84">
        <v>21</v>
      </c>
      <c r="CL84" t="s">
        <v>84</v>
      </c>
    </row>
    <row r="85" spans="1:90" x14ac:dyDescent="0.25">
      <c r="A85" t="s">
        <v>72</v>
      </c>
      <c r="B85" t="s">
        <v>73</v>
      </c>
      <c r="C85" t="s">
        <v>74</v>
      </c>
      <c r="E85" t="str">
        <f>"GAB2008426"</f>
        <v>GAB2008426</v>
      </c>
      <c r="F85" s="3">
        <v>44614</v>
      </c>
      <c r="G85">
        <v>202208</v>
      </c>
      <c r="H85" t="s">
        <v>75</v>
      </c>
      <c r="I85" t="s">
        <v>76</v>
      </c>
      <c r="J85" t="s">
        <v>77</v>
      </c>
      <c r="K85" t="s">
        <v>78</v>
      </c>
      <c r="L85" t="s">
        <v>435</v>
      </c>
      <c r="M85" t="s">
        <v>436</v>
      </c>
      <c r="N85" t="s">
        <v>437</v>
      </c>
      <c r="O85" t="s">
        <v>80</v>
      </c>
      <c r="P85" t="str">
        <f>"ORD007147                     "</f>
        <v xml:space="preserve">ORD007147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39.81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0.1</v>
      </c>
      <c r="BJ85">
        <v>2.5</v>
      </c>
      <c r="BK85">
        <v>2.5</v>
      </c>
      <c r="BL85">
        <v>143.22</v>
      </c>
      <c r="BM85">
        <v>21.48</v>
      </c>
      <c r="BN85">
        <v>164.7</v>
      </c>
      <c r="BO85">
        <v>164.7</v>
      </c>
      <c r="BQ85" t="s">
        <v>438</v>
      </c>
      <c r="BR85" t="s">
        <v>82</v>
      </c>
      <c r="BS85" s="3">
        <v>44615</v>
      </c>
      <c r="BT85" s="4">
        <v>0.40069444444444446</v>
      </c>
      <c r="BU85" t="s">
        <v>439</v>
      </c>
      <c r="BV85" t="s">
        <v>101</v>
      </c>
      <c r="BY85">
        <v>12363.84</v>
      </c>
      <c r="BZ85" t="s">
        <v>87</v>
      </c>
      <c r="CA85" t="s">
        <v>440</v>
      </c>
      <c r="CC85" t="s">
        <v>436</v>
      </c>
      <c r="CD85">
        <v>2570</v>
      </c>
      <c r="CE85" t="s">
        <v>89</v>
      </c>
      <c r="CF85" s="3">
        <v>44616</v>
      </c>
      <c r="CI85">
        <v>1</v>
      </c>
      <c r="CJ85">
        <v>1</v>
      </c>
      <c r="CK85">
        <v>23</v>
      </c>
      <c r="CL85" t="s">
        <v>84</v>
      </c>
    </row>
    <row r="86" spans="1:90" x14ac:dyDescent="0.25">
      <c r="A86" t="s">
        <v>72</v>
      </c>
      <c r="B86" t="s">
        <v>73</v>
      </c>
      <c r="C86" t="s">
        <v>74</v>
      </c>
      <c r="E86" t="str">
        <f>"GAB2008427"</f>
        <v>GAB2008427</v>
      </c>
      <c r="F86" s="3">
        <v>44614</v>
      </c>
      <c r="G86">
        <v>202208</v>
      </c>
      <c r="H86" t="s">
        <v>75</v>
      </c>
      <c r="I86" t="s">
        <v>76</v>
      </c>
      <c r="J86" t="s">
        <v>77</v>
      </c>
      <c r="K86" t="s">
        <v>78</v>
      </c>
      <c r="L86" t="s">
        <v>441</v>
      </c>
      <c r="M86" t="s">
        <v>442</v>
      </c>
      <c r="N86" t="s">
        <v>443</v>
      </c>
      <c r="O86" t="s">
        <v>80</v>
      </c>
      <c r="P86" t="str">
        <f>"ORD007151                     "</f>
        <v xml:space="preserve">ORD007151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39.81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0.2</v>
      </c>
      <c r="BJ86">
        <v>2.2000000000000002</v>
      </c>
      <c r="BK86">
        <v>2.5</v>
      </c>
      <c r="BL86">
        <v>143.22</v>
      </c>
      <c r="BM86">
        <v>21.48</v>
      </c>
      <c r="BN86">
        <v>164.7</v>
      </c>
      <c r="BO86">
        <v>164.7</v>
      </c>
      <c r="BQ86" t="s">
        <v>444</v>
      </c>
      <c r="BR86" t="s">
        <v>82</v>
      </c>
      <c r="BS86" s="3">
        <v>44615</v>
      </c>
      <c r="BT86" s="4">
        <v>0.36944444444444446</v>
      </c>
      <c r="BU86" t="s">
        <v>445</v>
      </c>
      <c r="BV86" t="s">
        <v>101</v>
      </c>
      <c r="BY86">
        <v>10972.15</v>
      </c>
      <c r="BZ86" t="s">
        <v>87</v>
      </c>
      <c r="CA86" t="s">
        <v>446</v>
      </c>
      <c r="CC86" t="s">
        <v>442</v>
      </c>
      <c r="CD86">
        <v>1035</v>
      </c>
      <c r="CE86" t="s">
        <v>152</v>
      </c>
      <c r="CI86">
        <v>1</v>
      </c>
      <c r="CJ86">
        <v>1</v>
      </c>
      <c r="CK86">
        <v>23</v>
      </c>
      <c r="CL86" t="s">
        <v>84</v>
      </c>
    </row>
    <row r="87" spans="1:90" x14ac:dyDescent="0.25">
      <c r="A87" t="s">
        <v>72</v>
      </c>
      <c r="B87" t="s">
        <v>73</v>
      </c>
      <c r="C87" t="s">
        <v>74</v>
      </c>
      <c r="E87" t="str">
        <f>"GAB2008429"</f>
        <v>GAB2008429</v>
      </c>
      <c r="F87" s="3">
        <v>44614</v>
      </c>
      <c r="G87">
        <v>202208</v>
      </c>
      <c r="H87" t="s">
        <v>75</v>
      </c>
      <c r="I87" t="s">
        <v>76</v>
      </c>
      <c r="J87" t="s">
        <v>77</v>
      </c>
      <c r="K87" t="s">
        <v>78</v>
      </c>
      <c r="L87" t="s">
        <v>447</v>
      </c>
      <c r="M87" t="s">
        <v>448</v>
      </c>
      <c r="N87" t="s">
        <v>449</v>
      </c>
      <c r="O87" t="s">
        <v>80</v>
      </c>
      <c r="P87" t="str">
        <f>"M.FICK PLEASE HOLD FOR COLLECT"</f>
        <v>M.FICK PLEASE HOLD FOR COLLECT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20.95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0.1</v>
      </c>
      <c r="BJ87">
        <v>2.2000000000000002</v>
      </c>
      <c r="BK87">
        <v>2.5</v>
      </c>
      <c r="BL87">
        <v>75.37</v>
      </c>
      <c r="BM87">
        <v>11.31</v>
      </c>
      <c r="BN87">
        <v>86.68</v>
      </c>
      <c r="BO87">
        <v>86.68</v>
      </c>
      <c r="BQ87" t="s">
        <v>450</v>
      </c>
      <c r="BR87" t="s">
        <v>82</v>
      </c>
      <c r="BS87" s="3">
        <v>44615</v>
      </c>
      <c r="BT87" s="4">
        <v>0.37986111111111115</v>
      </c>
      <c r="BU87" t="s">
        <v>451</v>
      </c>
      <c r="BV87" t="s">
        <v>101</v>
      </c>
      <c r="BY87">
        <v>11080</v>
      </c>
      <c r="BZ87" t="s">
        <v>87</v>
      </c>
      <c r="CA87" t="s">
        <v>452</v>
      </c>
      <c r="CC87" t="s">
        <v>448</v>
      </c>
      <c r="CD87">
        <v>1682</v>
      </c>
      <c r="CE87" t="s">
        <v>224</v>
      </c>
      <c r="CI87">
        <v>1</v>
      </c>
      <c r="CJ87">
        <v>1</v>
      </c>
      <c r="CK87">
        <v>21</v>
      </c>
      <c r="CL87" t="s">
        <v>84</v>
      </c>
    </row>
    <row r="88" spans="1:90" x14ac:dyDescent="0.25">
      <c r="A88" t="s">
        <v>72</v>
      </c>
      <c r="B88" t="s">
        <v>73</v>
      </c>
      <c r="C88" t="s">
        <v>74</v>
      </c>
      <c r="E88" t="str">
        <f>"GAB2008415"</f>
        <v>GAB2008415</v>
      </c>
      <c r="F88" s="3">
        <v>44614</v>
      </c>
      <c r="G88">
        <v>202208</v>
      </c>
      <c r="H88" t="s">
        <v>75</v>
      </c>
      <c r="I88" t="s">
        <v>76</v>
      </c>
      <c r="J88" t="s">
        <v>77</v>
      </c>
      <c r="K88" t="s">
        <v>78</v>
      </c>
      <c r="L88" t="s">
        <v>453</v>
      </c>
      <c r="M88" t="s">
        <v>454</v>
      </c>
      <c r="N88" t="s">
        <v>455</v>
      </c>
      <c r="O88" t="s">
        <v>80</v>
      </c>
      <c r="P88" t="str">
        <f>"CT072138                      "</f>
        <v xml:space="preserve">CT072138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39.81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0.2</v>
      </c>
      <c r="BJ88">
        <v>2.2000000000000002</v>
      </c>
      <c r="BK88">
        <v>2.5</v>
      </c>
      <c r="BL88">
        <v>143.22</v>
      </c>
      <c r="BM88">
        <v>21.48</v>
      </c>
      <c r="BN88">
        <v>164.7</v>
      </c>
      <c r="BO88">
        <v>164.7</v>
      </c>
      <c r="BQ88" t="s">
        <v>456</v>
      </c>
      <c r="BR88" t="s">
        <v>82</v>
      </c>
      <c r="BS88" s="3">
        <v>44615</v>
      </c>
      <c r="BT88" s="4">
        <v>0.53749999999999998</v>
      </c>
      <c r="BU88" t="s">
        <v>457</v>
      </c>
      <c r="BV88" t="s">
        <v>101</v>
      </c>
      <c r="BY88">
        <v>11026.08</v>
      </c>
      <c r="BZ88" t="s">
        <v>87</v>
      </c>
      <c r="CA88" t="s">
        <v>458</v>
      </c>
      <c r="CC88" t="s">
        <v>454</v>
      </c>
      <c r="CD88">
        <v>555</v>
      </c>
      <c r="CE88" t="s">
        <v>152</v>
      </c>
      <c r="CI88">
        <v>1</v>
      </c>
      <c r="CJ88">
        <v>1</v>
      </c>
      <c r="CK88">
        <v>23</v>
      </c>
      <c r="CL88" t="s">
        <v>84</v>
      </c>
    </row>
    <row r="89" spans="1:90" x14ac:dyDescent="0.25">
      <c r="A89" t="s">
        <v>72</v>
      </c>
      <c r="B89" t="s">
        <v>73</v>
      </c>
      <c r="C89" t="s">
        <v>74</v>
      </c>
      <c r="E89" t="str">
        <f>"GAB2008430"</f>
        <v>GAB2008430</v>
      </c>
      <c r="F89" s="3">
        <v>44614</v>
      </c>
      <c r="G89">
        <v>202208</v>
      </c>
      <c r="H89" t="s">
        <v>75</v>
      </c>
      <c r="I89" t="s">
        <v>76</v>
      </c>
      <c r="J89" t="s">
        <v>77</v>
      </c>
      <c r="K89" t="s">
        <v>78</v>
      </c>
      <c r="L89" t="s">
        <v>75</v>
      </c>
      <c r="M89" t="s">
        <v>76</v>
      </c>
      <c r="N89" t="s">
        <v>459</v>
      </c>
      <c r="O89" t="s">
        <v>80</v>
      </c>
      <c r="P89" t="str">
        <f>"CT072158                      "</f>
        <v xml:space="preserve">CT072158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13.09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0.6</v>
      </c>
      <c r="BJ89">
        <v>1.8</v>
      </c>
      <c r="BK89">
        <v>2</v>
      </c>
      <c r="BL89">
        <v>47.1</v>
      </c>
      <c r="BM89">
        <v>7.07</v>
      </c>
      <c r="BN89">
        <v>54.17</v>
      </c>
      <c r="BO89">
        <v>54.17</v>
      </c>
      <c r="BQ89" t="s">
        <v>460</v>
      </c>
      <c r="BR89" t="s">
        <v>82</v>
      </c>
      <c r="BS89" s="3">
        <v>44615</v>
      </c>
      <c r="BT89" s="4">
        <v>0.4291666666666667</v>
      </c>
      <c r="BU89" t="s">
        <v>461</v>
      </c>
      <c r="BV89" t="s">
        <v>101</v>
      </c>
      <c r="BY89">
        <v>9095.6299999999992</v>
      </c>
      <c r="BZ89" t="s">
        <v>87</v>
      </c>
      <c r="CA89" t="s">
        <v>102</v>
      </c>
      <c r="CC89" t="s">
        <v>76</v>
      </c>
      <c r="CD89">
        <v>7806</v>
      </c>
      <c r="CE89" t="s">
        <v>333</v>
      </c>
      <c r="CF89" s="3">
        <v>44616</v>
      </c>
      <c r="CI89">
        <v>1</v>
      </c>
      <c r="CJ89">
        <v>1</v>
      </c>
      <c r="CK89">
        <v>22</v>
      </c>
      <c r="CL89" t="s">
        <v>84</v>
      </c>
    </row>
    <row r="90" spans="1:90" x14ac:dyDescent="0.25">
      <c r="A90" t="s">
        <v>72</v>
      </c>
      <c r="B90" t="s">
        <v>73</v>
      </c>
      <c r="C90" t="s">
        <v>74</v>
      </c>
      <c r="E90" t="str">
        <f>"GAB2008419"</f>
        <v>GAB2008419</v>
      </c>
      <c r="F90" s="3">
        <v>44614</v>
      </c>
      <c r="G90">
        <v>202208</v>
      </c>
      <c r="H90" t="s">
        <v>75</v>
      </c>
      <c r="I90" t="s">
        <v>76</v>
      </c>
      <c r="J90" t="s">
        <v>77</v>
      </c>
      <c r="K90" t="s">
        <v>78</v>
      </c>
      <c r="L90" t="s">
        <v>153</v>
      </c>
      <c r="M90" t="s">
        <v>154</v>
      </c>
      <c r="N90" t="s">
        <v>462</v>
      </c>
      <c r="O90" t="s">
        <v>80</v>
      </c>
      <c r="P90" t="str">
        <f>"CT072143                      "</f>
        <v xml:space="preserve">CT072143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25.14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0.2</v>
      </c>
      <c r="BJ90">
        <v>2.8</v>
      </c>
      <c r="BK90">
        <v>3</v>
      </c>
      <c r="BL90">
        <v>90.44</v>
      </c>
      <c r="BM90">
        <v>13.57</v>
      </c>
      <c r="BN90">
        <v>104.01</v>
      </c>
      <c r="BO90">
        <v>104.01</v>
      </c>
      <c r="BQ90" t="s">
        <v>463</v>
      </c>
      <c r="BR90" t="s">
        <v>82</v>
      </c>
      <c r="BS90" s="3">
        <v>44615</v>
      </c>
      <c r="BT90" s="4">
        <v>0.33124999999999999</v>
      </c>
      <c r="BU90" t="s">
        <v>464</v>
      </c>
      <c r="BV90" t="s">
        <v>101</v>
      </c>
      <c r="BY90">
        <v>13876.5</v>
      </c>
      <c r="BZ90" t="s">
        <v>87</v>
      </c>
      <c r="CA90" t="s">
        <v>465</v>
      </c>
      <c r="CC90" t="s">
        <v>154</v>
      </c>
      <c r="CD90">
        <v>2021</v>
      </c>
      <c r="CE90" t="s">
        <v>152</v>
      </c>
      <c r="CI90">
        <v>1</v>
      </c>
      <c r="CJ90">
        <v>1</v>
      </c>
      <c r="CK90">
        <v>21</v>
      </c>
      <c r="CL90" t="s">
        <v>84</v>
      </c>
    </row>
    <row r="91" spans="1:90" x14ac:dyDescent="0.25">
      <c r="A91" t="s">
        <v>72</v>
      </c>
      <c r="B91" t="s">
        <v>73</v>
      </c>
      <c r="C91" t="s">
        <v>74</v>
      </c>
      <c r="E91" t="str">
        <f>"GAB2008436"</f>
        <v>GAB2008436</v>
      </c>
      <c r="F91" s="3">
        <v>44614</v>
      </c>
      <c r="G91">
        <v>202208</v>
      </c>
      <c r="H91" t="s">
        <v>75</v>
      </c>
      <c r="I91" t="s">
        <v>76</v>
      </c>
      <c r="J91" t="s">
        <v>77</v>
      </c>
      <c r="K91" t="s">
        <v>78</v>
      </c>
      <c r="L91" t="s">
        <v>109</v>
      </c>
      <c r="M91" t="s">
        <v>110</v>
      </c>
      <c r="N91" t="s">
        <v>111</v>
      </c>
      <c r="O91" t="s">
        <v>80</v>
      </c>
      <c r="P91" t="str">
        <f>"CT072160                      "</f>
        <v xml:space="preserve">CT072160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16.760000000000002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0.2</v>
      </c>
      <c r="BJ91">
        <v>2</v>
      </c>
      <c r="BK91">
        <v>2</v>
      </c>
      <c r="BL91">
        <v>60.3</v>
      </c>
      <c r="BM91">
        <v>9.0500000000000007</v>
      </c>
      <c r="BN91">
        <v>69.349999999999994</v>
      </c>
      <c r="BO91">
        <v>69.349999999999994</v>
      </c>
      <c r="BQ91" t="s">
        <v>112</v>
      </c>
      <c r="BR91" t="s">
        <v>82</v>
      </c>
      <c r="BS91" s="3">
        <v>44615</v>
      </c>
      <c r="BT91" s="4">
        <v>0.38819444444444445</v>
      </c>
      <c r="BU91" t="s">
        <v>128</v>
      </c>
      <c r="BV91" t="s">
        <v>101</v>
      </c>
      <c r="BY91">
        <v>9960.93</v>
      </c>
      <c r="BZ91" t="s">
        <v>87</v>
      </c>
      <c r="CA91" t="s">
        <v>129</v>
      </c>
      <c r="CC91" t="s">
        <v>110</v>
      </c>
      <c r="CD91">
        <v>157</v>
      </c>
      <c r="CE91" t="s">
        <v>152</v>
      </c>
      <c r="CI91">
        <v>1</v>
      </c>
      <c r="CJ91">
        <v>1</v>
      </c>
      <c r="CK91">
        <v>21</v>
      </c>
      <c r="CL91" t="s">
        <v>84</v>
      </c>
    </row>
    <row r="92" spans="1:90" x14ac:dyDescent="0.25">
      <c r="A92" t="s">
        <v>72</v>
      </c>
      <c r="B92" t="s">
        <v>73</v>
      </c>
      <c r="C92" t="s">
        <v>74</v>
      </c>
      <c r="E92" t="str">
        <f>"GAB2008315"</f>
        <v>GAB2008315</v>
      </c>
      <c r="F92" s="3">
        <v>44608</v>
      </c>
      <c r="G92">
        <v>202208</v>
      </c>
      <c r="H92" t="s">
        <v>75</v>
      </c>
      <c r="I92" t="s">
        <v>76</v>
      </c>
      <c r="J92" t="s">
        <v>77</v>
      </c>
      <c r="K92" t="s">
        <v>78</v>
      </c>
      <c r="L92" t="s">
        <v>466</v>
      </c>
      <c r="M92" t="s">
        <v>467</v>
      </c>
      <c r="N92" t="s">
        <v>468</v>
      </c>
      <c r="O92" t="s">
        <v>125</v>
      </c>
      <c r="P92" t="str">
        <f>"CT072020                      "</f>
        <v xml:space="preserve">CT072020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50.39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4.7</v>
      </c>
      <c r="BJ92">
        <v>16.399999999999999</v>
      </c>
      <c r="BK92">
        <v>17</v>
      </c>
      <c r="BL92">
        <v>186.53</v>
      </c>
      <c r="BM92">
        <v>27.98</v>
      </c>
      <c r="BN92">
        <v>214.51</v>
      </c>
      <c r="BO92">
        <v>214.51</v>
      </c>
      <c r="BQ92" t="s">
        <v>469</v>
      </c>
      <c r="BR92" t="s">
        <v>82</v>
      </c>
      <c r="BS92" s="3">
        <v>44613</v>
      </c>
      <c r="BT92" s="4">
        <v>0.375</v>
      </c>
      <c r="BU92" t="s">
        <v>470</v>
      </c>
      <c r="BV92" t="s">
        <v>101</v>
      </c>
      <c r="BY92">
        <v>81862.5</v>
      </c>
      <c r="CA92" t="s">
        <v>471</v>
      </c>
      <c r="CC92" t="s">
        <v>467</v>
      </c>
      <c r="CD92">
        <v>3900</v>
      </c>
      <c r="CE92" t="s">
        <v>130</v>
      </c>
      <c r="CF92" s="3">
        <v>44613</v>
      </c>
      <c r="CI92">
        <v>3</v>
      </c>
      <c r="CJ92">
        <v>3</v>
      </c>
      <c r="CK92">
        <v>43</v>
      </c>
      <c r="CL92" t="s">
        <v>84</v>
      </c>
    </row>
    <row r="93" spans="1:90" x14ac:dyDescent="0.25">
      <c r="A93" t="s">
        <v>72</v>
      </c>
      <c r="B93" t="s">
        <v>73</v>
      </c>
      <c r="C93" t="s">
        <v>74</v>
      </c>
      <c r="E93" t="str">
        <f>"009940857743"</f>
        <v>009940857743</v>
      </c>
      <c r="F93" s="3">
        <v>44608</v>
      </c>
      <c r="G93">
        <v>202208</v>
      </c>
      <c r="H93" t="s">
        <v>109</v>
      </c>
      <c r="I93" t="s">
        <v>110</v>
      </c>
      <c r="J93" t="s">
        <v>133</v>
      </c>
      <c r="K93" t="s">
        <v>78</v>
      </c>
      <c r="L93" t="s">
        <v>147</v>
      </c>
      <c r="M93" t="s">
        <v>148</v>
      </c>
      <c r="N93" t="s">
        <v>472</v>
      </c>
      <c r="O93" t="s">
        <v>125</v>
      </c>
      <c r="P93" t="str">
        <f>"NA                            "</f>
        <v xml:space="preserve">NA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45.72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5.2</v>
      </c>
      <c r="BJ93">
        <v>5</v>
      </c>
      <c r="BK93">
        <v>6</v>
      </c>
      <c r="BL93">
        <v>169.72</v>
      </c>
      <c r="BM93">
        <v>25.46</v>
      </c>
      <c r="BN93">
        <v>195.18</v>
      </c>
      <c r="BO93">
        <v>195.18</v>
      </c>
      <c r="BQ93" t="s">
        <v>473</v>
      </c>
      <c r="BR93" t="s">
        <v>474</v>
      </c>
      <c r="BS93" s="3">
        <v>44610</v>
      </c>
      <c r="BT93" s="4">
        <v>0.4993055555555555</v>
      </c>
      <c r="BU93" t="s">
        <v>473</v>
      </c>
      <c r="BV93" t="s">
        <v>101</v>
      </c>
      <c r="BY93">
        <v>24993.07</v>
      </c>
      <c r="BZ93" t="s">
        <v>137</v>
      </c>
      <c r="CC93" t="s">
        <v>148</v>
      </c>
      <c r="CD93">
        <v>6500</v>
      </c>
      <c r="CE93" t="s">
        <v>130</v>
      </c>
      <c r="CF93" s="3">
        <v>44611</v>
      </c>
      <c r="CI93">
        <v>2</v>
      </c>
      <c r="CJ93">
        <v>2</v>
      </c>
      <c r="CK93">
        <v>43</v>
      </c>
      <c r="CL93" t="s">
        <v>84</v>
      </c>
    </row>
    <row r="94" spans="1:90" x14ac:dyDescent="0.25">
      <c r="A94" t="s">
        <v>72</v>
      </c>
      <c r="B94" t="s">
        <v>73</v>
      </c>
      <c r="C94" t="s">
        <v>74</v>
      </c>
      <c r="E94" t="str">
        <f>"009942048631"</f>
        <v>009942048631</v>
      </c>
      <c r="F94" s="3">
        <v>44614</v>
      </c>
      <c r="G94">
        <v>202208</v>
      </c>
      <c r="H94" t="s">
        <v>109</v>
      </c>
      <c r="I94" t="s">
        <v>110</v>
      </c>
      <c r="J94" t="s">
        <v>475</v>
      </c>
      <c r="K94" t="s">
        <v>78</v>
      </c>
      <c r="L94" t="s">
        <v>75</v>
      </c>
      <c r="M94" t="s">
        <v>76</v>
      </c>
      <c r="N94" t="s">
        <v>476</v>
      </c>
      <c r="O94" t="s">
        <v>125</v>
      </c>
      <c r="P94" t="str">
        <f>"                              "</f>
        <v xml:space="preserve">  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32.42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</v>
      </c>
      <c r="BJ94">
        <v>0.2</v>
      </c>
      <c r="BK94">
        <v>1</v>
      </c>
      <c r="BL94">
        <v>121.87</v>
      </c>
      <c r="BM94">
        <v>18.28</v>
      </c>
      <c r="BN94">
        <v>140.15</v>
      </c>
      <c r="BO94">
        <v>140.15</v>
      </c>
      <c r="BQ94" t="s">
        <v>477</v>
      </c>
      <c r="BR94" t="s">
        <v>478</v>
      </c>
      <c r="BS94" s="3">
        <v>44616</v>
      </c>
      <c r="BT94" s="4">
        <v>0.4513888888888889</v>
      </c>
      <c r="BU94" t="s">
        <v>273</v>
      </c>
      <c r="BV94" t="s">
        <v>101</v>
      </c>
      <c r="BY94">
        <v>1200</v>
      </c>
      <c r="BZ94" t="s">
        <v>137</v>
      </c>
      <c r="CA94" t="s">
        <v>274</v>
      </c>
      <c r="CC94" t="s">
        <v>76</v>
      </c>
      <c r="CD94">
        <v>7460</v>
      </c>
      <c r="CE94" t="s">
        <v>130</v>
      </c>
      <c r="CF94" s="3">
        <v>44617</v>
      </c>
      <c r="CI94">
        <v>3</v>
      </c>
      <c r="CJ94">
        <v>2</v>
      </c>
      <c r="CK94">
        <v>41</v>
      </c>
      <c r="CL94" t="s">
        <v>84</v>
      </c>
    </row>
    <row r="95" spans="1:90" x14ac:dyDescent="0.25">
      <c r="A95" t="s">
        <v>72</v>
      </c>
      <c r="B95" t="s">
        <v>73</v>
      </c>
      <c r="C95" t="s">
        <v>74</v>
      </c>
      <c r="E95" t="str">
        <f>"009940857737"</f>
        <v>009940857737</v>
      </c>
      <c r="F95" s="3">
        <v>44603</v>
      </c>
      <c r="G95">
        <v>202208</v>
      </c>
      <c r="H95" t="s">
        <v>109</v>
      </c>
      <c r="I95" t="s">
        <v>110</v>
      </c>
      <c r="J95" t="s">
        <v>133</v>
      </c>
      <c r="K95" t="s">
        <v>78</v>
      </c>
      <c r="L95" t="s">
        <v>75</v>
      </c>
      <c r="M95" t="s">
        <v>76</v>
      </c>
      <c r="N95" t="s">
        <v>111</v>
      </c>
      <c r="O95" t="s">
        <v>125</v>
      </c>
      <c r="P95" t="str">
        <f>"NA                            "</f>
        <v xml:space="preserve">NA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55.13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2</v>
      </c>
      <c r="BI95">
        <v>7.8</v>
      </c>
      <c r="BJ95">
        <v>31.9</v>
      </c>
      <c r="BK95">
        <v>32</v>
      </c>
      <c r="BL95">
        <v>203.57</v>
      </c>
      <c r="BM95">
        <v>30.54</v>
      </c>
      <c r="BN95">
        <v>234.11</v>
      </c>
      <c r="BO95">
        <v>234.11</v>
      </c>
      <c r="BQ95" t="s">
        <v>479</v>
      </c>
      <c r="BR95" t="s">
        <v>140</v>
      </c>
      <c r="BS95" s="3">
        <v>44606</v>
      </c>
      <c r="BT95" s="4">
        <v>0.44861111111111113</v>
      </c>
      <c r="BU95" t="s">
        <v>480</v>
      </c>
      <c r="BV95" t="s">
        <v>101</v>
      </c>
      <c r="BY95">
        <v>159254.54999999999</v>
      </c>
      <c r="BZ95" t="s">
        <v>137</v>
      </c>
      <c r="CA95" t="s">
        <v>274</v>
      </c>
      <c r="CC95" t="s">
        <v>76</v>
      </c>
      <c r="CD95">
        <v>7460</v>
      </c>
      <c r="CE95" t="s">
        <v>130</v>
      </c>
      <c r="CF95" s="3">
        <v>44607</v>
      </c>
      <c r="CI95">
        <v>3</v>
      </c>
      <c r="CJ95">
        <v>1</v>
      </c>
      <c r="CK95">
        <v>41</v>
      </c>
      <c r="CL95" t="s">
        <v>84</v>
      </c>
    </row>
    <row r="96" spans="1:90" x14ac:dyDescent="0.25">
      <c r="A96" t="s">
        <v>72</v>
      </c>
      <c r="B96" t="s">
        <v>73</v>
      </c>
      <c r="C96" t="s">
        <v>74</v>
      </c>
      <c r="E96" t="str">
        <f>"GAB2008408"</f>
        <v>GAB2008408</v>
      </c>
      <c r="F96" s="3">
        <v>44614</v>
      </c>
      <c r="G96">
        <v>202208</v>
      </c>
      <c r="H96" t="s">
        <v>75</v>
      </c>
      <c r="I96" t="s">
        <v>76</v>
      </c>
      <c r="J96" t="s">
        <v>77</v>
      </c>
      <c r="K96" t="s">
        <v>78</v>
      </c>
      <c r="L96" t="s">
        <v>481</v>
      </c>
      <c r="M96" t="s">
        <v>482</v>
      </c>
      <c r="N96" t="s">
        <v>483</v>
      </c>
      <c r="O96" t="s">
        <v>80</v>
      </c>
      <c r="P96" t="str">
        <f>"CT072132                      "</f>
        <v xml:space="preserve">CT072132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39.81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0.5</v>
      </c>
      <c r="BJ96">
        <v>2.5</v>
      </c>
      <c r="BK96">
        <v>2.5</v>
      </c>
      <c r="BL96">
        <v>143.22</v>
      </c>
      <c r="BM96">
        <v>21.48</v>
      </c>
      <c r="BN96">
        <v>164.7</v>
      </c>
      <c r="BO96">
        <v>164.7</v>
      </c>
      <c r="BQ96" t="s">
        <v>484</v>
      </c>
      <c r="BR96" t="s">
        <v>82</v>
      </c>
      <c r="BS96" s="3">
        <v>44616</v>
      </c>
      <c r="BT96" s="4">
        <v>0.4069444444444445</v>
      </c>
      <c r="BU96" t="s">
        <v>485</v>
      </c>
      <c r="BV96" t="s">
        <v>101</v>
      </c>
      <c r="BY96">
        <v>12544.2</v>
      </c>
      <c r="BZ96" t="s">
        <v>87</v>
      </c>
      <c r="CA96" t="s">
        <v>486</v>
      </c>
      <c r="CC96" t="s">
        <v>482</v>
      </c>
      <c r="CD96">
        <v>9700</v>
      </c>
      <c r="CE96" t="s">
        <v>487</v>
      </c>
      <c r="CF96" s="3">
        <v>44616</v>
      </c>
      <c r="CI96">
        <v>2</v>
      </c>
      <c r="CJ96">
        <v>2</v>
      </c>
      <c r="CK96">
        <v>23</v>
      </c>
      <c r="CL96" t="s">
        <v>84</v>
      </c>
    </row>
    <row r="97" spans="1:90" x14ac:dyDescent="0.25">
      <c r="A97" t="s">
        <v>72</v>
      </c>
      <c r="B97" t="s">
        <v>73</v>
      </c>
      <c r="C97" t="s">
        <v>74</v>
      </c>
      <c r="E97" t="str">
        <f>"GAB2008428"</f>
        <v>GAB2008428</v>
      </c>
      <c r="F97" s="3">
        <v>44614</v>
      </c>
      <c r="G97">
        <v>202208</v>
      </c>
      <c r="H97" t="s">
        <v>75</v>
      </c>
      <c r="I97" t="s">
        <v>76</v>
      </c>
      <c r="J97" t="s">
        <v>77</v>
      </c>
      <c r="K97" t="s">
        <v>78</v>
      </c>
      <c r="L97" t="s">
        <v>109</v>
      </c>
      <c r="M97" t="s">
        <v>110</v>
      </c>
      <c r="N97" t="s">
        <v>394</v>
      </c>
      <c r="O97" t="s">
        <v>125</v>
      </c>
      <c r="P97" t="str">
        <f>"CT072135                      "</f>
        <v xml:space="preserve">CT072135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49.78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2</v>
      </c>
      <c r="BI97">
        <v>13.8</v>
      </c>
      <c r="BJ97">
        <v>27.8</v>
      </c>
      <c r="BK97">
        <v>28</v>
      </c>
      <c r="BL97">
        <v>184.34</v>
      </c>
      <c r="BM97">
        <v>27.65</v>
      </c>
      <c r="BN97">
        <v>211.99</v>
      </c>
      <c r="BO97">
        <v>211.99</v>
      </c>
      <c r="BQ97" t="s">
        <v>395</v>
      </c>
      <c r="BR97" t="s">
        <v>82</v>
      </c>
      <c r="BS97" s="3">
        <v>44616</v>
      </c>
      <c r="BT97" s="4">
        <v>0.4465277777777778</v>
      </c>
      <c r="BU97" t="s">
        <v>488</v>
      </c>
      <c r="BV97" t="s">
        <v>101</v>
      </c>
      <c r="BY97">
        <v>139053.67000000001</v>
      </c>
      <c r="CA97" t="s">
        <v>396</v>
      </c>
      <c r="CC97" t="s">
        <v>110</v>
      </c>
      <c r="CD97">
        <v>157</v>
      </c>
      <c r="CE97" t="s">
        <v>489</v>
      </c>
      <c r="CF97" s="3">
        <v>44616</v>
      </c>
      <c r="CI97">
        <v>2</v>
      </c>
      <c r="CJ97">
        <v>2</v>
      </c>
      <c r="CK97">
        <v>41</v>
      </c>
      <c r="CL97" t="s">
        <v>84</v>
      </c>
    </row>
    <row r="98" spans="1:90" x14ac:dyDescent="0.25">
      <c r="A98" t="s">
        <v>72</v>
      </c>
      <c r="B98" t="s">
        <v>73</v>
      </c>
      <c r="C98" t="s">
        <v>74</v>
      </c>
      <c r="E98" t="str">
        <f>"009940857744"</f>
        <v>009940857744</v>
      </c>
      <c r="F98" s="3">
        <v>44608</v>
      </c>
      <c r="G98">
        <v>202208</v>
      </c>
      <c r="H98" t="s">
        <v>109</v>
      </c>
      <c r="I98" t="s">
        <v>110</v>
      </c>
      <c r="J98" t="s">
        <v>133</v>
      </c>
      <c r="K98" t="s">
        <v>78</v>
      </c>
      <c r="L98" t="s">
        <v>75</v>
      </c>
      <c r="M98" t="s">
        <v>76</v>
      </c>
      <c r="N98" t="s">
        <v>490</v>
      </c>
      <c r="O98" t="s">
        <v>80</v>
      </c>
      <c r="P98" t="str">
        <f>"NA                            "</f>
        <v xml:space="preserve">NA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29.33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2</v>
      </c>
      <c r="BJ98">
        <v>3.2</v>
      </c>
      <c r="BK98">
        <v>3.5</v>
      </c>
      <c r="BL98">
        <v>105.51</v>
      </c>
      <c r="BM98">
        <v>15.83</v>
      </c>
      <c r="BN98">
        <v>121.34</v>
      </c>
      <c r="BO98">
        <v>121.34</v>
      </c>
      <c r="BQ98" t="s">
        <v>491</v>
      </c>
      <c r="BR98" t="s">
        <v>492</v>
      </c>
      <c r="BS98" s="3">
        <v>44609</v>
      </c>
      <c r="BT98" s="4">
        <v>0.44097222222222227</v>
      </c>
      <c r="BU98" t="s">
        <v>273</v>
      </c>
      <c r="BV98" t="s">
        <v>84</v>
      </c>
      <c r="BW98" t="s">
        <v>268</v>
      </c>
      <c r="BX98" t="s">
        <v>233</v>
      </c>
      <c r="BY98">
        <v>15960.73</v>
      </c>
      <c r="BZ98" t="s">
        <v>87</v>
      </c>
      <c r="CA98" t="s">
        <v>274</v>
      </c>
      <c r="CC98" t="s">
        <v>76</v>
      </c>
      <c r="CD98">
        <v>7460</v>
      </c>
      <c r="CE98" t="s">
        <v>130</v>
      </c>
      <c r="CF98" s="3">
        <v>44610</v>
      </c>
      <c r="CI98">
        <v>1</v>
      </c>
      <c r="CJ98">
        <v>1</v>
      </c>
      <c r="CK98">
        <v>21</v>
      </c>
      <c r="CL98" t="s">
        <v>84</v>
      </c>
    </row>
    <row r="99" spans="1:90" x14ac:dyDescent="0.25">
      <c r="A99" t="s">
        <v>72</v>
      </c>
      <c r="B99" t="s">
        <v>73</v>
      </c>
      <c r="C99" t="s">
        <v>74</v>
      </c>
      <c r="E99" t="str">
        <f>"GAB2008407"</f>
        <v>GAB2008407</v>
      </c>
      <c r="F99" s="3">
        <v>44614</v>
      </c>
      <c r="G99">
        <v>202208</v>
      </c>
      <c r="H99" t="s">
        <v>75</v>
      </c>
      <c r="I99" t="s">
        <v>76</v>
      </c>
      <c r="J99" t="s">
        <v>77</v>
      </c>
      <c r="K99" t="s">
        <v>78</v>
      </c>
      <c r="L99" t="s">
        <v>90</v>
      </c>
      <c r="M99" t="s">
        <v>91</v>
      </c>
      <c r="N99" t="s">
        <v>92</v>
      </c>
      <c r="O99" t="s">
        <v>80</v>
      </c>
      <c r="P99" t="str">
        <f>"CT072133                      "</f>
        <v xml:space="preserve">CT072133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13.09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1.2</v>
      </c>
      <c r="BJ99">
        <v>2.8</v>
      </c>
      <c r="BK99">
        <v>3</v>
      </c>
      <c r="BL99">
        <v>47.1</v>
      </c>
      <c r="BM99">
        <v>7.07</v>
      </c>
      <c r="BN99">
        <v>54.17</v>
      </c>
      <c r="BO99">
        <v>54.17</v>
      </c>
      <c r="BQ99" t="s">
        <v>93</v>
      </c>
      <c r="BR99" t="s">
        <v>82</v>
      </c>
      <c r="BS99" s="3">
        <v>44615</v>
      </c>
      <c r="BT99" s="4">
        <v>0.50694444444444442</v>
      </c>
      <c r="BU99" t="s">
        <v>232</v>
      </c>
      <c r="BV99" t="s">
        <v>101</v>
      </c>
      <c r="BY99">
        <v>13807.5</v>
      </c>
      <c r="BZ99" t="s">
        <v>87</v>
      </c>
      <c r="CA99" t="s">
        <v>96</v>
      </c>
      <c r="CC99" t="s">
        <v>91</v>
      </c>
      <c r="CD99">
        <v>7600</v>
      </c>
      <c r="CE99" t="s">
        <v>493</v>
      </c>
      <c r="CF99" s="3">
        <v>44616</v>
      </c>
      <c r="CI99">
        <v>1</v>
      </c>
      <c r="CJ99">
        <v>1</v>
      </c>
      <c r="CK99">
        <v>22</v>
      </c>
      <c r="CL99" t="s">
        <v>84</v>
      </c>
    </row>
    <row r="100" spans="1:90" x14ac:dyDescent="0.25">
      <c r="A100" t="s">
        <v>72</v>
      </c>
      <c r="B100" t="s">
        <v>73</v>
      </c>
      <c r="C100" t="s">
        <v>74</v>
      </c>
      <c r="E100" t="str">
        <f>"GAB2008422"</f>
        <v>GAB2008422</v>
      </c>
      <c r="F100" s="3">
        <v>44614</v>
      </c>
      <c r="G100">
        <v>202208</v>
      </c>
      <c r="H100" t="s">
        <v>75</v>
      </c>
      <c r="I100" t="s">
        <v>76</v>
      </c>
      <c r="J100" t="s">
        <v>77</v>
      </c>
      <c r="K100" t="s">
        <v>78</v>
      </c>
      <c r="L100" t="s">
        <v>109</v>
      </c>
      <c r="M100" t="s">
        <v>110</v>
      </c>
      <c r="N100" t="s">
        <v>216</v>
      </c>
      <c r="O100" t="s">
        <v>125</v>
      </c>
      <c r="P100" t="str">
        <f>"CT072152                      "</f>
        <v xml:space="preserve">CT072152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32.42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0.7</v>
      </c>
      <c r="BJ100">
        <v>1.8</v>
      </c>
      <c r="BK100">
        <v>2</v>
      </c>
      <c r="BL100">
        <v>121.87</v>
      </c>
      <c r="BM100">
        <v>18.28</v>
      </c>
      <c r="BN100">
        <v>140.15</v>
      </c>
      <c r="BO100">
        <v>140.15</v>
      </c>
      <c r="BQ100" t="s">
        <v>217</v>
      </c>
      <c r="BR100" t="s">
        <v>82</v>
      </c>
      <c r="BS100" s="3">
        <v>44616</v>
      </c>
      <c r="BT100" s="4">
        <v>0.47916666666666669</v>
      </c>
      <c r="BU100" t="s">
        <v>494</v>
      </c>
      <c r="BV100" t="s">
        <v>101</v>
      </c>
      <c r="BY100">
        <v>9233.2800000000007</v>
      </c>
      <c r="CA100" t="s">
        <v>219</v>
      </c>
      <c r="CC100" t="s">
        <v>110</v>
      </c>
      <c r="CD100">
        <v>157</v>
      </c>
      <c r="CE100" t="s">
        <v>495</v>
      </c>
      <c r="CF100" s="3">
        <v>44616</v>
      </c>
      <c r="CI100">
        <v>2</v>
      </c>
      <c r="CJ100">
        <v>2</v>
      </c>
      <c r="CK100">
        <v>41</v>
      </c>
      <c r="CL100" t="s">
        <v>84</v>
      </c>
    </row>
    <row r="101" spans="1:90" x14ac:dyDescent="0.25">
      <c r="A101" t="s">
        <v>72</v>
      </c>
      <c r="B101" t="s">
        <v>73</v>
      </c>
      <c r="C101" t="s">
        <v>74</v>
      </c>
      <c r="E101" t="str">
        <f>"GAB2008406"</f>
        <v>GAB2008406</v>
      </c>
      <c r="F101" s="3">
        <v>44614</v>
      </c>
      <c r="G101">
        <v>202208</v>
      </c>
      <c r="H101" t="s">
        <v>75</v>
      </c>
      <c r="I101" t="s">
        <v>76</v>
      </c>
      <c r="J101" t="s">
        <v>77</v>
      </c>
      <c r="K101" t="s">
        <v>78</v>
      </c>
      <c r="L101" t="s">
        <v>496</v>
      </c>
      <c r="M101" t="s">
        <v>497</v>
      </c>
      <c r="N101" t="s">
        <v>498</v>
      </c>
      <c r="O101" t="s">
        <v>80</v>
      </c>
      <c r="P101" t="str">
        <f>"CT072134                      "</f>
        <v xml:space="preserve">CT072134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16.760000000000002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0.2</v>
      </c>
      <c r="BJ101">
        <v>1.8</v>
      </c>
      <c r="BK101">
        <v>2</v>
      </c>
      <c r="BL101">
        <v>60.3</v>
      </c>
      <c r="BM101">
        <v>9.0500000000000007</v>
      </c>
      <c r="BN101">
        <v>69.349999999999994</v>
      </c>
      <c r="BO101">
        <v>69.349999999999994</v>
      </c>
      <c r="BQ101" t="s">
        <v>499</v>
      </c>
      <c r="BR101" t="s">
        <v>82</v>
      </c>
      <c r="BS101" s="3">
        <v>44615</v>
      </c>
      <c r="BT101" s="4">
        <v>0.40625</v>
      </c>
      <c r="BU101" t="s">
        <v>500</v>
      </c>
      <c r="BV101" t="s">
        <v>101</v>
      </c>
      <c r="BY101">
        <v>9215.64</v>
      </c>
      <c r="BZ101" t="s">
        <v>87</v>
      </c>
      <c r="CC101" t="s">
        <v>497</v>
      </c>
      <c r="CD101">
        <v>6529</v>
      </c>
      <c r="CE101" t="s">
        <v>152</v>
      </c>
      <c r="CI101">
        <v>1</v>
      </c>
      <c r="CJ101">
        <v>1</v>
      </c>
      <c r="CK101">
        <v>21</v>
      </c>
      <c r="CL101" t="s">
        <v>84</v>
      </c>
    </row>
    <row r="102" spans="1:90" x14ac:dyDescent="0.25">
      <c r="A102" t="s">
        <v>72</v>
      </c>
      <c r="B102" t="s">
        <v>73</v>
      </c>
      <c r="C102" t="s">
        <v>74</v>
      </c>
      <c r="E102" t="str">
        <f>"GAB2008434"</f>
        <v>GAB2008434</v>
      </c>
      <c r="F102" s="3">
        <v>44614</v>
      </c>
      <c r="G102">
        <v>202208</v>
      </c>
      <c r="H102" t="s">
        <v>75</v>
      </c>
      <c r="I102" t="s">
        <v>76</v>
      </c>
      <c r="J102" t="s">
        <v>77</v>
      </c>
      <c r="K102" t="s">
        <v>78</v>
      </c>
      <c r="L102" t="s">
        <v>123</v>
      </c>
      <c r="M102" t="s">
        <v>124</v>
      </c>
      <c r="N102" t="s">
        <v>501</v>
      </c>
      <c r="O102" t="s">
        <v>125</v>
      </c>
      <c r="P102" t="str">
        <f>"CT072130                      "</f>
        <v xml:space="preserve">CT072130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32.42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0.9</v>
      </c>
      <c r="BJ102">
        <v>6.4</v>
      </c>
      <c r="BK102">
        <v>7</v>
      </c>
      <c r="BL102">
        <v>121.87</v>
      </c>
      <c r="BM102">
        <v>18.28</v>
      </c>
      <c r="BN102">
        <v>140.15</v>
      </c>
      <c r="BO102">
        <v>140.15</v>
      </c>
      <c r="BQ102" t="s">
        <v>502</v>
      </c>
      <c r="BR102" t="s">
        <v>82</v>
      </c>
      <c r="BS102" s="3">
        <v>44616</v>
      </c>
      <c r="BT102" s="4">
        <v>0.43124999999999997</v>
      </c>
      <c r="BU102" t="s">
        <v>503</v>
      </c>
      <c r="BV102" t="s">
        <v>101</v>
      </c>
      <c r="BY102">
        <v>31858.5</v>
      </c>
      <c r="CA102" t="s">
        <v>504</v>
      </c>
      <c r="CC102" t="s">
        <v>124</v>
      </c>
      <c r="CD102">
        <v>6001</v>
      </c>
      <c r="CE102" t="s">
        <v>505</v>
      </c>
      <c r="CF102" s="3">
        <v>44617</v>
      </c>
      <c r="CI102">
        <v>2</v>
      </c>
      <c r="CJ102">
        <v>2</v>
      </c>
      <c r="CK102">
        <v>41</v>
      </c>
      <c r="CL102" t="s">
        <v>84</v>
      </c>
    </row>
    <row r="103" spans="1:90" x14ac:dyDescent="0.25">
      <c r="A103" t="s">
        <v>72</v>
      </c>
      <c r="B103" t="s">
        <v>73</v>
      </c>
      <c r="C103" t="s">
        <v>74</v>
      </c>
      <c r="E103" t="str">
        <f>"GAB2008420"</f>
        <v>GAB2008420</v>
      </c>
      <c r="F103" s="3">
        <v>44614</v>
      </c>
      <c r="G103">
        <v>202208</v>
      </c>
      <c r="H103" t="s">
        <v>75</v>
      </c>
      <c r="I103" t="s">
        <v>76</v>
      </c>
      <c r="J103" t="s">
        <v>77</v>
      </c>
      <c r="K103" t="s">
        <v>78</v>
      </c>
      <c r="L103" t="s">
        <v>75</v>
      </c>
      <c r="M103" t="s">
        <v>76</v>
      </c>
      <c r="N103" t="s">
        <v>506</v>
      </c>
      <c r="O103" t="s">
        <v>80</v>
      </c>
      <c r="P103" t="str">
        <f>"ORD006987                     "</f>
        <v xml:space="preserve">ORD006987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13.09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0.3</v>
      </c>
      <c r="BJ103">
        <v>2</v>
      </c>
      <c r="BK103">
        <v>2</v>
      </c>
      <c r="BL103">
        <v>47.1</v>
      </c>
      <c r="BM103">
        <v>7.07</v>
      </c>
      <c r="BN103">
        <v>54.17</v>
      </c>
      <c r="BO103">
        <v>54.17</v>
      </c>
      <c r="BQ103" t="s">
        <v>507</v>
      </c>
      <c r="BR103" t="s">
        <v>82</v>
      </c>
      <c r="BS103" s="3">
        <v>44615</v>
      </c>
      <c r="BT103" s="4">
        <v>0.41666666666666669</v>
      </c>
      <c r="BU103" t="s">
        <v>508</v>
      </c>
      <c r="BV103" t="s">
        <v>101</v>
      </c>
      <c r="BY103">
        <v>9897.69</v>
      </c>
      <c r="BZ103" t="s">
        <v>87</v>
      </c>
      <c r="CA103" t="s">
        <v>509</v>
      </c>
      <c r="CC103" t="s">
        <v>76</v>
      </c>
      <c r="CD103">
        <v>7708</v>
      </c>
      <c r="CE103" t="s">
        <v>152</v>
      </c>
      <c r="CF103" s="3">
        <v>44616</v>
      </c>
      <c r="CI103">
        <v>1</v>
      </c>
      <c r="CJ103">
        <v>1</v>
      </c>
      <c r="CK103">
        <v>22</v>
      </c>
      <c r="CL103" t="s">
        <v>84</v>
      </c>
    </row>
    <row r="104" spans="1:90" x14ac:dyDescent="0.25">
      <c r="A104" t="s">
        <v>72</v>
      </c>
      <c r="B104" t="s">
        <v>73</v>
      </c>
      <c r="C104" t="s">
        <v>74</v>
      </c>
      <c r="E104" t="str">
        <f>"GAB2008425"</f>
        <v>GAB2008425</v>
      </c>
      <c r="F104" s="3">
        <v>44614</v>
      </c>
      <c r="G104">
        <v>202208</v>
      </c>
      <c r="H104" t="s">
        <v>75</v>
      </c>
      <c r="I104" t="s">
        <v>76</v>
      </c>
      <c r="J104" t="s">
        <v>77</v>
      </c>
      <c r="K104" t="s">
        <v>78</v>
      </c>
      <c r="L104" t="s">
        <v>510</v>
      </c>
      <c r="M104" t="s">
        <v>511</v>
      </c>
      <c r="N104" t="s">
        <v>512</v>
      </c>
      <c r="O104" t="s">
        <v>125</v>
      </c>
      <c r="P104" t="str">
        <f>"CT072151                      "</f>
        <v xml:space="preserve">CT072151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52.46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2</v>
      </c>
      <c r="BI104">
        <v>8.8000000000000007</v>
      </c>
      <c r="BJ104">
        <v>29.6</v>
      </c>
      <c r="BK104">
        <v>30</v>
      </c>
      <c r="BL104">
        <v>193.96</v>
      </c>
      <c r="BM104">
        <v>29.09</v>
      </c>
      <c r="BN104">
        <v>223.05</v>
      </c>
      <c r="BO104">
        <v>223.05</v>
      </c>
      <c r="BQ104" t="s">
        <v>513</v>
      </c>
      <c r="BR104" t="s">
        <v>82</v>
      </c>
      <c r="BS104" s="3">
        <v>44616</v>
      </c>
      <c r="BT104" s="4">
        <v>0.44791666666666669</v>
      </c>
      <c r="BU104" t="s">
        <v>514</v>
      </c>
      <c r="BV104" t="s">
        <v>101</v>
      </c>
      <c r="BY104">
        <v>147948.84</v>
      </c>
      <c r="CA104" t="s">
        <v>515</v>
      </c>
      <c r="CC104" t="s">
        <v>511</v>
      </c>
      <c r="CD104">
        <v>1200</v>
      </c>
      <c r="CE104" t="s">
        <v>516</v>
      </c>
      <c r="CF104" s="3">
        <v>44616</v>
      </c>
      <c r="CI104">
        <v>3</v>
      </c>
      <c r="CJ104">
        <v>2</v>
      </c>
      <c r="CK104">
        <v>41</v>
      </c>
      <c r="CL104" t="s">
        <v>84</v>
      </c>
    </row>
    <row r="105" spans="1:90" x14ac:dyDescent="0.25">
      <c r="A105" t="s">
        <v>72</v>
      </c>
      <c r="B105" t="s">
        <v>73</v>
      </c>
      <c r="C105" t="s">
        <v>74</v>
      </c>
      <c r="E105" t="str">
        <f>"GAB2008418"</f>
        <v>GAB2008418</v>
      </c>
      <c r="F105" s="3">
        <v>44614</v>
      </c>
      <c r="G105">
        <v>202208</v>
      </c>
      <c r="H105" t="s">
        <v>75</v>
      </c>
      <c r="I105" t="s">
        <v>76</v>
      </c>
      <c r="J105" t="s">
        <v>77</v>
      </c>
      <c r="K105" t="s">
        <v>78</v>
      </c>
      <c r="L105" t="s">
        <v>159</v>
      </c>
      <c r="M105" t="s">
        <v>160</v>
      </c>
      <c r="N105" t="s">
        <v>517</v>
      </c>
      <c r="O105" t="s">
        <v>80</v>
      </c>
      <c r="P105" t="str">
        <f>"CT072144                      "</f>
        <v xml:space="preserve">CT072144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39.81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0.4</v>
      </c>
      <c r="BJ105">
        <v>2.1</v>
      </c>
      <c r="BK105">
        <v>2.5</v>
      </c>
      <c r="BL105">
        <v>143.22</v>
      </c>
      <c r="BM105">
        <v>21.48</v>
      </c>
      <c r="BN105">
        <v>164.7</v>
      </c>
      <c r="BO105">
        <v>164.7</v>
      </c>
      <c r="BQ105" t="s">
        <v>162</v>
      </c>
      <c r="BR105" t="s">
        <v>82</v>
      </c>
      <c r="BS105" s="3">
        <v>44615</v>
      </c>
      <c r="BT105" s="4">
        <v>0.4368055555555555</v>
      </c>
      <c r="BU105" t="s">
        <v>518</v>
      </c>
      <c r="BV105" t="s">
        <v>101</v>
      </c>
      <c r="BY105">
        <v>10491.04</v>
      </c>
      <c r="BZ105" t="s">
        <v>87</v>
      </c>
      <c r="CA105" t="s">
        <v>422</v>
      </c>
      <c r="CC105" t="s">
        <v>160</v>
      </c>
      <c r="CD105">
        <v>9459</v>
      </c>
      <c r="CE105" t="s">
        <v>519</v>
      </c>
      <c r="CF105" s="3">
        <v>44615</v>
      </c>
      <c r="CI105">
        <v>1</v>
      </c>
      <c r="CJ105">
        <v>1</v>
      </c>
      <c r="CK105">
        <v>23</v>
      </c>
      <c r="CL105" t="s">
        <v>84</v>
      </c>
    </row>
    <row r="106" spans="1:90" x14ac:dyDescent="0.25">
      <c r="A106" t="s">
        <v>72</v>
      </c>
      <c r="B106" t="s">
        <v>73</v>
      </c>
      <c r="C106" t="s">
        <v>74</v>
      </c>
      <c r="E106" t="str">
        <f>"GAB2008435"</f>
        <v>GAB2008435</v>
      </c>
      <c r="F106" s="3">
        <v>44614</v>
      </c>
      <c r="G106">
        <v>202208</v>
      </c>
      <c r="H106" t="s">
        <v>75</v>
      </c>
      <c r="I106" t="s">
        <v>76</v>
      </c>
      <c r="J106" t="s">
        <v>77</v>
      </c>
      <c r="K106" t="s">
        <v>78</v>
      </c>
      <c r="L106" t="s">
        <v>153</v>
      </c>
      <c r="M106" t="s">
        <v>154</v>
      </c>
      <c r="N106" t="s">
        <v>520</v>
      </c>
      <c r="O106" t="s">
        <v>125</v>
      </c>
      <c r="P106" t="str">
        <f>"CT072118                      "</f>
        <v xml:space="preserve">CT072118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32.42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0.9</v>
      </c>
      <c r="BJ106">
        <v>1.9</v>
      </c>
      <c r="BK106">
        <v>2</v>
      </c>
      <c r="BL106">
        <v>121.87</v>
      </c>
      <c r="BM106">
        <v>18.28</v>
      </c>
      <c r="BN106">
        <v>140.15</v>
      </c>
      <c r="BO106">
        <v>140.15</v>
      </c>
      <c r="BQ106" t="s">
        <v>521</v>
      </c>
      <c r="BR106" t="s">
        <v>82</v>
      </c>
      <c r="BS106" s="3">
        <v>44616</v>
      </c>
      <c r="BT106" s="4">
        <v>0.42222222222222222</v>
      </c>
      <c r="BU106" t="s">
        <v>522</v>
      </c>
      <c r="BV106" t="s">
        <v>101</v>
      </c>
      <c r="BY106">
        <v>9720</v>
      </c>
      <c r="CA106" t="s">
        <v>523</v>
      </c>
      <c r="CC106" t="s">
        <v>154</v>
      </c>
      <c r="CD106">
        <v>2092</v>
      </c>
      <c r="CE106" t="s">
        <v>505</v>
      </c>
      <c r="CF106" s="3">
        <v>44617</v>
      </c>
      <c r="CI106">
        <v>2</v>
      </c>
      <c r="CJ106">
        <v>2</v>
      </c>
      <c r="CK106">
        <v>41</v>
      </c>
      <c r="CL106" t="s">
        <v>84</v>
      </c>
    </row>
    <row r="107" spans="1:90" x14ac:dyDescent="0.25">
      <c r="A107" t="s">
        <v>72</v>
      </c>
      <c r="B107" t="s">
        <v>73</v>
      </c>
      <c r="C107" t="s">
        <v>74</v>
      </c>
      <c r="E107" t="str">
        <f>"GAB2008417"</f>
        <v>GAB2008417</v>
      </c>
      <c r="F107" s="3">
        <v>44614</v>
      </c>
      <c r="G107">
        <v>202208</v>
      </c>
      <c r="H107" t="s">
        <v>75</v>
      </c>
      <c r="I107" t="s">
        <v>76</v>
      </c>
      <c r="J107" t="s">
        <v>77</v>
      </c>
      <c r="K107" t="s">
        <v>78</v>
      </c>
      <c r="L107" t="s">
        <v>192</v>
      </c>
      <c r="M107" t="s">
        <v>193</v>
      </c>
      <c r="N107" t="s">
        <v>194</v>
      </c>
      <c r="O107" t="s">
        <v>80</v>
      </c>
      <c r="P107" t="str">
        <f>"CT072140                      "</f>
        <v xml:space="preserve">CT072140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39.81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0.3</v>
      </c>
      <c r="BJ107">
        <v>2.5</v>
      </c>
      <c r="BK107">
        <v>2.5</v>
      </c>
      <c r="BL107">
        <v>143.22</v>
      </c>
      <c r="BM107">
        <v>21.48</v>
      </c>
      <c r="BN107">
        <v>164.7</v>
      </c>
      <c r="BO107">
        <v>164.7</v>
      </c>
      <c r="BQ107" t="s">
        <v>195</v>
      </c>
      <c r="BR107" t="s">
        <v>82</v>
      </c>
      <c r="BS107" s="3">
        <v>44615</v>
      </c>
      <c r="BT107" s="4">
        <v>0.40416666666666662</v>
      </c>
      <c r="BU107" t="s">
        <v>293</v>
      </c>
      <c r="BV107" t="s">
        <v>101</v>
      </c>
      <c r="BY107">
        <v>12599</v>
      </c>
      <c r="BZ107" t="s">
        <v>87</v>
      </c>
      <c r="CA107" t="s">
        <v>197</v>
      </c>
      <c r="CC107" t="s">
        <v>193</v>
      </c>
      <c r="CD107">
        <v>2515</v>
      </c>
      <c r="CE107" t="s">
        <v>89</v>
      </c>
      <c r="CI107">
        <v>1</v>
      </c>
      <c r="CJ107">
        <v>1</v>
      </c>
      <c r="CK107">
        <v>23</v>
      </c>
      <c r="CL107" t="s">
        <v>84</v>
      </c>
    </row>
    <row r="108" spans="1:90" x14ac:dyDescent="0.25">
      <c r="A108" t="s">
        <v>72</v>
      </c>
      <c r="B108" t="s">
        <v>73</v>
      </c>
      <c r="C108" t="s">
        <v>74</v>
      </c>
      <c r="E108" t="str">
        <f>"GAB2008413"</f>
        <v>GAB2008413</v>
      </c>
      <c r="F108" s="3">
        <v>44614</v>
      </c>
      <c r="G108">
        <v>202208</v>
      </c>
      <c r="H108" t="s">
        <v>75</v>
      </c>
      <c r="I108" t="s">
        <v>76</v>
      </c>
      <c r="J108" t="s">
        <v>77</v>
      </c>
      <c r="K108" t="s">
        <v>78</v>
      </c>
      <c r="L108" t="s">
        <v>153</v>
      </c>
      <c r="M108" t="s">
        <v>154</v>
      </c>
      <c r="N108" t="s">
        <v>524</v>
      </c>
      <c r="O108" t="s">
        <v>125</v>
      </c>
      <c r="P108" t="str">
        <f>"CT071669                      "</f>
        <v xml:space="preserve">CT071669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37.76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7.1</v>
      </c>
      <c r="BJ108">
        <v>18.600000000000001</v>
      </c>
      <c r="BK108">
        <v>19</v>
      </c>
      <c r="BL108">
        <v>141.09</v>
      </c>
      <c r="BM108">
        <v>21.16</v>
      </c>
      <c r="BN108">
        <v>162.25</v>
      </c>
      <c r="BO108">
        <v>162.25</v>
      </c>
      <c r="BQ108" t="s">
        <v>525</v>
      </c>
      <c r="BR108" t="s">
        <v>82</v>
      </c>
      <c r="BS108" s="3">
        <v>44616</v>
      </c>
      <c r="BT108" s="4">
        <v>0.38125000000000003</v>
      </c>
      <c r="BU108" t="s">
        <v>525</v>
      </c>
      <c r="BV108" t="s">
        <v>101</v>
      </c>
      <c r="BY108">
        <v>93096.960000000006</v>
      </c>
      <c r="CA108" t="s">
        <v>526</v>
      </c>
      <c r="CC108" t="s">
        <v>154</v>
      </c>
      <c r="CD108">
        <v>2196</v>
      </c>
      <c r="CE108" t="s">
        <v>505</v>
      </c>
      <c r="CF108" s="3">
        <v>44617</v>
      </c>
      <c r="CI108">
        <v>2</v>
      </c>
      <c r="CJ108">
        <v>2</v>
      </c>
      <c r="CK108">
        <v>41</v>
      </c>
      <c r="CL108" t="s">
        <v>84</v>
      </c>
    </row>
    <row r="109" spans="1:90" x14ac:dyDescent="0.25">
      <c r="A109" t="s">
        <v>72</v>
      </c>
      <c r="B109" t="s">
        <v>73</v>
      </c>
      <c r="C109" t="s">
        <v>74</v>
      </c>
      <c r="E109" t="str">
        <f>"GAB2008409"</f>
        <v>GAB2008409</v>
      </c>
      <c r="F109" s="3">
        <v>44614</v>
      </c>
      <c r="G109">
        <v>202208</v>
      </c>
      <c r="H109" t="s">
        <v>75</v>
      </c>
      <c r="I109" t="s">
        <v>76</v>
      </c>
      <c r="J109" t="s">
        <v>77</v>
      </c>
      <c r="K109" t="s">
        <v>78</v>
      </c>
      <c r="L109" t="s">
        <v>378</v>
      </c>
      <c r="M109" t="s">
        <v>379</v>
      </c>
      <c r="N109" t="s">
        <v>380</v>
      </c>
      <c r="O109" t="s">
        <v>80</v>
      </c>
      <c r="P109" t="str">
        <f>"CT072131                      "</f>
        <v xml:space="preserve">CT072131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47.15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0.3</v>
      </c>
      <c r="BJ109">
        <v>2.6</v>
      </c>
      <c r="BK109">
        <v>3</v>
      </c>
      <c r="BL109">
        <v>169.61</v>
      </c>
      <c r="BM109">
        <v>25.44</v>
      </c>
      <c r="BN109">
        <v>195.05</v>
      </c>
      <c r="BO109">
        <v>195.05</v>
      </c>
      <c r="BQ109" t="s">
        <v>527</v>
      </c>
      <c r="BR109" t="s">
        <v>82</v>
      </c>
      <c r="BS109" s="3">
        <v>44615</v>
      </c>
      <c r="BT109" s="4">
        <v>0.36041666666666666</v>
      </c>
      <c r="BU109" t="s">
        <v>528</v>
      </c>
      <c r="BV109" t="s">
        <v>101</v>
      </c>
      <c r="BY109">
        <v>13160</v>
      </c>
      <c r="BZ109" t="s">
        <v>87</v>
      </c>
      <c r="CA109" t="s">
        <v>383</v>
      </c>
      <c r="CC109" t="s">
        <v>379</v>
      </c>
      <c r="CD109">
        <v>1900</v>
      </c>
      <c r="CE109" t="s">
        <v>208</v>
      </c>
      <c r="CI109">
        <v>1</v>
      </c>
      <c r="CJ109">
        <v>1</v>
      </c>
      <c r="CK109">
        <v>23</v>
      </c>
      <c r="CL109" t="s">
        <v>84</v>
      </c>
    </row>
    <row r="110" spans="1:90" x14ac:dyDescent="0.25">
      <c r="A110" t="s">
        <v>72</v>
      </c>
      <c r="B110" t="s">
        <v>73</v>
      </c>
      <c r="C110" t="s">
        <v>74</v>
      </c>
      <c r="E110" t="str">
        <f>"GAB2008437"</f>
        <v>GAB2008437</v>
      </c>
      <c r="F110" s="3">
        <v>44614</v>
      </c>
      <c r="G110">
        <v>202208</v>
      </c>
      <c r="H110" t="s">
        <v>75</v>
      </c>
      <c r="I110" t="s">
        <v>76</v>
      </c>
      <c r="J110" t="s">
        <v>77</v>
      </c>
      <c r="K110" t="s">
        <v>78</v>
      </c>
      <c r="L110" t="s">
        <v>384</v>
      </c>
      <c r="M110" t="s">
        <v>385</v>
      </c>
      <c r="N110" t="s">
        <v>386</v>
      </c>
      <c r="O110" t="s">
        <v>125</v>
      </c>
      <c r="P110" t="str">
        <f>"CT072157                      "</f>
        <v xml:space="preserve">CT072157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32.42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2.4</v>
      </c>
      <c r="BJ110">
        <v>13.1</v>
      </c>
      <c r="BK110">
        <v>14</v>
      </c>
      <c r="BL110">
        <v>121.87</v>
      </c>
      <c r="BM110">
        <v>18.28</v>
      </c>
      <c r="BN110">
        <v>140.15</v>
      </c>
      <c r="BO110">
        <v>140.15</v>
      </c>
      <c r="BQ110" t="s">
        <v>387</v>
      </c>
      <c r="BR110" t="s">
        <v>82</v>
      </c>
      <c r="BS110" s="3">
        <v>44616</v>
      </c>
      <c r="BT110" s="4">
        <v>0.42708333333333331</v>
      </c>
      <c r="BU110" t="s">
        <v>388</v>
      </c>
      <c r="BV110" t="s">
        <v>101</v>
      </c>
      <c r="BY110">
        <v>65465.4</v>
      </c>
      <c r="CA110" t="s">
        <v>389</v>
      </c>
      <c r="CC110" t="s">
        <v>385</v>
      </c>
      <c r="CD110">
        <v>2194</v>
      </c>
      <c r="CE110" t="s">
        <v>529</v>
      </c>
      <c r="CF110" s="3">
        <v>44617</v>
      </c>
      <c r="CI110">
        <v>2</v>
      </c>
      <c r="CJ110">
        <v>2</v>
      </c>
      <c r="CK110">
        <v>41</v>
      </c>
      <c r="CL110" t="s">
        <v>84</v>
      </c>
    </row>
    <row r="111" spans="1:90" x14ac:dyDescent="0.25">
      <c r="A111" t="s">
        <v>72</v>
      </c>
      <c r="B111" t="s">
        <v>73</v>
      </c>
      <c r="C111" t="s">
        <v>74</v>
      </c>
      <c r="E111" t="str">
        <f>"GAB2008414"</f>
        <v>GAB2008414</v>
      </c>
      <c r="F111" s="3">
        <v>44614</v>
      </c>
      <c r="G111">
        <v>202208</v>
      </c>
      <c r="H111" t="s">
        <v>75</v>
      </c>
      <c r="I111" t="s">
        <v>76</v>
      </c>
      <c r="J111" t="s">
        <v>77</v>
      </c>
      <c r="K111" t="s">
        <v>78</v>
      </c>
      <c r="L111" t="s">
        <v>75</v>
      </c>
      <c r="M111" t="s">
        <v>76</v>
      </c>
      <c r="N111" t="s">
        <v>530</v>
      </c>
      <c r="O111" t="s">
        <v>80</v>
      </c>
      <c r="P111" t="str">
        <f>"CT072137                      "</f>
        <v xml:space="preserve">CT072137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13.09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0.3</v>
      </c>
      <c r="BJ111">
        <v>2.5</v>
      </c>
      <c r="BK111">
        <v>2.5</v>
      </c>
      <c r="BL111">
        <v>47.1</v>
      </c>
      <c r="BM111">
        <v>7.07</v>
      </c>
      <c r="BN111">
        <v>54.17</v>
      </c>
      <c r="BO111">
        <v>54.17</v>
      </c>
      <c r="BQ111" t="s">
        <v>531</v>
      </c>
      <c r="BR111" t="s">
        <v>82</v>
      </c>
      <c r="BS111" s="3">
        <v>44615</v>
      </c>
      <c r="BT111" s="4">
        <v>0.40347222222222223</v>
      </c>
      <c r="BU111" t="s">
        <v>532</v>
      </c>
      <c r="BV111" t="s">
        <v>101</v>
      </c>
      <c r="BY111">
        <v>12480.15</v>
      </c>
      <c r="BZ111" t="s">
        <v>87</v>
      </c>
      <c r="CA111" t="s">
        <v>533</v>
      </c>
      <c r="CC111" t="s">
        <v>76</v>
      </c>
      <c r="CD111">
        <v>7441</v>
      </c>
      <c r="CE111" t="s">
        <v>103</v>
      </c>
      <c r="CF111" s="3">
        <v>44616</v>
      </c>
      <c r="CI111">
        <v>1</v>
      </c>
      <c r="CJ111">
        <v>1</v>
      </c>
      <c r="CK111">
        <v>22</v>
      </c>
      <c r="CL111" t="s">
        <v>84</v>
      </c>
    </row>
    <row r="112" spans="1:90" x14ac:dyDescent="0.25">
      <c r="A112" t="s">
        <v>72</v>
      </c>
      <c r="B112" t="s">
        <v>73</v>
      </c>
      <c r="C112" t="s">
        <v>74</v>
      </c>
      <c r="E112" t="str">
        <f>"GAB2008424"</f>
        <v>GAB2008424</v>
      </c>
      <c r="F112" s="3">
        <v>44614</v>
      </c>
      <c r="G112">
        <v>202208</v>
      </c>
      <c r="H112" t="s">
        <v>75</v>
      </c>
      <c r="I112" t="s">
        <v>76</v>
      </c>
      <c r="J112" t="s">
        <v>77</v>
      </c>
      <c r="K112" t="s">
        <v>78</v>
      </c>
      <c r="L112" t="s">
        <v>153</v>
      </c>
      <c r="M112" t="s">
        <v>154</v>
      </c>
      <c r="N112" t="s">
        <v>534</v>
      </c>
      <c r="O112" t="s">
        <v>125</v>
      </c>
      <c r="P112" t="str">
        <f>"CT071641                      "</f>
        <v xml:space="preserve">CT071641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32.42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5.7</v>
      </c>
      <c r="BJ112">
        <v>12.7</v>
      </c>
      <c r="BK112">
        <v>13</v>
      </c>
      <c r="BL112">
        <v>121.87</v>
      </c>
      <c r="BM112">
        <v>18.28</v>
      </c>
      <c r="BN112">
        <v>140.15</v>
      </c>
      <c r="BO112">
        <v>140.15</v>
      </c>
      <c r="BQ112" t="s">
        <v>311</v>
      </c>
      <c r="BR112" t="s">
        <v>82</v>
      </c>
      <c r="BS112" s="3">
        <v>44616</v>
      </c>
      <c r="BT112" s="4">
        <v>0.40625</v>
      </c>
      <c r="BU112" t="s">
        <v>535</v>
      </c>
      <c r="BV112" t="s">
        <v>101</v>
      </c>
      <c r="BY112">
        <v>63737.1</v>
      </c>
      <c r="CA112" t="s">
        <v>536</v>
      </c>
      <c r="CC112" t="s">
        <v>154</v>
      </c>
      <c r="CD112">
        <v>1803</v>
      </c>
      <c r="CE112" t="s">
        <v>537</v>
      </c>
      <c r="CF112" s="3">
        <v>44617</v>
      </c>
      <c r="CI112">
        <v>2</v>
      </c>
      <c r="CJ112">
        <v>2</v>
      </c>
      <c r="CK112">
        <v>41</v>
      </c>
      <c r="CL112" t="s">
        <v>84</v>
      </c>
    </row>
    <row r="113" spans="1:90" x14ac:dyDescent="0.25">
      <c r="A113" t="s">
        <v>72</v>
      </c>
      <c r="B113" t="s">
        <v>73</v>
      </c>
      <c r="C113" t="s">
        <v>74</v>
      </c>
      <c r="E113" t="str">
        <f>"GAB2008411"</f>
        <v>GAB2008411</v>
      </c>
      <c r="F113" s="3">
        <v>44614</v>
      </c>
      <c r="G113">
        <v>202208</v>
      </c>
      <c r="H113" t="s">
        <v>75</v>
      </c>
      <c r="I113" t="s">
        <v>76</v>
      </c>
      <c r="J113" t="s">
        <v>77</v>
      </c>
      <c r="K113" t="s">
        <v>78</v>
      </c>
      <c r="L113" t="s">
        <v>75</v>
      </c>
      <c r="M113" t="s">
        <v>76</v>
      </c>
      <c r="N113" t="s">
        <v>538</v>
      </c>
      <c r="O113" t="s">
        <v>80</v>
      </c>
      <c r="P113" t="str">
        <f>"CT072136                      "</f>
        <v xml:space="preserve">CT072136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13.09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0.3</v>
      </c>
      <c r="BJ113">
        <v>2.6</v>
      </c>
      <c r="BK113">
        <v>3</v>
      </c>
      <c r="BL113">
        <v>47.1</v>
      </c>
      <c r="BM113">
        <v>7.07</v>
      </c>
      <c r="BN113">
        <v>54.17</v>
      </c>
      <c r="BO113">
        <v>54.17</v>
      </c>
      <c r="BQ113" t="s">
        <v>539</v>
      </c>
      <c r="BR113" t="s">
        <v>82</v>
      </c>
      <c r="BS113" s="3">
        <v>44615</v>
      </c>
      <c r="BT113" s="4">
        <v>0.3756944444444445</v>
      </c>
      <c r="BU113" t="s">
        <v>540</v>
      </c>
      <c r="BV113" t="s">
        <v>101</v>
      </c>
      <c r="BY113">
        <v>13079.22</v>
      </c>
      <c r="BZ113" t="s">
        <v>87</v>
      </c>
      <c r="CA113" t="s">
        <v>88</v>
      </c>
      <c r="CC113" t="s">
        <v>76</v>
      </c>
      <c r="CD113">
        <v>7550</v>
      </c>
      <c r="CE113" t="s">
        <v>103</v>
      </c>
      <c r="CF113" s="3">
        <v>44616</v>
      </c>
      <c r="CI113">
        <v>1</v>
      </c>
      <c r="CJ113">
        <v>1</v>
      </c>
      <c r="CK113">
        <v>22</v>
      </c>
      <c r="CL113" t="s">
        <v>84</v>
      </c>
    </row>
    <row r="114" spans="1:90" x14ac:dyDescent="0.25">
      <c r="A114" t="s">
        <v>72</v>
      </c>
      <c r="B114" t="s">
        <v>73</v>
      </c>
      <c r="C114" t="s">
        <v>74</v>
      </c>
      <c r="E114" t="str">
        <f>"009942035621"</f>
        <v>009942035621</v>
      </c>
      <c r="F114" s="3">
        <v>44608</v>
      </c>
      <c r="G114">
        <v>202208</v>
      </c>
      <c r="H114" t="s">
        <v>541</v>
      </c>
      <c r="I114" t="s">
        <v>542</v>
      </c>
      <c r="J114" t="s">
        <v>543</v>
      </c>
      <c r="K114" t="s">
        <v>78</v>
      </c>
      <c r="L114" t="s">
        <v>75</v>
      </c>
      <c r="M114" t="s">
        <v>76</v>
      </c>
      <c r="N114" t="s">
        <v>111</v>
      </c>
      <c r="O114" t="s">
        <v>125</v>
      </c>
      <c r="P114" t="str">
        <f>"NA                            "</f>
        <v xml:space="preserve">NA 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15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32.42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2.8</v>
      </c>
      <c r="BJ114">
        <v>0.5</v>
      </c>
      <c r="BK114">
        <v>3</v>
      </c>
      <c r="BL114">
        <v>136.87</v>
      </c>
      <c r="BM114">
        <v>20.53</v>
      </c>
      <c r="BN114">
        <v>157.4</v>
      </c>
      <c r="BO114">
        <v>157.4</v>
      </c>
      <c r="BQ114" t="s">
        <v>477</v>
      </c>
      <c r="BR114" t="s">
        <v>544</v>
      </c>
      <c r="BS114" s="3">
        <v>44610</v>
      </c>
      <c r="BT114" s="4">
        <v>0.47916666666666669</v>
      </c>
      <c r="BU114" t="s">
        <v>273</v>
      </c>
      <c r="BV114" t="s">
        <v>101</v>
      </c>
      <c r="BY114">
        <v>2542.7199999999998</v>
      </c>
      <c r="BZ114" t="s">
        <v>545</v>
      </c>
      <c r="CA114" t="s">
        <v>274</v>
      </c>
      <c r="CC114" t="s">
        <v>76</v>
      </c>
      <c r="CD114">
        <v>7460</v>
      </c>
      <c r="CE114" t="s">
        <v>130</v>
      </c>
      <c r="CF114" s="3">
        <v>44613</v>
      </c>
      <c r="CI114">
        <v>2</v>
      </c>
      <c r="CJ114">
        <v>2</v>
      </c>
      <c r="CK114">
        <v>41</v>
      </c>
      <c r="CL114" t="s">
        <v>84</v>
      </c>
    </row>
    <row r="115" spans="1:90" x14ac:dyDescent="0.25">
      <c r="A115" t="s">
        <v>72</v>
      </c>
      <c r="B115" t="s">
        <v>73</v>
      </c>
      <c r="C115" t="s">
        <v>74</v>
      </c>
      <c r="E115" t="str">
        <f>"009941244136"</f>
        <v>009941244136</v>
      </c>
      <c r="F115" s="3">
        <v>44608</v>
      </c>
      <c r="G115">
        <v>202208</v>
      </c>
      <c r="H115" t="s">
        <v>147</v>
      </c>
      <c r="I115" t="s">
        <v>148</v>
      </c>
      <c r="J115" t="s">
        <v>546</v>
      </c>
      <c r="K115" t="s">
        <v>78</v>
      </c>
      <c r="L115" t="s">
        <v>109</v>
      </c>
      <c r="M115" t="s">
        <v>110</v>
      </c>
      <c r="N115" t="s">
        <v>547</v>
      </c>
      <c r="O115" t="s">
        <v>125</v>
      </c>
      <c r="P115" t="str">
        <f>"                              "</f>
        <v xml:space="preserve">  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45.72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2</v>
      </c>
      <c r="BJ115">
        <v>0.7</v>
      </c>
      <c r="BK115">
        <v>2</v>
      </c>
      <c r="BL115">
        <v>169.72</v>
      </c>
      <c r="BM115">
        <v>25.46</v>
      </c>
      <c r="BN115">
        <v>195.18</v>
      </c>
      <c r="BO115">
        <v>195.18</v>
      </c>
      <c r="BR115" t="s">
        <v>367</v>
      </c>
      <c r="BS115" s="3">
        <v>44613</v>
      </c>
      <c r="BT115" s="4">
        <v>0.48680555555555555</v>
      </c>
      <c r="BU115" t="s">
        <v>548</v>
      </c>
      <c r="BV115" t="s">
        <v>101</v>
      </c>
      <c r="BY115">
        <v>3600</v>
      </c>
      <c r="BZ115" t="s">
        <v>137</v>
      </c>
      <c r="CC115" t="s">
        <v>110</v>
      </c>
      <c r="CD115">
        <v>46</v>
      </c>
      <c r="CE115" t="s">
        <v>130</v>
      </c>
      <c r="CF115" s="3">
        <v>44613</v>
      </c>
      <c r="CI115">
        <v>3</v>
      </c>
      <c r="CJ115">
        <v>3</v>
      </c>
      <c r="CK115">
        <v>43</v>
      </c>
      <c r="CL115" t="s">
        <v>84</v>
      </c>
    </row>
    <row r="116" spans="1:90" x14ac:dyDescent="0.25">
      <c r="A116" t="s">
        <v>72</v>
      </c>
      <c r="B116" t="s">
        <v>73</v>
      </c>
      <c r="C116" t="s">
        <v>74</v>
      </c>
      <c r="E116" t="str">
        <f>"009941372603"</f>
        <v>009941372603</v>
      </c>
      <c r="F116" s="3">
        <v>44615</v>
      </c>
      <c r="G116">
        <v>202208</v>
      </c>
      <c r="H116" t="s">
        <v>116</v>
      </c>
      <c r="I116" t="s">
        <v>117</v>
      </c>
      <c r="J116" t="s">
        <v>549</v>
      </c>
      <c r="K116" t="s">
        <v>78</v>
      </c>
      <c r="L116" t="s">
        <v>75</v>
      </c>
      <c r="M116" t="s">
        <v>76</v>
      </c>
      <c r="N116" t="s">
        <v>111</v>
      </c>
      <c r="O116" t="s">
        <v>125</v>
      </c>
      <c r="P116" t="str">
        <f>"NA                            "</f>
        <v xml:space="preserve">NA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153.99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2</v>
      </c>
      <c r="BI116">
        <v>106</v>
      </c>
      <c r="BJ116">
        <v>39.200000000000003</v>
      </c>
      <c r="BK116">
        <v>106</v>
      </c>
      <c r="BL116">
        <v>559.21</v>
      </c>
      <c r="BM116">
        <v>83.88</v>
      </c>
      <c r="BN116">
        <v>643.09</v>
      </c>
      <c r="BO116">
        <v>643.09</v>
      </c>
      <c r="BR116" t="s">
        <v>550</v>
      </c>
      <c r="BS116" s="3">
        <v>44617</v>
      </c>
      <c r="BT116" s="4">
        <v>0.4513888888888889</v>
      </c>
      <c r="BU116" t="s">
        <v>273</v>
      </c>
      <c r="BV116" t="s">
        <v>101</v>
      </c>
      <c r="BY116">
        <v>98000</v>
      </c>
      <c r="BZ116" t="s">
        <v>137</v>
      </c>
      <c r="CA116" t="s">
        <v>274</v>
      </c>
      <c r="CC116" t="s">
        <v>76</v>
      </c>
      <c r="CD116">
        <v>7460</v>
      </c>
      <c r="CE116" t="s">
        <v>130</v>
      </c>
      <c r="CF116" s="3">
        <v>44620</v>
      </c>
      <c r="CI116">
        <v>2</v>
      </c>
      <c r="CJ116">
        <v>2</v>
      </c>
      <c r="CK116">
        <v>41</v>
      </c>
      <c r="CL116" t="s">
        <v>84</v>
      </c>
    </row>
    <row r="117" spans="1:90" x14ac:dyDescent="0.25">
      <c r="A117" t="s">
        <v>72</v>
      </c>
      <c r="B117" t="s">
        <v>73</v>
      </c>
      <c r="C117" t="s">
        <v>74</v>
      </c>
      <c r="E117" t="str">
        <f>"GAB2008447"</f>
        <v>GAB2008447</v>
      </c>
      <c r="F117" s="3">
        <v>44615</v>
      </c>
      <c r="G117">
        <v>202208</v>
      </c>
      <c r="H117" t="s">
        <v>75</v>
      </c>
      <c r="I117" t="s">
        <v>76</v>
      </c>
      <c r="J117" t="s">
        <v>77</v>
      </c>
      <c r="K117" t="s">
        <v>78</v>
      </c>
      <c r="L117" t="s">
        <v>252</v>
      </c>
      <c r="M117" t="s">
        <v>253</v>
      </c>
      <c r="N117" t="s">
        <v>551</v>
      </c>
      <c r="O117" t="s">
        <v>80</v>
      </c>
      <c r="P117" t="str">
        <f>"CT072173                      "</f>
        <v xml:space="preserve">CT072173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32.479999999999997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0.5</v>
      </c>
      <c r="BJ117">
        <v>1.8</v>
      </c>
      <c r="BK117">
        <v>2</v>
      </c>
      <c r="BL117">
        <v>116.84</v>
      </c>
      <c r="BM117">
        <v>17.53</v>
      </c>
      <c r="BN117">
        <v>134.37</v>
      </c>
      <c r="BO117">
        <v>134.37</v>
      </c>
      <c r="BQ117" t="s">
        <v>552</v>
      </c>
      <c r="BR117" t="s">
        <v>82</v>
      </c>
      <c r="BS117" s="3">
        <v>44617</v>
      </c>
      <c r="BT117" s="4">
        <v>0.50694444444444442</v>
      </c>
      <c r="BU117" t="s">
        <v>553</v>
      </c>
      <c r="BV117" t="s">
        <v>84</v>
      </c>
      <c r="BW117" t="s">
        <v>268</v>
      </c>
      <c r="BX117" t="s">
        <v>269</v>
      </c>
      <c r="BY117">
        <v>9018.36</v>
      </c>
      <c r="BZ117" t="s">
        <v>87</v>
      </c>
      <c r="CA117" t="s">
        <v>257</v>
      </c>
      <c r="CC117" t="s">
        <v>253</v>
      </c>
      <c r="CD117">
        <v>4400</v>
      </c>
      <c r="CE117" t="s">
        <v>554</v>
      </c>
      <c r="CF117" s="3">
        <v>44620</v>
      </c>
      <c r="CI117">
        <v>1</v>
      </c>
      <c r="CJ117">
        <v>2</v>
      </c>
      <c r="CK117">
        <v>23</v>
      </c>
      <c r="CL117" t="s">
        <v>84</v>
      </c>
    </row>
    <row r="118" spans="1:90" x14ac:dyDescent="0.25">
      <c r="A118" t="s">
        <v>72</v>
      </c>
      <c r="B118" t="s">
        <v>73</v>
      </c>
      <c r="C118" t="s">
        <v>74</v>
      </c>
      <c r="E118" t="str">
        <f>"GAB2008449"</f>
        <v>GAB2008449</v>
      </c>
      <c r="F118" s="3">
        <v>44615</v>
      </c>
      <c r="G118">
        <v>202208</v>
      </c>
      <c r="H118" t="s">
        <v>75</v>
      </c>
      <c r="I118" t="s">
        <v>76</v>
      </c>
      <c r="J118" t="s">
        <v>77</v>
      </c>
      <c r="K118" t="s">
        <v>78</v>
      </c>
      <c r="L118" t="s">
        <v>555</v>
      </c>
      <c r="M118" t="s">
        <v>556</v>
      </c>
      <c r="N118" t="s">
        <v>557</v>
      </c>
      <c r="O118" t="s">
        <v>80</v>
      </c>
      <c r="P118" t="str">
        <f>"ORD007155                     "</f>
        <v xml:space="preserve">ORD007155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47.15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0.2</v>
      </c>
      <c r="BJ118">
        <v>2.9</v>
      </c>
      <c r="BK118">
        <v>3</v>
      </c>
      <c r="BL118">
        <v>169.61</v>
      </c>
      <c r="BM118">
        <v>25.44</v>
      </c>
      <c r="BN118">
        <v>195.05</v>
      </c>
      <c r="BO118">
        <v>195.05</v>
      </c>
      <c r="BQ118" t="s">
        <v>558</v>
      </c>
      <c r="BR118" t="s">
        <v>82</v>
      </c>
      <c r="BS118" s="3">
        <v>44616</v>
      </c>
      <c r="BT118" s="4">
        <v>0.54236111111111118</v>
      </c>
      <c r="BU118" t="s">
        <v>559</v>
      </c>
      <c r="BV118" t="s">
        <v>101</v>
      </c>
      <c r="BY118">
        <v>14634.36</v>
      </c>
      <c r="BZ118" t="s">
        <v>87</v>
      </c>
      <c r="CA118" t="s">
        <v>560</v>
      </c>
      <c r="CC118" t="s">
        <v>556</v>
      </c>
      <c r="CD118">
        <v>1759</v>
      </c>
      <c r="CE118" t="s">
        <v>103</v>
      </c>
      <c r="CF118" s="3">
        <v>44617</v>
      </c>
      <c r="CI118">
        <v>1</v>
      </c>
      <c r="CJ118">
        <v>1</v>
      </c>
      <c r="CK118">
        <v>23</v>
      </c>
      <c r="CL118" t="s">
        <v>84</v>
      </c>
    </row>
    <row r="119" spans="1:90" x14ac:dyDescent="0.25">
      <c r="A119" t="s">
        <v>72</v>
      </c>
      <c r="B119" t="s">
        <v>73</v>
      </c>
      <c r="C119" t="s">
        <v>74</v>
      </c>
      <c r="E119" t="str">
        <f>"GAB2008440"</f>
        <v>GAB2008440</v>
      </c>
      <c r="F119" s="3">
        <v>44615</v>
      </c>
      <c r="G119">
        <v>202208</v>
      </c>
      <c r="H119" t="s">
        <v>75</v>
      </c>
      <c r="I119" t="s">
        <v>76</v>
      </c>
      <c r="J119" t="s">
        <v>77</v>
      </c>
      <c r="K119" t="s">
        <v>78</v>
      </c>
      <c r="L119" t="s">
        <v>561</v>
      </c>
      <c r="M119" t="s">
        <v>562</v>
      </c>
      <c r="N119" t="s">
        <v>563</v>
      </c>
      <c r="O119" t="s">
        <v>80</v>
      </c>
      <c r="P119" t="str">
        <f>"CT072168                      "</f>
        <v xml:space="preserve">CT072168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29.32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0.2</v>
      </c>
      <c r="BJ119">
        <v>2.2000000000000002</v>
      </c>
      <c r="BK119">
        <v>2.5</v>
      </c>
      <c r="BL119">
        <v>105.47</v>
      </c>
      <c r="BM119">
        <v>15.82</v>
      </c>
      <c r="BN119">
        <v>121.29</v>
      </c>
      <c r="BO119">
        <v>121.29</v>
      </c>
      <c r="BQ119" t="s">
        <v>564</v>
      </c>
      <c r="BR119" t="s">
        <v>82</v>
      </c>
      <c r="BS119" s="3">
        <v>44616</v>
      </c>
      <c r="BT119" s="4">
        <v>0.51180555555555551</v>
      </c>
      <c r="BU119" t="s">
        <v>565</v>
      </c>
      <c r="BV119" t="s">
        <v>101</v>
      </c>
      <c r="BY119">
        <v>11100.38</v>
      </c>
      <c r="BZ119" t="s">
        <v>87</v>
      </c>
      <c r="CA119" t="s">
        <v>566</v>
      </c>
      <c r="CC119" t="s">
        <v>562</v>
      </c>
      <c r="CD119">
        <v>6850</v>
      </c>
      <c r="CE119" t="s">
        <v>97</v>
      </c>
      <c r="CF119" s="3">
        <v>44617</v>
      </c>
      <c r="CI119">
        <v>2</v>
      </c>
      <c r="CJ119">
        <v>1</v>
      </c>
      <c r="CK119">
        <v>24</v>
      </c>
      <c r="CL119" t="s">
        <v>84</v>
      </c>
    </row>
    <row r="120" spans="1:90" x14ac:dyDescent="0.25">
      <c r="A120" t="s">
        <v>72</v>
      </c>
      <c r="B120" t="s">
        <v>73</v>
      </c>
      <c r="C120" t="s">
        <v>74</v>
      </c>
      <c r="E120" t="str">
        <f>"GAB2008444"</f>
        <v>GAB2008444</v>
      </c>
      <c r="F120" s="3">
        <v>44615</v>
      </c>
      <c r="G120">
        <v>202208</v>
      </c>
      <c r="H120" t="s">
        <v>75</v>
      </c>
      <c r="I120" t="s">
        <v>76</v>
      </c>
      <c r="J120" t="s">
        <v>77</v>
      </c>
      <c r="K120" t="s">
        <v>78</v>
      </c>
      <c r="L120" t="s">
        <v>131</v>
      </c>
      <c r="M120" t="s">
        <v>132</v>
      </c>
      <c r="N120" t="s">
        <v>276</v>
      </c>
      <c r="O120" t="s">
        <v>80</v>
      </c>
      <c r="P120" t="str">
        <f>"ORD007124                     "</f>
        <v xml:space="preserve">ORD007124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20.95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0.2</v>
      </c>
      <c r="BJ120">
        <v>2.5</v>
      </c>
      <c r="BK120">
        <v>2.5</v>
      </c>
      <c r="BL120">
        <v>75.37</v>
      </c>
      <c r="BM120">
        <v>11.31</v>
      </c>
      <c r="BN120">
        <v>86.68</v>
      </c>
      <c r="BO120">
        <v>86.68</v>
      </c>
      <c r="BQ120" t="s">
        <v>567</v>
      </c>
      <c r="BR120" t="s">
        <v>82</v>
      </c>
      <c r="BS120" s="3">
        <v>44617</v>
      </c>
      <c r="BT120" s="4">
        <v>0.35069444444444442</v>
      </c>
      <c r="BU120" t="s">
        <v>568</v>
      </c>
      <c r="BV120" t="s">
        <v>84</v>
      </c>
      <c r="BW120" t="s">
        <v>268</v>
      </c>
      <c r="BX120" t="s">
        <v>269</v>
      </c>
      <c r="BY120">
        <v>12634.65</v>
      </c>
      <c r="BZ120" t="s">
        <v>87</v>
      </c>
      <c r="CA120" t="s">
        <v>280</v>
      </c>
      <c r="CC120" t="s">
        <v>132</v>
      </c>
      <c r="CD120">
        <v>4000</v>
      </c>
      <c r="CE120" t="s">
        <v>89</v>
      </c>
      <c r="CF120" s="3">
        <v>44620</v>
      </c>
      <c r="CI120">
        <v>1</v>
      </c>
      <c r="CJ120">
        <v>2</v>
      </c>
      <c r="CK120">
        <v>21</v>
      </c>
      <c r="CL120" t="s">
        <v>84</v>
      </c>
    </row>
    <row r="121" spans="1:90" x14ac:dyDescent="0.25">
      <c r="A121" t="s">
        <v>72</v>
      </c>
      <c r="B121" t="s">
        <v>73</v>
      </c>
      <c r="C121" t="s">
        <v>74</v>
      </c>
      <c r="E121" t="str">
        <f>"GAB2008445"</f>
        <v>GAB2008445</v>
      </c>
      <c r="F121" s="3">
        <v>44615</v>
      </c>
      <c r="G121">
        <v>202208</v>
      </c>
      <c r="H121" t="s">
        <v>75</v>
      </c>
      <c r="I121" t="s">
        <v>76</v>
      </c>
      <c r="J121" t="s">
        <v>77</v>
      </c>
      <c r="K121" t="s">
        <v>78</v>
      </c>
      <c r="L121" t="s">
        <v>569</v>
      </c>
      <c r="M121" t="s">
        <v>570</v>
      </c>
      <c r="N121" t="s">
        <v>571</v>
      </c>
      <c r="O121" t="s">
        <v>80</v>
      </c>
      <c r="P121" t="str">
        <f>"CT072171                      "</f>
        <v xml:space="preserve">CT072171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47.15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15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0.2</v>
      </c>
      <c r="BJ121">
        <v>2.9</v>
      </c>
      <c r="BK121">
        <v>3</v>
      </c>
      <c r="BL121">
        <v>184.61</v>
      </c>
      <c r="BM121">
        <v>27.69</v>
      </c>
      <c r="BN121">
        <v>212.3</v>
      </c>
      <c r="BO121">
        <v>212.3</v>
      </c>
      <c r="BQ121" t="s">
        <v>572</v>
      </c>
      <c r="BR121" t="s">
        <v>82</v>
      </c>
      <c r="BS121" s="3">
        <v>44616</v>
      </c>
      <c r="BT121" s="4">
        <v>0.34375</v>
      </c>
      <c r="BU121" t="s">
        <v>573</v>
      </c>
      <c r="BV121" t="s">
        <v>101</v>
      </c>
      <c r="BY121">
        <v>14365.92</v>
      </c>
      <c r="BZ121" t="s">
        <v>121</v>
      </c>
      <c r="CA121" t="s">
        <v>574</v>
      </c>
      <c r="CC121" t="s">
        <v>570</v>
      </c>
      <c r="CD121">
        <v>1982</v>
      </c>
      <c r="CE121" t="s">
        <v>103</v>
      </c>
      <c r="CF121" s="3">
        <v>44617</v>
      </c>
      <c r="CI121">
        <v>1</v>
      </c>
      <c r="CJ121">
        <v>1</v>
      </c>
      <c r="CK121">
        <v>23</v>
      </c>
      <c r="CL121" t="s">
        <v>84</v>
      </c>
    </row>
    <row r="122" spans="1:90" x14ac:dyDescent="0.25">
      <c r="A122" t="s">
        <v>72</v>
      </c>
      <c r="B122" t="s">
        <v>73</v>
      </c>
      <c r="C122" t="s">
        <v>74</v>
      </c>
      <c r="E122" t="str">
        <f>"GAB2008442"</f>
        <v>GAB2008442</v>
      </c>
      <c r="F122" s="3">
        <v>44615</v>
      </c>
      <c r="G122">
        <v>202208</v>
      </c>
      <c r="H122" t="s">
        <v>75</v>
      </c>
      <c r="I122" t="s">
        <v>76</v>
      </c>
      <c r="J122" t="s">
        <v>77</v>
      </c>
      <c r="K122" t="s">
        <v>78</v>
      </c>
      <c r="L122" t="s">
        <v>75</v>
      </c>
      <c r="M122" t="s">
        <v>76</v>
      </c>
      <c r="N122" t="s">
        <v>98</v>
      </c>
      <c r="O122" t="s">
        <v>80</v>
      </c>
      <c r="P122" t="str">
        <f>"CT072166                      "</f>
        <v xml:space="preserve">CT072166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13.09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0.1</v>
      </c>
      <c r="BJ122">
        <v>2.2999999999999998</v>
      </c>
      <c r="BK122">
        <v>2.5</v>
      </c>
      <c r="BL122">
        <v>47.1</v>
      </c>
      <c r="BM122">
        <v>7.07</v>
      </c>
      <c r="BN122">
        <v>54.17</v>
      </c>
      <c r="BO122">
        <v>54.17</v>
      </c>
      <c r="BQ122" t="s">
        <v>99</v>
      </c>
      <c r="BR122" t="s">
        <v>82</v>
      </c>
      <c r="BS122" s="3">
        <v>44616</v>
      </c>
      <c r="BT122" s="4">
        <v>0.39513888888888887</v>
      </c>
      <c r="BU122" t="s">
        <v>100</v>
      </c>
      <c r="BV122" t="s">
        <v>101</v>
      </c>
      <c r="BY122">
        <v>11293.12</v>
      </c>
      <c r="BZ122" t="s">
        <v>87</v>
      </c>
      <c r="CA122" t="s">
        <v>102</v>
      </c>
      <c r="CC122" t="s">
        <v>76</v>
      </c>
      <c r="CD122">
        <v>7800</v>
      </c>
      <c r="CE122" t="s">
        <v>152</v>
      </c>
      <c r="CF122" s="3">
        <v>44617</v>
      </c>
      <c r="CI122">
        <v>1</v>
      </c>
      <c r="CJ122">
        <v>1</v>
      </c>
      <c r="CK122">
        <v>22</v>
      </c>
      <c r="CL122" t="s">
        <v>84</v>
      </c>
    </row>
    <row r="123" spans="1:90" x14ac:dyDescent="0.25">
      <c r="A123" t="s">
        <v>72</v>
      </c>
      <c r="B123" t="s">
        <v>73</v>
      </c>
      <c r="C123" t="s">
        <v>74</v>
      </c>
      <c r="E123" t="str">
        <f>"GAB2008450"</f>
        <v>GAB2008450</v>
      </c>
      <c r="F123" s="3">
        <v>44615</v>
      </c>
      <c r="G123">
        <v>202208</v>
      </c>
      <c r="H123" t="s">
        <v>75</v>
      </c>
      <c r="I123" t="s">
        <v>76</v>
      </c>
      <c r="J123" t="s">
        <v>77</v>
      </c>
      <c r="K123" t="s">
        <v>78</v>
      </c>
      <c r="L123" t="s">
        <v>153</v>
      </c>
      <c r="M123" t="s">
        <v>154</v>
      </c>
      <c r="N123" t="s">
        <v>370</v>
      </c>
      <c r="O123" t="s">
        <v>80</v>
      </c>
      <c r="P123" t="str">
        <f>"ORD007173                     "</f>
        <v xml:space="preserve">ORD007173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29.33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15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0.3</v>
      </c>
      <c r="BJ123">
        <v>3.4</v>
      </c>
      <c r="BK123">
        <v>3.5</v>
      </c>
      <c r="BL123">
        <v>120.51</v>
      </c>
      <c r="BM123">
        <v>18.079999999999998</v>
      </c>
      <c r="BN123">
        <v>138.59</v>
      </c>
      <c r="BO123">
        <v>138.59</v>
      </c>
      <c r="BQ123" t="s">
        <v>371</v>
      </c>
      <c r="BR123" t="s">
        <v>82</v>
      </c>
      <c r="BS123" s="3">
        <v>44616</v>
      </c>
      <c r="BT123" s="4">
        <v>0.33333333333333331</v>
      </c>
      <c r="BU123" t="s">
        <v>575</v>
      </c>
      <c r="BV123" t="s">
        <v>101</v>
      </c>
      <c r="BY123">
        <v>17023.55</v>
      </c>
      <c r="BZ123" t="s">
        <v>121</v>
      </c>
      <c r="CA123" t="s">
        <v>373</v>
      </c>
      <c r="CC123" t="s">
        <v>154</v>
      </c>
      <c r="CD123">
        <v>2000</v>
      </c>
      <c r="CE123" t="s">
        <v>208</v>
      </c>
      <c r="CF123" s="3">
        <v>44617</v>
      </c>
      <c r="CI123">
        <v>1</v>
      </c>
      <c r="CJ123">
        <v>1</v>
      </c>
      <c r="CK123">
        <v>21</v>
      </c>
      <c r="CL123" t="s">
        <v>84</v>
      </c>
    </row>
    <row r="124" spans="1:90" x14ac:dyDescent="0.25">
      <c r="A124" t="s">
        <v>72</v>
      </c>
      <c r="B124" t="s">
        <v>73</v>
      </c>
      <c r="C124" t="s">
        <v>74</v>
      </c>
      <c r="E124" t="str">
        <f>"GAB2008443"</f>
        <v>GAB2008443</v>
      </c>
      <c r="F124" s="3">
        <v>44615</v>
      </c>
      <c r="G124">
        <v>202208</v>
      </c>
      <c r="H124" t="s">
        <v>75</v>
      </c>
      <c r="I124" t="s">
        <v>76</v>
      </c>
      <c r="J124" t="s">
        <v>77</v>
      </c>
      <c r="K124" t="s">
        <v>78</v>
      </c>
      <c r="L124" t="s">
        <v>185</v>
      </c>
      <c r="M124" t="s">
        <v>186</v>
      </c>
      <c r="N124" t="s">
        <v>187</v>
      </c>
      <c r="O124" t="s">
        <v>80</v>
      </c>
      <c r="P124" t="str">
        <f>"CT072170                      "</f>
        <v xml:space="preserve">CT072170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39.81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15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0.2</v>
      </c>
      <c r="BJ124">
        <v>2.5</v>
      </c>
      <c r="BK124">
        <v>2.5</v>
      </c>
      <c r="BL124">
        <v>158.22</v>
      </c>
      <c r="BM124">
        <v>23.73</v>
      </c>
      <c r="BN124">
        <v>181.95</v>
      </c>
      <c r="BO124">
        <v>181.95</v>
      </c>
      <c r="BQ124" t="s">
        <v>188</v>
      </c>
      <c r="BR124" t="s">
        <v>82</v>
      </c>
      <c r="BS124" s="3">
        <v>44616</v>
      </c>
      <c r="BT124" s="4">
        <v>0.4375</v>
      </c>
      <c r="BU124" t="s">
        <v>576</v>
      </c>
      <c r="BV124" t="s">
        <v>101</v>
      </c>
      <c r="BY124">
        <v>12300</v>
      </c>
      <c r="BZ124" t="s">
        <v>121</v>
      </c>
      <c r="CA124" t="s">
        <v>190</v>
      </c>
      <c r="CC124" t="s">
        <v>186</v>
      </c>
      <c r="CD124">
        <v>2745</v>
      </c>
      <c r="CE124" t="s">
        <v>97</v>
      </c>
      <c r="CF124" s="3">
        <v>44617</v>
      </c>
      <c r="CI124">
        <v>1</v>
      </c>
      <c r="CJ124">
        <v>1</v>
      </c>
      <c r="CK124">
        <v>23</v>
      </c>
      <c r="CL124" t="s">
        <v>84</v>
      </c>
    </row>
    <row r="125" spans="1:90" x14ac:dyDescent="0.25">
      <c r="A125" t="s">
        <v>72</v>
      </c>
      <c r="B125" t="s">
        <v>73</v>
      </c>
      <c r="C125" t="s">
        <v>74</v>
      </c>
      <c r="E125" t="str">
        <f>"GAB2008441"</f>
        <v>GAB2008441</v>
      </c>
      <c r="F125" s="3">
        <v>44615</v>
      </c>
      <c r="G125">
        <v>202208</v>
      </c>
      <c r="H125" t="s">
        <v>75</v>
      </c>
      <c r="I125" t="s">
        <v>76</v>
      </c>
      <c r="J125" t="s">
        <v>77</v>
      </c>
      <c r="K125" t="s">
        <v>78</v>
      </c>
      <c r="L125" t="s">
        <v>75</v>
      </c>
      <c r="M125" t="s">
        <v>76</v>
      </c>
      <c r="N125" t="s">
        <v>577</v>
      </c>
      <c r="O125" t="s">
        <v>80</v>
      </c>
      <c r="P125" t="str">
        <f>"CT072167                      "</f>
        <v xml:space="preserve">CT072167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13.09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0.4</v>
      </c>
      <c r="BJ125">
        <v>2.5</v>
      </c>
      <c r="BK125">
        <v>2.5</v>
      </c>
      <c r="BL125">
        <v>47.1</v>
      </c>
      <c r="BM125">
        <v>7.07</v>
      </c>
      <c r="BN125">
        <v>54.17</v>
      </c>
      <c r="BO125">
        <v>54.17</v>
      </c>
      <c r="BQ125" t="s">
        <v>578</v>
      </c>
      <c r="BR125" t="s">
        <v>82</v>
      </c>
      <c r="BS125" s="3">
        <v>44616</v>
      </c>
      <c r="BT125" s="4">
        <v>0.40277777777777773</v>
      </c>
      <c r="BU125" t="s">
        <v>579</v>
      </c>
      <c r="BV125" t="s">
        <v>101</v>
      </c>
      <c r="BY125">
        <v>12648</v>
      </c>
      <c r="BZ125" t="s">
        <v>87</v>
      </c>
      <c r="CA125" t="s">
        <v>102</v>
      </c>
      <c r="CC125" t="s">
        <v>76</v>
      </c>
      <c r="CD125">
        <v>7800</v>
      </c>
      <c r="CE125" t="s">
        <v>580</v>
      </c>
      <c r="CF125" s="3">
        <v>44617</v>
      </c>
      <c r="CI125">
        <v>1</v>
      </c>
      <c r="CJ125">
        <v>1</v>
      </c>
      <c r="CK125">
        <v>22</v>
      </c>
      <c r="CL125" t="s">
        <v>84</v>
      </c>
    </row>
    <row r="126" spans="1:90" x14ac:dyDescent="0.25">
      <c r="A126" t="s">
        <v>72</v>
      </c>
      <c r="B126" t="s">
        <v>73</v>
      </c>
      <c r="C126" t="s">
        <v>74</v>
      </c>
      <c r="E126" t="str">
        <f>"009940857746"</f>
        <v>009940857746</v>
      </c>
      <c r="F126" s="3">
        <v>44614</v>
      </c>
      <c r="G126">
        <v>202208</v>
      </c>
      <c r="H126" t="s">
        <v>109</v>
      </c>
      <c r="I126" t="s">
        <v>110</v>
      </c>
      <c r="J126" t="s">
        <v>581</v>
      </c>
      <c r="K126" t="s">
        <v>78</v>
      </c>
      <c r="L126" t="s">
        <v>131</v>
      </c>
      <c r="M126" t="s">
        <v>132</v>
      </c>
      <c r="N126" t="s">
        <v>111</v>
      </c>
      <c r="O126" t="s">
        <v>80</v>
      </c>
      <c r="P126" t="str">
        <f>"NA                            "</f>
        <v xml:space="preserve">NA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16.760000000000002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2</v>
      </c>
      <c r="BJ126">
        <v>0.2</v>
      </c>
      <c r="BK126">
        <v>2</v>
      </c>
      <c r="BL126">
        <v>60.3</v>
      </c>
      <c r="BM126">
        <v>9.0500000000000007</v>
      </c>
      <c r="BN126">
        <v>69.349999999999994</v>
      </c>
      <c r="BO126">
        <v>69.349999999999994</v>
      </c>
      <c r="BQ126" t="s">
        <v>135</v>
      </c>
      <c r="BR126" t="s">
        <v>140</v>
      </c>
      <c r="BS126" s="3">
        <v>44615</v>
      </c>
      <c r="BT126" s="4">
        <v>0.41666666666666669</v>
      </c>
      <c r="BU126" t="s">
        <v>141</v>
      </c>
      <c r="BV126" t="s">
        <v>101</v>
      </c>
      <c r="BY126">
        <v>1200</v>
      </c>
      <c r="BZ126" t="s">
        <v>87</v>
      </c>
      <c r="CC126" t="s">
        <v>132</v>
      </c>
      <c r="CD126">
        <v>4000</v>
      </c>
      <c r="CE126" t="s">
        <v>130</v>
      </c>
      <c r="CF126" s="3">
        <v>44615</v>
      </c>
      <c r="CI126">
        <v>1</v>
      </c>
      <c r="CJ126">
        <v>1</v>
      </c>
      <c r="CK126">
        <v>21</v>
      </c>
      <c r="CL126" t="s">
        <v>84</v>
      </c>
    </row>
    <row r="127" spans="1:90" x14ac:dyDescent="0.25">
      <c r="A127" t="s">
        <v>72</v>
      </c>
      <c r="B127" t="s">
        <v>73</v>
      </c>
      <c r="C127" t="s">
        <v>74</v>
      </c>
      <c r="E127" t="str">
        <f>"009940857745"</f>
        <v>009940857745</v>
      </c>
      <c r="F127" s="3">
        <v>44614</v>
      </c>
      <c r="G127">
        <v>202208</v>
      </c>
      <c r="H127" t="s">
        <v>109</v>
      </c>
      <c r="I127" t="s">
        <v>110</v>
      </c>
      <c r="J127" t="s">
        <v>581</v>
      </c>
      <c r="K127" t="s">
        <v>78</v>
      </c>
      <c r="L127" t="s">
        <v>466</v>
      </c>
      <c r="M127" t="s">
        <v>467</v>
      </c>
      <c r="N127" t="s">
        <v>582</v>
      </c>
      <c r="O127" t="s">
        <v>125</v>
      </c>
      <c r="P127" t="str">
        <f>"NA                            "</f>
        <v xml:space="preserve">NA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45.72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6.9</v>
      </c>
      <c r="BJ127">
        <v>2.4</v>
      </c>
      <c r="BK127">
        <v>7</v>
      </c>
      <c r="BL127">
        <v>169.72</v>
      </c>
      <c r="BM127">
        <v>25.46</v>
      </c>
      <c r="BN127">
        <v>195.18</v>
      </c>
      <c r="BO127">
        <v>195.18</v>
      </c>
      <c r="BQ127" t="s">
        <v>583</v>
      </c>
      <c r="BR127" t="s">
        <v>140</v>
      </c>
      <c r="BS127" s="3">
        <v>44616</v>
      </c>
      <c r="BT127" s="4">
        <v>0.45277777777777778</v>
      </c>
      <c r="BU127" t="s">
        <v>584</v>
      </c>
      <c r="BV127" t="s">
        <v>101</v>
      </c>
      <c r="BY127">
        <v>11955.25</v>
      </c>
      <c r="BZ127" t="s">
        <v>137</v>
      </c>
      <c r="CA127" t="s">
        <v>471</v>
      </c>
      <c r="CC127" t="s">
        <v>467</v>
      </c>
      <c r="CD127">
        <v>3900</v>
      </c>
      <c r="CE127" t="s">
        <v>130</v>
      </c>
      <c r="CF127" s="3">
        <v>44616</v>
      </c>
      <c r="CI127">
        <v>2</v>
      </c>
      <c r="CJ127">
        <v>2</v>
      </c>
      <c r="CK127">
        <v>43</v>
      </c>
      <c r="CL127" t="s">
        <v>84</v>
      </c>
    </row>
    <row r="128" spans="1:90" x14ac:dyDescent="0.25">
      <c r="A128" t="s">
        <v>72</v>
      </c>
      <c r="B128" t="s">
        <v>73</v>
      </c>
      <c r="C128" t="s">
        <v>74</v>
      </c>
      <c r="E128" t="str">
        <f>"GAB2008383"</f>
        <v>GAB2008383</v>
      </c>
      <c r="F128" s="3">
        <v>44613</v>
      </c>
      <c r="G128">
        <v>202208</v>
      </c>
      <c r="H128" t="s">
        <v>75</v>
      </c>
      <c r="I128" t="s">
        <v>76</v>
      </c>
      <c r="J128" t="s">
        <v>77</v>
      </c>
      <c r="K128" t="s">
        <v>78</v>
      </c>
      <c r="L128" t="s">
        <v>585</v>
      </c>
      <c r="M128" t="s">
        <v>586</v>
      </c>
      <c r="N128" t="s">
        <v>587</v>
      </c>
      <c r="O128" t="s">
        <v>125</v>
      </c>
      <c r="P128" t="str">
        <f>"CT072081                      "</f>
        <v xml:space="preserve">CT072081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195.28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8</v>
      </c>
      <c r="BI128">
        <v>44.5</v>
      </c>
      <c r="BJ128">
        <v>78.5</v>
      </c>
      <c r="BK128">
        <v>79</v>
      </c>
      <c r="BL128">
        <v>707.76</v>
      </c>
      <c r="BM128">
        <v>106.16</v>
      </c>
      <c r="BN128">
        <v>813.92</v>
      </c>
      <c r="BO128">
        <v>813.92</v>
      </c>
      <c r="BQ128" t="s">
        <v>588</v>
      </c>
      <c r="BR128" t="s">
        <v>82</v>
      </c>
      <c r="BS128" s="3">
        <v>44616</v>
      </c>
      <c r="BT128" s="4">
        <v>0.3743055555555555</v>
      </c>
      <c r="BU128" t="s">
        <v>589</v>
      </c>
      <c r="BV128" t="s">
        <v>101</v>
      </c>
      <c r="BY128">
        <v>392723.1</v>
      </c>
      <c r="CC128" t="s">
        <v>586</v>
      </c>
      <c r="CD128">
        <v>3867</v>
      </c>
      <c r="CE128" t="s">
        <v>130</v>
      </c>
      <c r="CF128" s="3">
        <v>44620</v>
      </c>
      <c r="CI128">
        <v>4</v>
      </c>
      <c r="CJ128">
        <v>3</v>
      </c>
      <c r="CK128">
        <v>43</v>
      </c>
      <c r="CL128" t="s">
        <v>84</v>
      </c>
    </row>
    <row r="129" spans="1:90" x14ac:dyDescent="0.25">
      <c r="A129" t="s">
        <v>72</v>
      </c>
      <c r="B129" t="s">
        <v>73</v>
      </c>
      <c r="C129" t="s">
        <v>74</v>
      </c>
      <c r="E129" t="str">
        <f>"GAB2008461"</f>
        <v>GAB2008461</v>
      </c>
      <c r="F129" s="3">
        <v>44616</v>
      </c>
      <c r="G129">
        <v>202208</v>
      </c>
      <c r="H129" t="s">
        <v>75</v>
      </c>
      <c r="I129" t="s">
        <v>76</v>
      </c>
      <c r="J129" t="s">
        <v>77</v>
      </c>
      <c r="K129" t="s">
        <v>78</v>
      </c>
      <c r="L129" t="s">
        <v>590</v>
      </c>
      <c r="M129" t="s">
        <v>591</v>
      </c>
      <c r="N129" t="s">
        <v>592</v>
      </c>
      <c r="O129" t="s">
        <v>125</v>
      </c>
      <c r="P129" t="str">
        <f>"CT071668                      "</f>
        <v xml:space="preserve">CT071668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45.72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1.6</v>
      </c>
      <c r="BJ129">
        <v>6.3</v>
      </c>
      <c r="BK129">
        <v>7</v>
      </c>
      <c r="BL129">
        <v>169.72</v>
      </c>
      <c r="BM129">
        <v>25.46</v>
      </c>
      <c r="BN129">
        <v>195.18</v>
      </c>
      <c r="BO129">
        <v>195.18</v>
      </c>
      <c r="BQ129" t="s">
        <v>593</v>
      </c>
      <c r="BR129" t="s">
        <v>82</v>
      </c>
      <c r="BS129" s="3">
        <v>44620</v>
      </c>
      <c r="BT129" s="4">
        <v>0.48194444444444445</v>
      </c>
      <c r="BU129" t="s">
        <v>594</v>
      </c>
      <c r="BV129" t="s">
        <v>101</v>
      </c>
      <c r="BY129">
        <v>31620</v>
      </c>
      <c r="CA129" t="s">
        <v>595</v>
      </c>
      <c r="CC129" t="s">
        <v>591</v>
      </c>
      <c r="CD129">
        <v>1739</v>
      </c>
      <c r="CE129" t="s">
        <v>130</v>
      </c>
      <c r="CI129">
        <v>2</v>
      </c>
      <c r="CJ129">
        <v>2</v>
      </c>
      <c r="CK129">
        <v>43</v>
      </c>
      <c r="CL129" t="s">
        <v>84</v>
      </c>
    </row>
    <row r="130" spans="1:90" x14ac:dyDescent="0.25">
      <c r="A130" t="s">
        <v>72</v>
      </c>
      <c r="B130" t="s">
        <v>73</v>
      </c>
      <c r="C130" t="s">
        <v>74</v>
      </c>
      <c r="E130" t="str">
        <f>"GAB2008456"</f>
        <v>GAB2008456</v>
      </c>
      <c r="F130" s="3">
        <v>44616</v>
      </c>
      <c r="G130">
        <v>202208</v>
      </c>
      <c r="H130" t="s">
        <v>75</v>
      </c>
      <c r="I130" t="s">
        <v>76</v>
      </c>
      <c r="J130" t="s">
        <v>77</v>
      </c>
      <c r="K130" t="s">
        <v>78</v>
      </c>
      <c r="L130" t="s">
        <v>75</v>
      </c>
      <c r="M130" t="s">
        <v>76</v>
      </c>
      <c r="N130" t="s">
        <v>374</v>
      </c>
      <c r="O130" t="s">
        <v>80</v>
      </c>
      <c r="P130" t="str">
        <f>"CT072186                      "</f>
        <v xml:space="preserve">CT072186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13.09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</v>
      </c>
      <c r="BJ130">
        <v>2.6</v>
      </c>
      <c r="BK130">
        <v>3</v>
      </c>
      <c r="BL130">
        <v>47.1</v>
      </c>
      <c r="BM130">
        <v>7.07</v>
      </c>
      <c r="BN130">
        <v>54.17</v>
      </c>
      <c r="BO130">
        <v>54.17</v>
      </c>
      <c r="BQ130" t="s">
        <v>375</v>
      </c>
      <c r="BR130" t="s">
        <v>82</v>
      </c>
      <c r="BS130" s="3">
        <v>44617</v>
      </c>
      <c r="BT130" s="4">
        <v>0.59027777777777779</v>
      </c>
      <c r="BU130" t="s">
        <v>596</v>
      </c>
      <c r="BV130" t="s">
        <v>84</v>
      </c>
      <c r="BW130" t="s">
        <v>95</v>
      </c>
      <c r="BX130" t="s">
        <v>86</v>
      </c>
      <c r="BY130">
        <v>12936.15</v>
      </c>
      <c r="BZ130" t="s">
        <v>87</v>
      </c>
      <c r="CA130" t="s">
        <v>377</v>
      </c>
      <c r="CC130" t="s">
        <v>76</v>
      </c>
      <c r="CD130">
        <v>7806</v>
      </c>
      <c r="CE130" t="s">
        <v>597</v>
      </c>
      <c r="CF130" s="3">
        <v>44620</v>
      </c>
      <c r="CI130">
        <v>1</v>
      </c>
      <c r="CJ130">
        <v>1</v>
      </c>
      <c r="CK130">
        <v>22</v>
      </c>
      <c r="CL130" t="s">
        <v>84</v>
      </c>
    </row>
    <row r="131" spans="1:90" x14ac:dyDescent="0.25">
      <c r="A131" t="s">
        <v>72</v>
      </c>
      <c r="B131" t="s">
        <v>73</v>
      </c>
      <c r="C131" t="s">
        <v>74</v>
      </c>
      <c r="E131" t="str">
        <f>"GAB2008464"</f>
        <v>GAB2008464</v>
      </c>
      <c r="F131" s="3">
        <v>44616</v>
      </c>
      <c r="G131">
        <v>202208</v>
      </c>
      <c r="H131" t="s">
        <v>75</v>
      </c>
      <c r="I131" t="s">
        <v>76</v>
      </c>
      <c r="J131" t="s">
        <v>77</v>
      </c>
      <c r="K131" t="s">
        <v>78</v>
      </c>
      <c r="L131" t="s">
        <v>346</v>
      </c>
      <c r="M131" t="s">
        <v>346</v>
      </c>
      <c r="N131" t="s">
        <v>598</v>
      </c>
      <c r="O131" t="s">
        <v>125</v>
      </c>
      <c r="P131" t="str">
        <f>"CT072192                      "</f>
        <v xml:space="preserve">CT072192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35.799999999999997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2.9</v>
      </c>
      <c r="BJ131">
        <v>6.7</v>
      </c>
      <c r="BK131">
        <v>7</v>
      </c>
      <c r="BL131">
        <v>134.04</v>
      </c>
      <c r="BM131">
        <v>20.11</v>
      </c>
      <c r="BN131">
        <v>154.15</v>
      </c>
      <c r="BO131">
        <v>154.15</v>
      </c>
      <c r="BQ131" t="s">
        <v>599</v>
      </c>
      <c r="BR131" t="s">
        <v>82</v>
      </c>
      <c r="BS131" s="3">
        <v>44617</v>
      </c>
      <c r="BT131" s="4">
        <v>0.40486111111111112</v>
      </c>
      <c r="BU131" t="s">
        <v>600</v>
      </c>
      <c r="BV131" t="s">
        <v>101</v>
      </c>
      <c r="BY131">
        <v>33339.199999999997</v>
      </c>
      <c r="CA131" t="s">
        <v>350</v>
      </c>
      <c r="CC131" t="s">
        <v>346</v>
      </c>
      <c r="CD131">
        <v>7646</v>
      </c>
      <c r="CE131" t="s">
        <v>130</v>
      </c>
      <c r="CI131">
        <v>0</v>
      </c>
      <c r="CJ131">
        <v>0</v>
      </c>
      <c r="CK131">
        <v>44</v>
      </c>
      <c r="CL131" t="s">
        <v>84</v>
      </c>
    </row>
    <row r="132" spans="1:90" x14ac:dyDescent="0.25">
      <c r="A132" t="s">
        <v>72</v>
      </c>
      <c r="B132" t="s">
        <v>73</v>
      </c>
      <c r="C132" t="s">
        <v>74</v>
      </c>
      <c r="E132" t="str">
        <f>"GAB2008458"</f>
        <v>GAB2008458</v>
      </c>
      <c r="F132" s="3">
        <v>44616</v>
      </c>
      <c r="G132">
        <v>202208</v>
      </c>
      <c r="H132" t="s">
        <v>75</v>
      </c>
      <c r="I132" t="s">
        <v>76</v>
      </c>
      <c r="J132" t="s">
        <v>77</v>
      </c>
      <c r="K132" t="s">
        <v>78</v>
      </c>
      <c r="L132" t="s">
        <v>384</v>
      </c>
      <c r="M132" t="s">
        <v>385</v>
      </c>
      <c r="N132" t="s">
        <v>386</v>
      </c>
      <c r="O132" t="s">
        <v>80</v>
      </c>
      <c r="P132" t="str">
        <f>"CT072187                      "</f>
        <v xml:space="preserve">CT072187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25.14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0.2</v>
      </c>
      <c r="BJ132">
        <v>3</v>
      </c>
      <c r="BK132">
        <v>3</v>
      </c>
      <c r="BL132">
        <v>90.44</v>
      </c>
      <c r="BM132">
        <v>13.57</v>
      </c>
      <c r="BN132">
        <v>104.01</v>
      </c>
      <c r="BO132">
        <v>104.01</v>
      </c>
      <c r="BQ132" t="s">
        <v>387</v>
      </c>
      <c r="BR132" t="s">
        <v>82</v>
      </c>
      <c r="BS132" s="3">
        <v>44617</v>
      </c>
      <c r="BT132" s="4">
        <v>0.4145833333333333</v>
      </c>
      <c r="BU132" t="s">
        <v>601</v>
      </c>
      <c r="BV132" t="s">
        <v>101</v>
      </c>
      <c r="BY132">
        <v>15044.9</v>
      </c>
      <c r="BZ132" t="s">
        <v>87</v>
      </c>
      <c r="CA132" t="s">
        <v>602</v>
      </c>
      <c r="CC132" t="s">
        <v>385</v>
      </c>
      <c r="CD132">
        <v>2194</v>
      </c>
      <c r="CE132" t="s">
        <v>152</v>
      </c>
      <c r="CF132" s="3">
        <v>44617</v>
      </c>
      <c r="CI132">
        <v>1</v>
      </c>
      <c r="CJ132">
        <v>1</v>
      </c>
      <c r="CK132">
        <v>21</v>
      </c>
      <c r="CL132" t="s">
        <v>84</v>
      </c>
    </row>
    <row r="133" spans="1:90" x14ac:dyDescent="0.25">
      <c r="A133" t="s">
        <v>72</v>
      </c>
      <c r="B133" t="s">
        <v>73</v>
      </c>
      <c r="C133" t="s">
        <v>74</v>
      </c>
      <c r="E133" t="str">
        <f>"GAB2008460"</f>
        <v>GAB2008460</v>
      </c>
      <c r="F133" s="3">
        <v>44616</v>
      </c>
      <c r="G133">
        <v>202208</v>
      </c>
      <c r="H133" t="s">
        <v>75</v>
      </c>
      <c r="I133" t="s">
        <v>76</v>
      </c>
      <c r="J133" t="s">
        <v>77</v>
      </c>
      <c r="K133" t="s">
        <v>78</v>
      </c>
      <c r="L133" t="s">
        <v>603</v>
      </c>
      <c r="M133" t="s">
        <v>604</v>
      </c>
      <c r="N133" t="s">
        <v>605</v>
      </c>
      <c r="O133" t="s">
        <v>125</v>
      </c>
      <c r="P133" t="str">
        <f>"CT072085                      "</f>
        <v xml:space="preserve">CT072085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45.72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1.9</v>
      </c>
      <c r="BJ133">
        <v>4.7</v>
      </c>
      <c r="BK133">
        <v>5</v>
      </c>
      <c r="BL133">
        <v>169.72</v>
      </c>
      <c r="BM133">
        <v>25.46</v>
      </c>
      <c r="BN133">
        <v>195.18</v>
      </c>
      <c r="BO133">
        <v>195.18</v>
      </c>
      <c r="BQ133" t="s">
        <v>606</v>
      </c>
      <c r="BR133" t="s">
        <v>82</v>
      </c>
      <c r="BS133" s="3">
        <v>44620</v>
      </c>
      <c r="BT133" s="4">
        <v>0.56805555555555554</v>
      </c>
      <c r="BU133" t="s">
        <v>607</v>
      </c>
      <c r="BV133" t="s">
        <v>101</v>
      </c>
      <c r="BY133">
        <v>23413.05</v>
      </c>
      <c r="CA133" t="s">
        <v>608</v>
      </c>
      <c r="CC133" t="s">
        <v>604</v>
      </c>
      <c r="CD133">
        <v>1320</v>
      </c>
      <c r="CE133" t="s">
        <v>130</v>
      </c>
      <c r="CI133">
        <v>3</v>
      </c>
      <c r="CJ133">
        <v>2</v>
      </c>
      <c r="CK133">
        <v>43</v>
      </c>
      <c r="CL133" t="s">
        <v>84</v>
      </c>
    </row>
    <row r="134" spans="1:90" x14ac:dyDescent="0.25">
      <c r="A134" t="s">
        <v>72</v>
      </c>
      <c r="B134" t="s">
        <v>73</v>
      </c>
      <c r="C134" t="s">
        <v>74</v>
      </c>
      <c r="E134" t="str">
        <f>"GAB2008459"</f>
        <v>GAB2008459</v>
      </c>
      <c r="F134" s="3">
        <v>44616</v>
      </c>
      <c r="G134">
        <v>202208</v>
      </c>
      <c r="H134" t="s">
        <v>75</v>
      </c>
      <c r="I134" t="s">
        <v>76</v>
      </c>
      <c r="J134" t="s">
        <v>77</v>
      </c>
      <c r="K134" t="s">
        <v>78</v>
      </c>
      <c r="L134" t="s">
        <v>90</v>
      </c>
      <c r="M134" t="s">
        <v>91</v>
      </c>
      <c r="N134" t="s">
        <v>92</v>
      </c>
      <c r="O134" t="s">
        <v>80</v>
      </c>
      <c r="P134" t="str">
        <f>"CT072188                      "</f>
        <v xml:space="preserve">CT072188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13.09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0.4</v>
      </c>
      <c r="BJ134">
        <v>2.7</v>
      </c>
      <c r="BK134">
        <v>3</v>
      </c>
      <c r="BL134">
        <v>47.1</v>
      </c>
      <c r="BM134">
        <v>7.07</v>
      </c>
      <c r="BN134">
        <v>54.17</v>
      </c>
      <c r="BO134">
        <v>54.17</v>
      </c>
      <c r="BQ134" t="s">
        <v>93</v>
      </c>
      <c r="BR134" t="s">
        <v>82</v>
      </c>
      <c r="BS134" s="3">
        <v>44617</v>
      </c>
      <c r="BT134" s="4">
        <v>0.46249999999999997</v>
      </c>
      <c r="BU134" t="s">
        <v>94</v>
      </c>
      <c r="BV134" t="s">
        <v>101</v>
      </c>
      <c r="BY134">
        <v>13732.38</v>
      </c>
      <c r="BZ134" t="s">
        <v>87</v>
      </c>
      <c r="CA134" t="s">
        <v>609</v>
      </c>
      <c r="CC134" t="s">
        <v>91</v>
      </c>
      <c r="CD134">
        <v>7600</v>
      </c>
      <c r="CE134" t="s">
        <v>191</v>
      </c>
      <c r="CI134">
        <v>1</v>
      </c>
      <c r="CJ134">
        <v>1</v>
      </c>
      <c r="CK134">
        <v>22</v>
      </c>
      <c r="CL134" t="s">
        <v>84</v>
      </c>
    </row>
    <row r="135" spans="1:90" x14ac:dyDescent="0.25">
      <c r="A135" t="s">
        <v>72</v>
      </c>
      <c r="B135" t="s">
        <v>73</v>
      </c>
      <c r="C135" t="s">
        <v>74</v>
      </c>
      <c r="E135" t="str">
        <f>"GAB2008468"</f>
        <v>GAB2008468</v>
      </c>
      <c r="F135" s="3">
        <v>44616</v>
      </c>
      <c r="G135">
        <v>202208</v>
      </c>
      <c r="H135" t="s">
        <v>75</v>
      </c>
      <c r="I135" t="s">
        <v>76</v>
      </c>
      <c r="J135" t="s">
        <v>77</v>
      </c>
      <c r="K135" t="s">
        <v>78</v>
      </c>
      <c r="L135" t="s">
        <v>123</v>
      </c>
      <c r="M135" t="s">
        <v>124</v>
      </c>
      <c r="N135" t="s">
        <v>610</v>
      </c>
      <c r="O135" t="s">
        <v>125</v>
      </c>
      <c r="P135" t="str">
        <f>"CT071649                      "</f>
        <v xml:space="preserve">CT071649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48.45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10.1</v>
      </c>
      <c r="BJ135">
        <v>26.5</v>
      </c>
      <c r="BK135">
        <v>27</v>
      </c>
      <c r="BL135">
        <v>179.54</v>
      </c>
      <c r="BM135">
        <v>26.93</v>
      </c>
      <c r="BN135">
        <v>206.47</v>
      </c>
      <c r="BO135">
        <v>206.47</v>
      </c>
      <c r="BQ135" t="s">
        <v>611</v>
      </c>
      <c r="BR135" t="s">
        <v>82</v>
      </c>
      <c r="BS135" s="3">
        <v>44620</v>
      </c>
      <c r="BT135" s="4">
        <v>0.54861111111111105</v>
      </c>
      <c r="BU135" t="s">
        <v>612</v>
      </c>
      <c r="BV135" t="s">
        <v>101</v>
      </c>
      <c r="BY135">
        <v>132680.1</v>
      </c>
      <c r="CA135" t="s">
        <v>613</v>
      </c>
      <c r="CC135" t="s">
        <v>124</v>
      </c>
      <c r="CD135">
        <v>6001</v>
      </c>
      <c r="CE135" t="s">
        <v>130</v>
      </c>
      <c r="CI135">
        <v>2</v>
      </c>
      <c r="CJ135">
        <v>2</v>
      </c>
      <c r="CK135">
        <v>41</v>
      </c>
      <c r="CL135" t="s">
        <v>84</v>
      </c>
    </row>
    <row r="136" spans="1:90" x14ac:dyDescent="0.25">
      <c r="A136" t="s">
        <v>72</v>
      </c>
      <c r="B136" t="s">
        <v>73</v>
      </c>
      <c r="C136" t="s">
        <v>74</v>
      </c>
      <c r="E136" t="str">
        <f>"GAB2008462"</f>
        <v>GAB2008462</v>
      </c>
      <c r="F136" s="3">
        <v>44616</v>
      </c>
      <c r="G136">
        <v>202208</v>
      </c>
      <c r="H136" t="s">
        <v>75</v>
      </c>
      <c r="I136" t="s">
        <v>76</v>
      </c>
      <c r="J136" t="s">
        <v>77</v>
      </c>
      <c r="K136" t="s">
        <v>78</v>
      </c>
      <c r="L136" t="s">
        <v>159</v>
      </c>
      <c r="M136" t="s">
        <v>160</v>
      </c>
      <c r="N136" t="s">
        <v>161</v>
      </c>
      <c r="O136" t="s">
        <v>80</v>
      </c>
      <c r="P136" t="str">
        <f>"CT072189                      "</f>
        <v xml:space="preserve">CT072189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47.15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0.3</v>
      </c>
      <c r="BJ136">
        <v>2.7</v>
      </c>
      <c r="BK136">
        <v>3</v>
      </c>
      <c r="BL136">
        <v>169.61</v>
      </c>
      <c r="BM136">
        <v>25.44</v>
      </c>
      <c r="BN136">
        <v>195.05</v>
      </c>
      <c r="BO136">
        <v>195.05</v>
      </c>
      <c r="BQ136" t="s">
        <v>162</v>
      </c>
      <c r="BR136" t="s">
        <v>82</v>
      </c>
      <c r="BS136" s="3">
        <v>44617</v>
      </c>
      <c r="BT136" s="4">
        <v>0.43333333333333335</v>
      </c>
      <c r="BU136" t="s">
        <v>518</v>
      </c>
      <c r="BV136" t="s">
        <v>101</v>
      </c>
      <c r="BY136">
        <v>13630.08</v>
      </c>
      <c r="BZ136" t="s">
        <v>87</v>
      </c>
      <c r="CA136" t="s">
        <v>422</v>
      </c>
      <c r="CC136" t="s">
        <v>160</v>
      </c>
      <c r="CD136">
        <v>9459</v>
      </c>
      <c r="CE136" t="s">
        <v>288</v>
      </c>
      <c r="CF136" s="3">
        <v>44617</v>
      </c>
      <c r="CI136">
        <v>1</v>
      </c>
      <c r="CJ136">
        <v>1</v>
      </c>
      <c r="CK136">
        <v>23</v>
      </c>
      <c r="CL136" t="s">
        <v>84</v>
      </c>
    </row>
    <row r="137" spans="1:90" x14ac:dyDescent="0.25">
      <c r="A137" t="s">
        <v>72</v>
      </c>
      <c r="B137" t="s">
        <v>73</v>
      </c>
      <c r="C137" t="s">
        <v>74</v>
      </c>
      <c r="E137" t="str">
        <f>"GAB2008457"</f>
        <v>GAB2008457</v>
      </c>
      <c r="F137" s="3">
        <v>44616</v>
      </c>
      <c r="G137">
        <v>202208</v>
      </c>
      <c r="H137" t="s">
        <v>75</v>
      </c>
      <c r="I137" t="s">
        <v>76</v>
      </c>
      <c r="J137" t="s">
        <v>77</v>
      </c>
      <c r="K137" t="s">
        <v>78</v>
      </c>
      <c r="L137" t="s">
        <v>153</v>
      </c>
      <c r="M137" t="s">
        <v>154</v>
      </c>
      <c r="N137" t="s">
        <v>614</v>
      </c>
      <c r="O137" t="s">
        <v>125</v>
      </c>
      <c r="P137" t="str">
        <f>"CT072119                      "</f>
        <v xml:space="preserve">CT072119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33.75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6.1</v>
      </c>
      <c r="BJ137">
        <v>15.5</v>
      </c>
      <c r="BK137">
        <v>16</v>
      </c>
      <c r="BL137">
        <v>126.67</v>
      </c>
      <c r="BM137">
        <v>19</v>
      </c>
      <c r="BN137">
        <v>145.66999999999999</v>
      </c>
      <c r="BO137">
        <v>145.66999999999999</v>
      </c>
      <c r="BQ137" t="s">
        <v>615</v>
      </c>
      <c r="BR137" t="s">
        <v>82</v>
      </c>
      <c r="BS137" s="3">
        <v>44620</v>
      </c>
      <c r="BT137" s="4">
        <v>0.3527777777777778</v>
      </c>
      <c r="BU137" t="s">
        <v>616</v>
      </c>
      <c r="BV137" t="s">
        <v>101</v>
      </c>
      <c r="BY137">
        <v>77401.899999999994</v>
      </c>
      <c r="CA137" t="s">
        <v>617</v>
      </c>
      <c r="CC137" t="s">
        <v>154</v>
      </c>
      <c r="CD137">
        <v>2192</v>
      </c>
      <c r="CE137" t="s">
        <v>130</v>
      </c>
      <c r="CI137">
        <v>2</v>
      </c>
      <c r="CJ137">
        <v>2</v>
      </c>
      <c r="CK137">
        <v>41</v>
      </c>
      <c r="CL137" t="s">
        <v>84</v>
      </c>
    </row>
    <row r="138" spans="1:90" x14ac:dyDescent="0.25">
      <c r="A138" t="s">
        <v>72</v>
      </c>
      <c r="B138" t="s">
        <v>73</v>
      </c>
      <c r="C138" t="s">
        <v>74</v>
      </c>
      <c r="E138" t="str">
        <f>"GAB2008463"</f>
        <v>GAB2008463</v>
      </c>
      <c r="F138" s="3">
        <v>44616</v>
      </c>
      <c r="G138">
        <v>202208</v>
      </c>
      <c r="H138" t="s">
        <v>75</v>
      </c>
      <c r="I138" t="s">
        <v>76</v>
      </c>
      <c r="J138" t="s">
        <v>77</v>
      </c>
      <c r="K138" t="s">
        <v>78</v>
      </c>
      <c r="L138" t="s">
        <v>225</v>
      </c>
      <c r="M138" t="s">
        <v>226</v>
      </c>
      <c r="N138" t="s">
        <v>618</v>
      </c>
      <c r="O138" t="s">
        <v>80</v>
      </c>
      <c r="P138" t="str">
        <f>"CT072190                      "</f>
        <v xml:space="preserve">CT072190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20.95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0.2</v>
      </c>
      <c r="BJ138">
        <v>2.2999999999999998</v>
      </c>
      <c r="BK138">
        <v>2.5</v>
      </c>
      <c r="BL138">
        <v>75.37</v>
      </c>
      <c r="BM138">
        <v>11.31</v>
      </c>
      <c r="BN138">
        <v>86.68</v>
      </c>
      <c r="BO138">
        <v>86.68</v>
      </c>
      <c r="BQ138" t="s">
        <v>619</v>
      </c>
      <c r="BR138" t="s">
        <v>82</v>
      </c>
      <c r="BS138" s="3">
        <v>44620</v>
      </c>
      <c r="BT138" s="4">
        <v>0.63263888888888886</v>
      </c>
      <c r="BU138" t="s">
        <v>620</v>
      </c>
      <c r="BV138" t="s">
        <v>84</v>
      </c>
      <c r="BY138">
        <v>11553.6</v>
      </c>
      <c r="BZ138" t="s">
        <v>87</v>
      </c>
      <c r="CA138" t="s">
        <v>621</v>
      </c>
      <c r="CC138" t="s">
        <v>226</v>
      </c>
      <c r="CD138">
        <v>8301</v>
      </c>
      <c r="CE138" t="s">
        <v>622</v>
      </c>
      <c r="CI138">
        <v>2</v>
      </c>
      <c r="CJ138">
        <v>2</v>
      </c>
      <c r="CK138">
        <v>21</v>
      </c>
      <c r="CL138" t="s">
        <v>84</v>
      </c>
    </row>
    <row r="139" spans="1:90" x14ac:dyDescent="0.25">
      <c r="A139" t="s">
        <v>72</v>
      </c>
      <c r="B139" t="s">
        <v>73</v>
      </c>
      <c r="C139" t="s">
        <v>74</v>
      </c>
      <c r="E139" t="str">
        <f>"GAB2008454"</f>
        <v>GAB2008454</v>
      </c>
      <c r="F139" s="3">
        <v>44616</v>
      </c>
      <c r="G139">
        <v>202208</v>
      </c>
      <c r="H139" t="s">
        <v>75</v>
      </c>
      <c r="I139" t="s">
        <v>76</v>
      </c>
      <c r="J139" t="s">
        <v>77</v>
      </c>
      <c r="K139" t="s">
        <v>78</v>
      </c>
      <c r="L139" t="s">
        <v>623</v>
      </c>
      <c r="M139" t="s">
        <v>624</v>
      </c>
      <c r="N139" t="s">
        <v>625</v>
      </c>
      <c r="O139" t="s">
        <v>125</v>
      </c>
      <c r="P139" t="str">
        <f>"CT071582                      "</f>
        <v xml:space="preserve">CT071582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65.819999999999993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19.2</v>
      </c>
      <c r="BJ139">
        <v>39.700000000000003</v>
      </c>
      <c r="BK139">
        <v>40</v>
      </c>
      <c r="BL139">
        <v>242.02</v>
      </c>
      <c r="BM139">
        <v>36.299999999999997</v>
      </c>
      <c r="BN139">
        <v>278.32</v>
      </c>
      <c r="BO139">
        <v>278.32</v>
      </c>
      <c r="BQ139" t="s">
        <v>626</v>
      </c>
      <c r="BR139" t="s">
        <v>82</v>
      </c>
      <c r="BS139" s="3">
        <v>44620</v>
      </c>
      <c r="BT139" s="4">
        <v>0.34930555555555554</v>
      </c>
      <c r="BU139" t="s">
        <v>627</v>
      </c>
      <c r="BV139" t="s">
        <v>101</v>
      </c>
      <c r="BY139">
        <v>198507.4</v>
      </c>
      <c r="CA139" t="s">
        <v>628</v>
      </c>
      <c r="CC139" t="s">
        <v>624</v>
      </c>
      <c r="CD139">
        <v>4320</v>
      </c>
      <c r="CE139" t="s">
        <v>130</v>
      </c>
      <c r="CI139">
        <v>3</v>
      </c>
      <c r="CJ139">
        <v>2</v>
      </c>
      <c r="CK139">
        <v>41</v>
      </c>
      <c r="CL139" t="s">
        <v>84</v>
      </c>
    </row>
    <row r="140" spans="1:90" x14ac:dyDescent="0.25">
      <c r="A140" t="s">
        <v>72</v>
      </c>
      <c r="B140" t="s">
        <v>73</v>
      </c>
      <c r="C140" t="s">
        <v>74</v>
      </c>
      <c r="E140" t="str">
        <f>"GAB2008465"</f>
        <v>GAB2008465</v>
      </c>
      <c r="F140" s="3">
        <v>44616</v>
      </c>
      <c r="G140">
        <v>202208</v>
      </c>
      <c r="H140" t="s">
        <v>75</v>
      </c>
      <c r="I140" t="s">
        <v>76</v>
      </c>
      <c r="J140" t="s">
        <v>77</v>
      </c>
      <c r="K140" t="s">
        <v>78</v>
      </c>
      <c r="L140" t="s">
        <v>202</v>
      </c>
      <c r="M140" t="s">
        <v>203</v>
      </c>
      <c r="N140" t="s">
        <v>204</v>
      </c>
      <c r="O140" t="s">
        <v>80</v>
      </c>
      <c r="P140" t="str">
        <f>"007167                        "</f>
        <v xml:space="preserve">007167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16.760000000000002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0.8</v>
      </c>
      <c r="BJ140">
        <v>1.8</v>
      </c>
      <c r="BK140">
        <v>2</v>
      </c>
      <c r="BL140">
        <v>60.3</v>
      </c>
      <c r="BM140">
        <v>9.0500000000000007</v>
      </c>
      <c r="BN140">
        <v>69.349999999999994</v>
      </c>
      <c r="BO140">
        <v>69.349999999999994</v>
      </c>
      <c r="BQ140" t="s">
        <v>629</v>
      </c>
      <c r="BR140" t="s">
        <v>82</v>
      </c>
      <c r="BS140" s="3">
        <v>44617</v>
      </c>
      <c r="BT140" s="4">
        <v>0.35416666666666669</v>
      </c>
      <c r="BU140" t="s">
        <v>630</v>
      </c>
      <c r="BV140" t="s">
        <v>101</v>
      </c>
      <c r="BY140">
        <v>9192.06</v>
      </c>
      <c r="BZ140" t="s">
        <v>87</v>
      </c>
      <c r="CA140" t="s">
        <v>207</v>
      </c>
      <c r="CC140" t="s">
        <v>203</v>
      </c>
      <c r="CD140">
        <v>1724</v>
      </c>
      <c r="CE140" t="s">
        <v>495</v>
      </c>
      <c r="CF140" s="3">
        <v>44617</v>
      </c>
      <c r="CI140">
        <v>1</v>
      </c>
      <c r="CJ140">
        <v>1</v>
      </c>
      <c r="CK140">
        <v>21</v>
      </c>
      <c r="CL140" t="s">
        <v>84</v>
      </c>
    </row>
    <row r="141" spans="1:90" x14ac:dyDescent="0.25">
      <c r="A141" t="s">
        <v>72</v>
      </c>
      <c r="B141" t="s">
        <v>73</v>
      </c>
      <c r="C141" t="s">
        <v>74</v>
      </c>
      <c r="E141" t="str">
        <f>"GAB2008466"</f>
        <v>GAB2008466</v>
      </c>
      <c r="F141" s="3">
        <v>44616</v>
      </c>
      <c r="G141">
        <v>202208</v>
      </c>
      <c r="H141" t="s">
        <v>75</v>
      </c>
      <c r="I141" t="s">
        <v>76</v>
      </c>
      <c r="J141" t="s">
        <v>77</v>
      </c>
      <c r="K141" t="s">
        <v>78</v>
      </c>
      <c r="L141" t="s">
        <v>165</v>
      </c>
      <c r="M141" t="s">
        <v>166</v>
      </c>
      <c r="N141" t="s">
        <v>631</v>
      </c>
      <c r="O141" t="s">
        <v>80</v>
      </c>
      <c r="P141" t="str">
        <f>"007163                        "</f>
        <v xml:space="preserve">007163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25.14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0.4</v>
      </c>
      <c r="BJ141">
        <v>2.9</v>
      </c>
      <c r="BK141">
        <v>3</v>
      </c>
      <c r="BL141">
        <v>90.44</v>
      </c>
      <c r="BM141">
        <v>13.57</v>
      </c>
      <c r="BN141">
        <v>104.01</v>
      </c>
      <c r="BO141">
        <v>104.01</v>
      </c>
      <c r="BQ141" t="s">
        <v>632</v>
      </c>
      <c r="BR141" t="s">
        <v>82</v>
      </c>
      <c r="BS141" s="3">
        <v>44617</v>
      </c>
      <c r="BT141" s="4">
        <v>0.38194444444444442</v>
      </c>
      <c r="BU141" t="s">
        <v>633</v>
      </c>
      <c r="BV141" t="s">
        <v>101</v>
      </c>
      <c r="BY141">
        <v>14464.32</v>
      </c>
      <c r="BZ141" t="s">
        <v>87</v>
      </c>
      <c r="CA141" t="s">
        <v>634</v>
      </c>
      <c r="CC141" t="s">
        <v>166</v>
      </c>
      <c r="CD141">
        <v>110</v>
      </c>
      <c r="CE141" t="s">
        <v>580</v>
      </c>
      <c r="CF141" s="3">
        <v>44617</v>
      </c>
      <c r="CI141">
        <v>1</v>
      </c>
      <c r="CJ141">
        <v>1</v>
      </c>
      <c r="CK141">
        <v>21</v>
      </c>
      <c r="CL141" t="s">
        <v>84</v>
      </c>
    </row>
    <row r="142" spans="1:90" x14ac:dyDescent="0.25">
      <c r="A142" t="s">
        <v>72</v>
      </c>
      <c r="B142" t="s">
        <v>73</v>
      </c>
      <c r="C142" t="s">
        <v>74</v>
      </c>
      <c r="E142" t="str">
        <f>"GAB2008467"</f>
        <v>GAB2008467</v>
      </c>
      <c r="F142" s="3">
        <v>44616</v>
      </c>
      <c r="G142">
        <v>202208</v>
      </c>
      <c r="H142" t="s">
        <v>75</v>
      </c>
      <c r="I142" t="s">
        <v>76</v>
      </c>
      <c r="J142" t="s">
        <v>77</v>
      </c>
      <c r="K142" t="s">
        <v>78</v>
      </c>
      <c r="L142" t="s">
        <v>165</v>
      </c>
      <c r="M142" t="s">
        <v>166</v>
      </c>
      <c r="N142" t="s">
        <v>635</v>
      </c>
      <c r="O142" t="s">
        <v>80</v>
      </c>
      <c r="P142" t="str">
        <f>"005110                        "</f>
        <v xml:space="preserve">005110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25.14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0.2</v>
      </c>
      <c r="BJ142">
        <v>2.7</v>
      </c>
      <c r="BK142">
        <v>3</v>
      </c>
      <c r="BL142">
        <v>90.44</v>
      </c>
      <c r="BM142">
        <v>13.57</v>
      </c>
      <c r="BN142">
        <v>104.01</v>
      </c>
      <c r="BO142">
        <v>104.01</v>
      </c>
      <c r="BQ142" t="s">
        <v>636</v>
      </c>
      <c r="BR142" t="s">
        <v>82</v>
      </c>
      <c r="BS142" s="3">
        <v>44617</v>
      </c>
      <c r="BT142" s="4">
        <v>0.36944444444444446</v>
      </c>
      <c r="BU142" t="s">
        <v>637</v>
      </c>
      <c r="BV142" t="s">
        <v>101</v>
      </c>
      <c r="BY142">
        <v>13576.2</v>
      </c>
      <c r="BZ142" t="s">
        <v>87</v>
      </c>
      <c r="CA142" t="s">
        <v>638</v>
      </c>
      <c r="CC142" t="s">
        <v>166</v>
      </c>
      <c r="CD142">
        <v>43</v>
      </c>
      <c r="CE142" t="s">
        <v>97</v>
      </c>
      <c r="CF142" s="3">
        <v>44617</v>
      </c>
      <c r="CI142">
        <v>1</v>
      </c>
      <c r="CJ142">
        <v>1</v>
      </c>
      <c r="CK142">
        <v>21</v>
      </c>
      <c r="CL142" t="s">
        <v>84</v>
      </c>
    </row>
    <row r="143" spans="1:90" x14ac:dyDescent="0.25">
      <c r="A143" t="s">
        <v>72</v>
      </c>
      <c r="B143" t="s">
        <v>73</v>
      </c>
      <c r="C143" t="s">
        <v>74</v>
      </c>
      <c r="E143" t="str">
        <f>"GAB2008470"</f>
        <v>GAB2008470</v>
      </c>
      <c r="F143" s="3">
        <v>44616</v>
      </c>
      <c r="G143">
        <v>202208</v>
      </c>
      <c r="H143" t="s">
        <v>75</v>
      </c>
      <c r="I143" t="s">
        <v>76</v>
      </c>
      <c r="J143" t="s">
        <v>77</v>
      </c>
      <c r="K143" t="s">
        <v>78</v>
      </c>
      <c r="L143" t="s">
        <v>109</v>
      </c>
      <c r="M143" t="s">
        <v>110</v>
      </c>
      <c r="N143" t="s">
        <v>216</v>
      </c>
      <c r="O143" t="s">
        <v>80</v>
      </c>
      <c r="P143" t="str">
        <f>"JEFFREY                       "</f>
        <v xml:space="preserve">JEFFREY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33.520000000000003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</v>
      </c>
      <c r="BJ143">
        <v>3.8</v>
      </c>
      <c r="BK143">
        <v>4</v>
      </c>
      <c r="BL143">
        <v>120.58</v>
      </c>
      <c r="BM143">
        <v>18.09</v>
      </c>
      <c r="BN143">
        <v>138.66999999999999</v>
      </c>
      <c r="BO143">
        <v>138.66999999999999</v>
      </c>
      <c r="BQ143" t="s">
        <v>639</v>
      </c>
      <c r="BR143" t="s">
        <v>82</v>
      </c>
      <c r="BS143" s="3">
        <v>44617</v>
      </c>
      <c r="BT143" s="4">
        <v>0.3888888888888889</v>
      </c>
      <c r="BU143" t="s">
        <v>488</v>
      </c>
      <c r="BV143" t="s">
        <v>101</v>
      </c>
      <c r="BY143">
        <v>19200</v>
      </c>
      <c r="BZ143" t="s">
        <v>87</v>
      </c>
      <c r="CA143" t="s">
        <v>219</v>
      </c>
      <c r="CC143" t="s">
        <v>110</v>
      </c>
      <c r="CD143">
        <v>157</v>
      </c>
      <c r="CE143" t="s">
        <v>108</v>
      </c>
      <c r="CF143" s="3">
        <v>44617</v>
      </c>
      <c r="CI143">
        <v>1</v>
      </c>
      <c r="CJ143">
        <v>1</v>
      </c>
      <c r="CK143">
        <v>21</v>
      </c>
      <c r="CL143" t="s">
        <v>84</v>
      </c>
    </row>
    <row r="144" spans="1:90" x14ac:dyDescent="0.25">
      <c r="A144" t="s">
        <v>72</v>
      </c>
      <c r="B144" t="s">
        <v>73</v>
      </c>
      <c r="C144" t="s">
        <v>74</v>
      </c>
      <c r="E144" t="str">
        <f>"GAB2008472"</f>
        <v>GAB2008472</v>
      </c>
      <c r="F144" s="3">
        <v>44616</v>
      </c>
      <c r="G144">
        <v>202208</v>
      </c>
      <c r="H144" t="s">
        <v>75</v>
      </c>
      <c r="I144" t="s">
        <v>76</v>
      </c>
      <c r="J144" t="s">
        <v>77</v>
      </c>
      <c r="K144" t="s">
        <v>78</v>
      </c>
      <c r="L144" t="s">
        <v>109</v>
      </c>
      <c r="M144" t="s">
        <v>110</v>
      </c>
      <c r="N144" t="s">
        <v>111</v>
      </c>
      <c r="O144" t="s">
        <v>80</v>
      </c>
      <c r="P144" t="str">
        <f>"CT072197 CT072184 ATT: MINETTE"</f>
        <v>CT072197 CT072184 ATT: MINETTE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25.14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0.8</v>
      </c>
      <c r="BJ144">
        <v>2.6</v>
      </c>
      <c r="BK144">
        <v>3</v>
      </c>
      <c r="BL144">
        <v>90.44</v>
      </c>
      <c r="BM144">
        <v>13.57</v>
      </c>
      <c r="BN144">
        <v>104.01</v>
      </c>
      <c r="BO144">
        <v>104.01</v>
      </c>
      <c r="BQ144" t="s">
        <v>640</v>
      </c>
      <c r="BR144" t="s">
        <v>82</v>
      </c>
      <c r="BS144" s="3">
        <v>44617</v>
      </c>
      <c r="BT144" s="4">
        <v>0.35902777777777778</v>
      </c>
      <c r="BU144" t="s">
        <v>128</v>
      </c>
      <c r="BV144" t="s">
        <v>101</v>
      </c>
      <c r="BY144">
        <v>13196.7</v>
      </c>
      <c r="BZ144" t="s">
        <v>87</v>
      </c>
      <c r="CA144" t="s">
        <v>129</v>
      </c>
      <c r="CC144" t="s">
        <v>110</v>
      </c>
      <c r="CD144">
        <v>157</v>
      </c>
      <c r="CE144" t="s">
        <v>641</v>
      </c>
      <c r="CF144" s="3">
        <v>44617</v>
      </c>
      <c r="CI144">
        <v>1</v>
      </c>
      <c r="CJ144">
        <v>1</v>
      </c>
      <c r="CK144">
        <v>21</v>
      </c>
      <c r="CL144" t="s">
        <v>84</v>
      </c>
    </row>
    <row r="145" spans="1:90" x14ac:dyDescent="0.25">
      <c r="A145" t="s">
        <v>72</v>
      </c>
      <c r="B145" t="s">
        <v>73</v>
      </c>
      <c r="C145" t="s">
        <v>74</v>
      </c>
      <c r="E145" t="str">
        <f>"GAB2008455"</f>
        <v>GAB2008455</v>
      </c>
      <c r="F145" s="3">
        <v>44616</v>
      </c>
      <c r="G145">
        <v>202208</v>
      </c>
      <c r="H145" t="s">
        <v>75</v>
      </c>
      <c r="I145" t="s">
        <v>76</v>
      </c>
      <c r="J145" t="s">
        <v>77</v>
      </c>
      <c r="K145" t="s">
        <v>78</v>
      </c>
      <c r="L145" t="s">
        <v>642</v>
      </c>
      <c r="M145" t="s">
        <v>643</v>
      </c>
      <c r="N145" t="s">
        <v>644</v>
      </c>
      <c r="O145" t="s">
        <v>80</v>
      </c>
      <c r="P145" t="str">
        <f>"CT072048                      "</f>
        <v xml:space="preserve">CT072048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47.15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15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0.4</v>
      </c>
      <c r="BJ145">
        <v>2.9</v>
      </c>
      <c r="BK145">
        <v>3</v>
      </c>
      <c r="BL145">
        <v>184.61</v>
      </c>
      <c r="BM145">
        <v>27.69</v>
      </c>
      <c r="BN145">
        <v>212.3</v>
      </c>
      <c r="BO145">
        <v>212.3</v>
      </c>
      <c r="BQ145" t="s">
        <v>645</v>
      </c>
      <c r="BR145" t="s">
        <v>82</v>
      </c>
      <c r="BS145" s="3">
        <v>44617</v>
      </c>
      <c r="BT145" s="4">
        <v>0.71805555555555556</v>
      </c>
      <c r="BU145" t="s">
        <v>646</v>
      </c>
      <c r="BV145" t="s">
        <v>84</v>
      </c>
      <c r="BW145" t="s">
        <v>239</v>
      </c>
      <c r="BX145" t="s">
        <v>647</v>
      </c>
      <c r="BY145">
        <v>14686.56</v>
      </c>
      <c r="BZ145" t="s">
        <v>121</v>
      </c>
      <c r="CA145" t="s">
        <v>648</v>
      </c>
      <c r="CC145" t="s">
        <v>643</v>
      </c>
      <c r="CD145">
        <v>250</v>
      </c>
      <c r="CE145" t="s">
        <v>580</v>
      </c>
      <c r="CF145" s="3">
        <v>44620</v>
      </c>
      <c r="CI145">
        <v>1</v>
      </c>
      <c r="CJ145">
        <v>1</v>
      </c>
      <c r="CK145">
        <v>23</v>
      </c>
      <c r="CL145" t="s">
        <v>84</v>
      </c>
    </row>
    <row r="146" spans="1:90" x14ac:dyDescent="0.25">
      <c r="A146" t="s">
        <v>72</v>
      </c>
      <c r="B146" t="s">
        <v>73</v>
      </c>
      <c r="C146" t="s">
        <v>74</v>
      </c>
      <c r="E146" t="str">
        <f>"GAB2008469"</f>
        <v>GAB2008469</v>
      </c>
      <c r="F146" s="3">
        <v>44616</v>
      </c>
      <c r="G146">
        <v>202208</v>
      </c>
      <c r="H146" t="s">
        <v>75</v>
      </c>
      <c r="I146" t="s">
        <v>76</v>
      </c>
      <c r="J146" t="s">
        <v>77</v>
      </c>
      <c r="K146" t="s">
        <v>78</v>
      </c>
      <c r="L146" t="s">
        <v>649</v>
      </c>
      <c r="M146" t="s">
        <v>650</v>
      </c>
      <c r="N146" t="s">
        <v>651</v>
      </c>
      <c r="O146" t="s">
        <v>125</v>
      </c>
      <c r="P146" t="str">
        <f>"CT072201                      "</f>
        <v xml:space="preserve">CT072201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32.42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1.9</v>
      </c>
      <c r="BJ146">
        <v>4.7</v>
      </c>
      <c r="BK146">
        <v>5</v>
      </c>
      <c r="BL146">
        <v>121.87</v>
      </c>
      <c r="BM146">
        <v>18.28</v>
      </c>
      <c r="BN146">
        <v>140.15</v>
      </c>
      <c r="BO146">
        <v>140.15</v>
      </c>
      <c r="BQ146" t="s">
        <v>652</v>
      </c>
      <c r="BR146" t="s">
        <v>82</v>
      </c>
      <c r="BS146" t="s">
        <v>653</v>
      </c>
      <c r="BY146">
        <v>23397.5</v>
      </c>
      <c r="CC146" t="s">
        <v>650</v>
      </c>
      <c r="CD146">
        <v>5200</v>
      </c>
      <c r="CE146" t="s">
        <v>130</v>
      </c>
      <c r="CI146">
        <v>2</v>
      </c>
      <c r="CJ146" t="s">
        <v>653</v>
      </c>
      <c r="CK146">
        <v>41</v>
      </c>
      <c r="CL146" t="s">
        <v>84</v>
      </c>
    </row>
    <row r="147" spans="1:90" x14ac:dyDescent="0.25">
      <c r="A147" t="s">
        <v>72</v>
      </c>
      <c r="B147" t="s">
        <v>73</v>
      </c>
      <c r="C147" t="s">
        <v>74</v>
      </c>
      <c r="E147" t="str">
        <f>"GAB2008439"</f>
        <v>GAB2008439</v>
      </c>
      <c r="F147" s="3">
        <v>44615</v>
      </c>
      <c r="G147">
        <v>202208</v>
      </c>
      <c r="H147" t="s">
        <v>75</v>
      </c>
      <c r="I147" t="s">
        <v>76</v>
      </c>
      <c r="J147" t="s">
        <v>77</v>
      </c>
      <c r="K147" t="s">
        <v>78</v>
      </c>
      <c r="L147" t="s">
        <v>159</v>
      </c>
      <c r="M147" t="s">
        <v>160</v>
      </c>
      <c r="N147" t="s">
        <v>419</v>
      </c>
      <c r="O147" t="s">
        <v>80</v>
      </c>
      <c r="P147" t="str">
        <f>"CT072169                      "</f>
        <v xml:space="preserve">CT072169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32.479999999999997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0.3</v>
      </c>
      <c r="BJ147">
        <v>1.9</v>
      </c>
      <c r="BK147">
        <v>2</v>
      </c>
      <c r="BL147">
        <v>116.84</v>
      </c>
      <c r="BM147">
        <v>17.53</v>
      </c>
      <c r="BN147">
        <v>134.37</v>
      </c>
      <c r="BO147">
        <v>134.37</v>
      </c>
      <c r="BQ147" t="s">
        <v>420</v>
      </c>
      <c r="BR147" t="s">
        <v>82</v>
      </c>
      <c r="BS147" s="3">
        <v>44616</v>
      </c>
      <c r="BT147" s="4">
        <v>0.43541666666666662</v>
      </c>
      <c r="BU147" t="s">
        <v>417</v>
      </c>
      <c r="BV147" t="s">
        <v>101</v>
      </c>
      <c r="BY147">
        <v>9521.2800000000007</v>
      </c>
      <c r="BZ147" t="s">
        <v>87</v>
      </c>
      <c r="CA147" t="s">
        <v>422</v>
      </c>
      <c r="CC147" t="s">
        <v>160</v>
      </c>
      <c r="CD147">
        <v>9459</v>
      </c>
      <c r="CE147" t="s">
        <v>654</v>
      </c>
      <c r="CF147" s="3">
        <v>44616</v>
      </c>
      <c r="CI147">
        <v>1</v>
      </c>
      <c r="CJ147">
        <v>1</v>
      </c>
      <c r="CK147">
        <v>23</v>
      </c>
      <c r="CL147" t="s">
        <v>84</v>
      </c>
    </row>
    <row r="148" spans="1:90" x14ac:dyDescent="0.25">
      <c r="A148" t="s">
        <v>72</v>
      </c>
      <c r="B148" t="s">
        <v>73</v>
      </c>
      <c r="C148" t="s">
        <v>74</v>
      </c>
      <c r="E148" t="str">
        <f>"GAB2008438"</f>
        <v>GAB2008438</v>
      </c>
      <c r="F148" s="3">
        <v>44615</v>
      </c>
      <c r="G148">
        <v>202208</v>
      </c>
      <c r="H148" t="s">
        <v>75</v>
      </c>
      <c r="I148" t="s">
        <v>76</v>
      </c>
      <c r="J148" t="s">
        <v>77</v>
      </c>
      <c r="K148" t="s">
        <v>78</v>
      </c>
      <c r="L148" t="s">
        <v>496</v>
      </c>
      <c r="M148" t="s">
        <v>497</v>
      </c>
      <c r="N148" t="s">
        <v>655</v>
      </c>
      <c r="O148" t="s">
        <v>125</v>
      </c>
      <c r="P148" t="str">
        <f>"ORD007164                     "</f>
        <v xml:space="preserve">ORD007164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32.42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0.9</v>
      </c>
      <c r="BJ148">
        <v>2.6</v>
      </c>
      <c r="BK148">
        <v>3</v>
      </c>
      <c r="BL148">
        <v>121.87</v>
      </c>
      <c r="BM148">
        <v>18.28</v>
      </c>
      <c r="BN148">
        <v>140.15</v>
      </c>
      <c r="BO148">
        <v>140.15</v>
      </c>
      <c r="BQ148" t="s">
        <v>656</v>
      </c>
      <c r="BR148" t="s">
        <v>82</v>
      </c>
      <c r="BS148" s="3">
        <v>44616</v>
      </c>
      <c r="BT148" s="4">
        <v>0.6972222222222223</v>
      </c>
      <c r="BU148" t="s">
        <v>657</v>
      </c>
      <c r="BV148" t="s">
        <v>101</v>
      </c>
      <c r="BY148">
        <v>12991.3</v>
      </c>
      <c r="CC148" t="s">
        <v>497</v>
      </c>
      <c r="CD148">
        <v>6529</v>
      </c>
      <c r="CE148" t="s">
        <v>130</v>
      </c>
      <c r="CF148" s="3">
        <v>44617</v>
      </c>
      <c r="CI148">
        <v>1</v>
      </c>
      <c r="CJ148">
        <v>1</v>
      </c>
      <c r="CK148">
        <v>41</v>
      </c>
      <c r="CL148" t="s">
        <v>84</v>
      </c>
    </row>
    <row r="149" spans="1:90" x14ac:dyDescent="0.25">
      <c r="A149" t="s">
        <v>72</v>
      </c>
      <c r="B149" t="s">
        <v>73</v>
      </c>
      <c r="C149" t="s">
        <v>74</v>
      </c>
      <c r="E149" t="str">
        <f>"GAB2008446"</f>
        <v>GAB2008446</v>
      </c>
      <c r="F149" s="3">
        <v>44615</v>
      </c>
      <c r="G149">
        <v>202208</v>
      </c>
      <c r="H149" t="s">
        <v>75</v>
      </c>
      <c r="I149" t="s">
        <v>76</v>
      </c>
      <c r="J149" t="s">
        <v>77</v>
      </c>
      <c r="K149" t="s">
        <v>78</v>
      </c>
      <c r="L149" t="s">
        <v>159</v>
      </c>
      <c r="M149" t="s">
        <v>160</v>
      </c>
      <c r="N149" t="s">
        <v>161</v>
      </c>
      <c r="O149" t="s">
        <v>125</v>
      </c>
      <c r="P149" t="str">
        <f>"CT072172                      "</f>
        <v xml:space="preserve">CT072172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45.72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0.2</v>
      </c>
      <c r="BJ149">
        <v>2.5</v>
      </c>
      <c r="BK149">
        <v>3</v>
      </c>
      <c r="BL149">
        <v>169.72</v>
      </c>
      <c r="BM149">
        <v>25.46</v>
      </c>
      <c r="BN149">
        <v>195.18</v>
      </c>
      <c r="BO149">
        <v>195.18</v>
      </c>
      <c r="BQ149" t="s">
        <v>162</v>
      </c>
      <c r="BR149" t="s">
        <v>82</v>
      </c>
      <c r="BS149" s="3">
        <v>44617</v>
      </c>
      <c r="BT149" s="4">
        <v>0.4368055555555555</v>
      </c>
      <c r="BU149" t="s">
        <v>518</v>
      </c>
      <c r="BV149" t="s">
        <v>101</v>
      </c>
      <c r="BY149">
        <v>12342</v>
      </c>
      <c r="CA149" t="s">
        <v>422</v>
      </c>
      <c r="CC149" t="s">
        <v>160</v>
      </c>
      <c r="CD149">
        <v>9459</v>
      </c>
      <c r="CE149" t="s">
        <v>130</v>
      </c>
      <c r="CF149" s="3">
        <v>44617</v>
      </c>
      <c r="CI149">
        <v>3</v>
      </c>
      <c r="CJ149">
        <v>2</v>
      </c>
      <c r="CK149">
        <v>43</v>
      </c>
      <c r="CL149" t="s">
        <v>84</v>
      </c>
    </row>
    <row r="150" spans="1:90" x14ac:dyDescent="0.25">
      <c r="A150" t="s">
        <v>72</v>
      </c>
      <c r="B150" t="s">
        <v>73</v>
      </c>
      <c r="C150" t="s">
        <v>74</v>
      </c>
      <c r="E150" t="str">
        <f>"GAB2008448"</f>
        <v>GAB2008448</v>
      </c>
      <c r="F150" s="3">
        <v>44615</v>
      </c>
      <c r="G150">
        <v>202208</v>
      </c>
      <c r="H150" t="s">
        <v>75</v>
      </c>
      <c r="I150" t="s">
        <v>76</v>
      </c>
      <c r="J150" t="s">
        <v>77</v>
      </c>
      <c r="K150" t="s">
        <v>78</v>
      </c>
      <c r="L150" t="s">
        <v>176</v>
      </c>
      <c r="M150" t="s">
        <v>177</v>
      </c>
      <c r="N150" t="s">
        <v>658</v>
      </c>
      <c r="O150" t="s">
        <v>125</v>
      </c>
      <c r="P150" t="str">
        <f>"CT072175                      "</f>
        <v xml:space="preserve">CT072175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32.42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0.4</v>
      </c>
      <c r="BJ150">
        <v>2.7</v>
      </c>
      <c r="BK150">
        <v>3</v>
      </c>
      <c r="BL150">
        <v>121.87</v>
      </c>
      <c r="BM150">
        <v>18.28</v>
      </c>
      <c r="BN150">
        <v>140.15</v>
      </c>
      <c r="BO150">
        <v>140.15</v>
      </c>
      <c r="BQ150" t="s">
        <v>659</v>
      </c>
      <c r="BR150" t="s">
        <v>82</v>
      </c>
      <c r="BS150" s="3">
        <v>44617</v>
      </c>
      <c r="BT150" s="4">
        <v>0.50138888888888888</v>
      </c>
      <c r="BU150" t="s">
        <v>660</v>
      </c>
      <c r="BV150" t="s">
        <v>101</v>
      </c>
      <c r="BY150">
        <v>13627.1</v>
      </c>
      <c r="CA150" t="s">
        <v>661</v>
      </c>
      <c r="CC150" t="s">
        <v>177</v>
      </c>
      <c r="CD150">
        <v>3610</v>
      </c>
      <c r="CE150" t="s">
        <v>130</v>
      </c>
      <c r="CF150" s="3">
        <v>44620</v>
      </c>
      <c r="CI150">
        <v>3</v>
      </c>
      <c r="CJ150">
        <v>2</v>
      </c>
      <c r="CK150">
        <v>41</v>
      </c>
      <c r="CL150" t="s">
        <v>84</v>
      </c>
    </row>
    <row r="151" spans="1:90" x14ac:dyDescent="0.25">
      <c r="A151" t="s">
        <v>72</v>
      </c>
      <c r="B151" t="s">
        <v>73</v>
      </c>
      <c r="C151" t="s">
        <v>74</v>
      </c>
      <c r="E151" t="str">
        <f>"GAB2008451"</f>
        <v>GAB2008451</v>
      </c>
      <c r="F151" s="3">
        <v>44615</v>
      </c>
      <c r="G151">
        <v>202208</v>
      </c>
      <c r="H151" t="s">
        <v>75</v>
      </c>
      <c r="I151" t="s">
        <v>76</v>
      </c>
      <c r="J151" t="s">
        <v>77</v>
      </c>
      <c r="K151" t="s">
        <v>78</v>
      </c>
      <c r="L151" t="s">
        <v>153</v>
      </c>
      <c r="M151" t="s">
        <v>154</v>
      </c>
      <c r="N151" t="s">
        <v>662</v>
      </c>
      <c r="O151" t="s">
        <v>125</v>
      </c>
      <c r="P151" t="str">
        <f>"CT071729                      "</f>
        <v xml:space="preserve">CT071729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32.42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7.2</v>
      </c>
      <c r="BJ151">
        <v>14.4</v>
      </c>
      <c r="BK151">
        <v>15</v>
      </c>
      <c r="BL151">
        <v>121.87</v>
      </c>
      <c r="BM151">
        <v>18.28</v>
      </c>
      <c r="BN151">
        <v>140.15</v>
      </c>
      <c r="BO151">
        <v>140.15</v>
      </c>
      <c r="BQ151" t="s">
        <v>663</v>
      </c>
      <c r="BR151" t="s">
        <v>82</v>
      </c>
      <c r="BS151" s="3">
        <v>44617</v>
      </c>
      <c r="BT151" s="4">
        <v>0.36874999999999997</v>
      </c>
      <c r="BU151" t="s">
        <v>664</v>
      </c>
      <c r="BV151" t="s">
        <v>101</v>
      </c>
      <c r="BY151">
        <v>71902.73</v>
      </c>
      <c r="CA151" t="s">
        <v>665</v>
      </c>
      <c r="CC151" t="s">
        <v>154</v>
      </c>
      <c r="CD151">
        <v>2059</v>
      </c>
      <c r="CE151" t="s">
        <v>130</v>
      </c>
      <c r="CF151" s="3">
        <v>44618</v>
      </c>
      <c r="CI151">
        <v>2</v>
      </c>
      <c r="CJ151">
        <v>2</v>
      </c>
      <c r="CK151">
        <v>41</v>
      </c>
      <c r="CL151" t="s">
        <v>84</v>
      </c>
    </row>
    <row r="152" spans="1:90" x14ac:dyDescent="0.25">
      <c r="A152" t="s">
        <v>72</v>
      </c>
      <c r="B152" t="s">
        <v>73</v>
      </c>
      <c r="C152" t="s">
        <v>74</v>
      </c>
      <c r="E152" t="str">
        <f>"GAB2008452"</f>
        <v>GAB2008452</v>
      </c>
      <c r="F152" s="3">
        <v>44615</v>
      </c>
      <c r="G152">
        <v>202208</v>
      </c>
      <c r="H152" t="s">
        <v>75</v>
      </c>
      <c r="I152" t="s">
        <v>76</v>
      </c>
      <c r="J152" t="s">
        <v>77</v>
      </c>
      <c r="K152" t="s">
        <v>78</v>
      </c>
      <c r="L152" t="s">
        <v>666</v>
      </c>
      <c r="M152" t="s">
        <v>667</v>
      </c>
      <c r="N152" t="s">
        <v>668</v>
      </c>
      <c r="O152" t="s">
        <v>125</v>
      </c>
      <c r="P152" t="str">
        <f>"00056                         "</f>
        <v xml:space="preserve">00056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202.29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2</v>
      </c>
      <c r="BI152">
        <v>31.5</v>
      </c>
      <c r="BJ152">
        <v>81.7</v>
      </c>
      <c r="BK152">
        <v>82</v>
      </c>
      <c r="BL152">
        <v>732.98</v>
      </c>
      <c r="BM152">
        <v>109.95</v>
      </c>
      <c r="BN152">
        <v>842.93</v>
      </c>
      <c r="BO152">
        <v>842.93</v>
      </c>
      <c r="BQ152" t="s">
        <v>669</v>
      </c>
      <c r="BR152" t="s">
        <v>82</v>
      </c>
      <c r="BS152" s="3">
        <v>44617</v>
      </c>
      <c r="BT152" s="4">
        <v>0.49444444444444446</v>
      </c>
      <c r="BU152" t="s">
        <v>670</v>
      </c>
      <c r="BV152" t="s">
        <v>101</v>
      </c>
      <c r="BY152">
        <v>408410.95</v>
      </c>
      <c r="CC152" t="s">
        <v>667</v>
      </c>
      <c r="CD152">
        <v>9500</v>
      </c>
      <c r="CE152" t="s">
        <v>130</v>
      </c>
      <c r="CF152" s="3">
        <v>44620</v>
      </c>
      <c r="CI152">
        <v>3</v>
      </c>
      <c r="CJ152">
        <v>2</v>
      </c>
      <c r="CK152">
        <v>43</v>
      </c>
      <c r="CL152" t="s">
        <v>84</v>
      </c>
    </row>
    <row r="153" spans="1:90" x14ac:dyDescent="0.25">
      <c r="A153" t="s">
        <v>72</v>
      </c>
      <c r="B153" t="s">
        <v>73</v>
      </c>
      <c r="C153" t="s">
        <v>74</v>
      </c>
      <c r="E153" t="str">
        <f>"GAB2008453"</f>
        <v>GAB2008453</v>
      </c>
      <c r="F153" s="3">
        <v>44615</v>
      </c>
      <c r="G153">
        <v>202208</v>
      </c>
      <c r="H153" t="s">
        <v>75</v>
      </c>
      <c r="I153" t="s">
        <v>76</v>
      </c>
      <c r="J153" t="s">
        <v>77</v>
      </c>
      <c r="K153" t="s">
        <v>78</v>
      </c>
      <c r="L153" t="s">
        <v>447</v>
      </c>
      <c r="M153" t="s">
        <v>448</v>
      </c>
      <c r="N153" t="s">
        <v>671</v>
      </c>
      <c r="O153" t="s">
        <v>125</v>
      </c>
      <c r="P153" t="str">
        <f>"CT072164                      "</f>
        <v xml:space="preserve">CT072164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109.9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23</v>
      </c>
      <c r="BJ153">
        <v>72.599999999999994</v>
      </c>
      <c r="BK153">
        <v>73</v>
      </c>
      <c r="BL153">
        <v>400.61</v>
      </c>
      <c r="BM153">
        <v>60.09</v>
      </c>
      <c r="BN153">
        <v>460.7</v>
      </c>
      <c r="BO153">
        <v>460.7</v>
      </c>
      <c r="BQ153" t="s">
        <v>672</v>
      </c>
      <c r="BR153" t="s">
        <v>82</v>
      </c>
      <c r="BS153" s="3">
        <v>44617</v>
      </c>
      <c r="BT153" s="4">
        <v>0.52361111111111114</v>
      </c>
      <c r="BU153" t="s">
        <v>673</v>
      </c>
      <c r="BV153" t="s">
        <v>101</v>
      </c>
      <c r="BY153">
        <v>362880</v>
      </c>
      <c r="CA153" t="s">
        <v>674</v>
      </c>
      <c r="CC153" t="s">
        <v>448</v>
      </c>
      <c r="CD153">
        <v>1684</v>
      </c>
      <c r="CE153" t="s">
        <v>130</v>
      </c>
      <c r="CF153" s="3">
        <v>44618</v>
      </c>
      <c r="CI153">
        <v>2</v>
      </c>
      <c r="CJ153">
        <v>2</v>
      </c>
      <c r="CK153">
        <v>41</v>
      </c>
      <c r="CL153" t="s">
        <v>84</v>
      </c>
    </row>
    <row r="154" spans="1:90" x14ac:dyDescent="0.25">
      <c r="A154" t="s">
        <v>72</v>
      </c>
      <c r="B154" t="s">
        <v>73</v>
      </c>
      <c r="C154" t="s">
        <v>74</v>
      </c>
      <c r="E154" t="str">
        <f>"009940857738"</f>
        <v>009940857738</v>
      </c>
      <c r="F154" s="3">
        <v>44616</v>
      </c>
      <c r="G154">
        <v>202208</v>
      </c>
      <c r="H154" t="s">
        <v>109</v>
      </c>
      <c r="I154" t="s">
        <v>110</v>
      </c>
      <c r="J154" t="s">
        <v>675</v>
      </c>
      <c r="K154" t="s">
        <v>78</v>
      </c>
      <c r="L154" t="s">
        <v>75</v>
      </c>
      <c r="M154" t="s">
        <v>76</v>
      </c>
      <c r="N154" t="s">
        <v>111</v>
      </c>
      <c r="O154" t="s">
        <v>125</v>
      </c>
      <c r="P154" t="str">
        <f>"NA                            "</f>
        <v xml:space="preserve">NA 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32.42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2</v>
      </c>
      <c r="BI154">
        <v>5.7</v>
      </c>
      <c r="BJ154">
        <v>12.6</v>
      </c>
      <c r="BK154">
        <v>13</v>
      </c>
      <c r="BL154">
        <v>121.87</v>
      </c>
      <c r="BM154">
        <v>18.28</v>
      </c>
      <c r="BN154">
        <v>140.15</v>
      </c>
      <c r="BO154">
        <v>140.15</v>
      </c>
      <c r="BQ154" t="s">
        <v>676</v>
      </c>
      <c r="BR154" t="s">
        <v>140</v>
      </c>
      <c r="BS154" s="3">
        <v>44620</v>
      </c>
      <c r="BT154" s="4">
        <v>0.39583333333333331</v>
      </c>
      <c r="BU154" t="s">
        <v>273</v>
      </c>
      <c r="BV154" t="s">
        <v>101</v>
      </c>
      <c r="BY154">
        <v>62998.82</v>
      </c>
      <c r="BZ154" t="s">
        <v>137</v>
      </c>
      <c r="CA154" t="s">
        <v>274</v>
      </c>
      <c r="CC154" t="s">
        <v>76</v>
      </c>
      <c r="CD154">
        <v>7460</v>
      </c>
      <c r="CE154" t="s">
        <v>130</v>
      </c>
      <c r="CI154">
        <v>3</v>
      </c>
      <c r="CJ154">
        <v>2</v>
      </c>
      <c r="CK154">
        <v>41</v>
      </c>
      <c r="CL154" t="s">
        <v>84</v>
      </c>
    </row>
    <row r="155" spans="1:90" x14ac:dyDescent="0.25">
      <c r="A155" t="s">
        <v>72</v>
      </c>
      <c r="B155" t="s">
        <v>73</v>
      </c>
      <c r="C155" t="s">
        <v>74</v>
      </c>
      <c r="E155" t="str">
        <f>"009940857741"</f>
        <v>009940857741</v>
      </c>
      <c r="F155" s="3">
        <v>44616</v>
      </c>
      <c r="G155">
        <v>202208</v>
      </c>
      <c r="H155" t="s">
        <v>109</v>
      </c>
      <c r="I155" t="s">
        <v>110</v>
      </c>
      <c r="J155" t="s">
        <v>581</v>
      </c>
      <c r="K155" t="s">
        <v>78</v>
      </c>
      <c r="L155" t="s">
        <v>131</v>
      </c>
      <c r="M155" t="s">
        <v>132</v>
      </c>
      <c r="N155" t="s">
        <v>111</v>
      </c>
      <c r="O155" t="s">
        <v>80</v>
      </c>
      <c r="P155" t="str">
        <f>"NA                            "</f>
        <v xml:space="preserve">NA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16.760000000000002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0.8</v>
      </c>
      <c r="BJ155">
        <v>1.7</v>
      </c>
      <c r="BK155">
        <v>2</v>
      </c>
      <c r="BL155">
        <v>60.3</v>
      </c>
      <c r="BM155">
        <v>9.0500000000000007</v>
      </c>
      <c r="BN155">
        <v>69.349999999999994</v>
      </c>
      <c r="BO155">
        <v>69.349999999999994</v>
      </c>
      <c r="BQ155" t="s">
        <v>677</v>
      </c>
      <c r="BR155" t="s">
        <v>140</v>
      </c>
      <c r="BS155" t="s">
        <v>653</v>
      </c>
      <c r="BY155">
        <v>8307.6</v>
      </c>
      <c r="BZ155" t="s">
        <v>87</v>
      </c>
      <c r="CC155" t="s">
        <v>132</v>
      </c>
      <c r="CD155">
        <v>4000</v>
      </c>
      <c r="CE155" t="s">
        <v>130</v>
      </c>
      <c r="CI155">
        <v>1</v>
      </c>
      <c r="CJ155" t="s">
        <v>653</v>
      </c>
      <c r="CK155">
        <v>21</v>
      </c>
      <c r="CL155" t="s">
        <v>84</v>
      </c>
    </row>
    <row r="156" spans="1:90" x14ac:dyDescent="0.25">
      <c r="A156" t="s">
        <v>72</v>
      </c>
      <c r="B156" t="s">
        <v>73</v>
      </c>
      <c r="C156" t="s">
        <v>74</v>
      </c>
      <c r="E156" t="str">
        <f>"009940773394"</f>
        <v>009940773394</v>
      </c>
      <c r="F156" s="3">
        <v>44616</v>
      </c>
      <c r="G156">
        <v>202208</v>
      </c>
      <c r="H156" t="s">
        <v>109</v>
      </c>
      <c r="I156" t="s">
        <v>110</v>
      </c>
      <c r="J156" t="s">
        <v>581</v>
      </c>
      <c r="K156" t="s">
        <v>78</v>
      </c>
      <c r="L156" t="s">
        <v>123</v>
      </c>
      <c r="M156" t="s">
        <v>124</v>
      </c>
      <c r="N156" t="s">
        <v>111</v>
      </c>
      <c r="O156" t="s">
        <v>80</v>
      </c>
      <c r="P156" t="str">
        <f>"NA                            "</f>
        <v xml:space="preserve">NA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16.760000000000002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2</v>
      </c>
      <c r="BJ156">
        <v>0.2</v>
      </c>
      <c r="BK156">
        <v>2</v>
      </c>
      <c r="BL156">
        <v>60.3</v>
      </c>
      <c r="BM156">
        <v>9.0500000000000007</v>
      </c>
      <c r="BN156">
        <v>69.349999999999994</v>
      </c>
      <c r="BO156">
        <v>69.349999999999994</v>
      </c>
      <c r="BQ156" t="s">
        <v>678</v>
      </c>
      <c r="BR156" t="s">
        <v>140</v>
      </c>
      <c r="BS156" s="3">
        <v>44620</v>
      </c>
      <c r="BT156" s="4">
        <v>0.62083333333333335</v>
      </c>
      <c r="BU156" t="s">
        <v>679</v>
      </c>
      <c r="BV156" t="s">
        <v>84</v>
      </c>
      <c r="BY156">
        <v>1200</v>
      </c>
      <c r="BZ156" t="s">
        <v>87</v>
      </c>
      <c r="CA156" t="s">
        <v>613</v>
      </c>
      <c r="CC156" t="s">
        <v>124</v>
      </c>
      <c r="CD156">
        <v>6000</v>
      </c>
      <c r="CE156" t="s">
        <v>130</v>
      </c>
      <c r="CI156">
        <v>1</v>
      </c>
      <c r="CJ156">
        <v>2</v>
      </c>
      <c r="CK156">
        <v>21</v>
      </c>
      <c r="CL156" t="s">
        <v>84</v>
      </c>
    </row>
    <row r="157" spans="1:90" x14ac:dyDescent="0.25">
      <c r="A157" t="s">
        <v>72</v>
      </c>
      <c r="B157" t="s">
        <v>73</v>
      </c>
      <c r="C157" t="s">
        <v>74</v>
      </c>
      <c r="E157" t="str">
        <f>"009940857748"</f>
        <v>009940857748</v>
      </c>
      <c r="F157" s="3">
        <v>44616</v>
      </c>
      <c r="G157">
        <v>202208</v>
      </c>
      <c r="H157" t="s">
        <v>109</v>
      </c>
      <c r="I157" t="s">
        <v>110</v>
      </c>
      <c r="J157" t="s">
        <v>680</v>
      </c>
      <c r="K157" t="s">
        <v>78</v>
      </c>
      <c r="L157" t="s">
        <v>75</v>
      </c>
      <c r="M157" t="s">
        <v>76</v>
      </c>
      <c r="N157" t="s">
        <v>111</v>
      </c>
      <c r="O157" t="s">
        <v>80</v>
      </c>
      <c r="P157" t="str">
        <f>"NA                            "</f>
        <v xml:space="preserve">NA 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16.760000000000002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2</v>
      </c>
      <c r="BJ157">
        <v>0.2</v>
      </c>
      <c r="BK157">
        <v>2</v>
      </c>
      <c r="BL157">
        <v>60.3</v>
      </c>
      <c r="BM157">
        <v>9.0500000000000007</v>
      </c>
      <c r="BN157">
        <v>69.349999999999994</v>
      </c>
      <c r="BO157">
        <v>69.349999999999994</v>
      </c>
      <c r="BQ157" t="s">
        <v>681</v>
      </c>
      <c r="BR157" t="s">
        <v>140</v>
      </c>
      <c r="BS157" s="3">
        <v>44617</v>
      </c>
      <c r="BT157" s="4">
        <v>0.4513888888888889</v>
      </c>
      <c r="BU157" t="s">
        <v>273</v>
      </c>
      <c r="BV157" t="s">
        <v>84</v>
      </c>
      <c r="BW157" t="s">
        <v>85</v>
      </c>
      <c r="BX157" t="s">
        <v>86</v>
      </c>
      <c r="BY157">
        <v>1200</v>
      </c>
      <c r="BZ157" t="s">
        <v>87</v>
      </c>
      <c r="CA157" t="s">
        <v>274</v>
      </c>
      <c r="CC157" t="s">
        <v>76</v>
      </c>
      <c r="CD157">
        <v>7460</v>
      </c>
      <c r="CE157" t="s">
        <v>130</v>
      </c>
      <c r="CF157" s="3">
        <v>44620</v>
      </c>
      <c r="CI157">
        <v>1</v>
      </c>
      <c r="CJ157">
        <v>1</v>
      </c>
      <c r="CK157">
        <v>21</v>
      </c>
      <c r="CL157" t="s">
        <v>84</v>
      </c>
    </row>
    <row r="158" spans="1:90" x14ac:dyDescent="0.25">
      <c r="A158" t="s">
        <v>72</v>
      </c>
      <c r="B158" t="s">
        <v>73</v>
      </c>
      <c r="C158" t="s">
        <v>74</v>
      </c>
      <c r="E158" t="str">
        <f>"GAB2008476"</f>
        <v>GAB2008476</v>
      </c>
      <c r="F158" s="3">
        <v>44617</v>
      </c>
      <c r="G158">
        <v>202208</v>
      </c>
      <c r="H158" t="s">
        <v>75</v>
      </c>
      <c r="I158" t="s">
        <v>76</v>
      </c>
      <c r="J158" t="s">
        <v>77</v>
      </c>
      <c r="K158" t="s">
        <v>78</v>
      </c>
      <c r="L158" t="s">
        <v>75</v>
      </c>
      <c r="M158" t="s">
        <v>76</v>
      </c>
      <c r="N158" t="s">
        <v>98</v>
      </c>
      <c r="O158" t="s">
        <v>80</v>
      </c>
      <c r="P158" t="str">
        <f>"CT072210                      "</f>
        <v xml:space="preserve">CT072210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13.09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0.2</v>
      </c>
      <c r="BJ158">
        <v>2.1</v>
      </c>
      <c r="BK158">
        <v>2.5</v>
      </c>
      <c r="BL158">
        <v>47.1</v>
      </c>
      <c r="BM158">
        <v>7.07</v>
      </c>
      <c r="BN158">
        <v>54.17</v>
      </c>
      <c r="BO158">
        <v>54.17</v>
      </c>
      <c r="BQ158" t="s">
        <v>99</v>
      </c>
      <c r="BR158" t="s">
        <v>82</v>
      </c>
      <c r="BS158" s="3">
        <v>44620</v>
      </c>
      <c r="BT158" s="4">
        <v>0.39444444444444443</v>
      </c>
      <c r="BU158" t="s">
        <v>682</v>
      </c>
      <c r="BV158" t="s">
        <v>101</v>
      </c>
      <c r="BY158">
        <v>10693.62</v>
      </c>
      <c r="CA158" t="s">
        <v>683</v>
      </c>
      <c r="CC158" t="s">
        <v>76</v>
      </c>
      <c r="CD158">
        <v>7800</v>
      </c>
      <c r="CE158" t="s">
        <v>152</v>
      </c>
      <c r="CI158">
        <v>1</v>
      </c>
      <c r="CJ158">
        <v>1</v>
      </c>
      <c r="CK158">
        <v>22</v>
      </c>
      <c r="CL158" t="s">
        <v>84</v>
      </c>
    </row>
    <row r="159" spans="1:90" x14ac:dyDescent="0.25">
      <c r="A159" t="s">
        <v>72</v>
      </c>
      <c r="B159" t="s">
        <v>73</v>
      </c>
      <c r="C159" t="s">
        <v>74</v>
      </c>
      <c r="E159" t="str">
        <f>"GAB2008489"</f>
        <v>GAB2008489</v>
      </c>
      <c r="F159" s="3">
        <v>44617</v>
      </c>
      <c r="G159">
        <v>202208</v>
      </c>
      <c r="H159" t="s">
        <v>75</v>
      </c>
      <c r="I159" t="s">
        <v>76</v>
      </c>
      <c r="J159" t="s">
        <v>77</v>
      </c>
      <c r="K159" t="s">
        <v>78</v>
      </c>
      <c r="L159" t="s">
        <v>123</v>
      </c>
      <c r="M159" t="s">
        <v>124</v>
      </c>
      <c r="N159" t="s">
        <v>684</v>
      </c>
      <c r="O159" t="s">
        <v>80</v>
      </c>
      <c r="P159" t="str">
        <f>"ATT:HALEY MARSDEN             "</f>
        <v xml:space="preserve">ATT:HALEY MARSDEN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20.95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0.3</v>
      </c>
      <c r="BJ159">
        <v>2.5</v>
      </c>
      <c r="BK159">
        <v>2.5</v>
      </c>
      <c r="BL159">
        <v>75.37</v>
      </c>
      <c r="BM159">
        <v>11.31</v>
      </c>
      <c r="BN159">
        <v>86.68</v>
      </c>
      <c r="BO159">
        <v>86.68</v>
      </c>
      <c r="BQ159" t="s">
        <v>685</v>
      </c>
      <c r="BR159" t="s">
        <v>82</v>
      </c>
      <c r="BS159" s="3">
        <v>44620</v>
      </c>
      <c r="BT159" s="4">
        <v>0.62430555555555556</v>
      </c>
      <c r="BU159" t="s">
        <v>686</v>
      </c>
      <c r="BV159" t="s">
        <v>84</v>
      </c>
      <c r="BY159">
        <v>12718.06</v>
      </c>
      <c r="CA159" t="s">
        <v>613</v>
      </c>
      <c r="CC159" t="s">
        <v>124</v>
      </c>
      <c r="CD159">
        <v>6001</v>
      </c>
      <c r="CE159" t="s">
        <v>687</v>
      </c>
      <c r="CI159">
        <v>1</v>
      </c>
      <c r="CJ159">
        <v>1</v>
      </c>
      <c r="CK159">
        <v>21</v>
      </c>
      <c r="CL159" t="s">
        <v>84</v>
      </c>
    </row>
    <row r="160" spans="1:90" x14ac:dyDescent="0.25">
      <c r="A160" t="s">
        <v>72</v>
      </c>
      <c r="B160" t="s">
        <v>73</v>
      </c>
      <c r="C160" t="s">
        <v>74</v>
      </c>
      <c r="E160" t="str">
        <f>"GAB2008488"</f>
        <v>GAB2008488</v>
      </c>
      <c r="F160" s="3">
        <v>44617</v>
      </c>
      <c r="G160">
        <v>202208</v>
      </c>
      <c r="H160" t="s">
        <v>75</v>
      </c>
      <c r="I160" t="s">
        <v>76</v>
      </c>
      <c r="J160" t="s">
        <v>77</v>
      </c>
      <c r="K160" t="s">
        <v>78</v>
      </c>
      <c r="L160" t="s">
        <v>202</v>
      </c>
      <c r="M160" t="s">
        <v>203</v>
      </c>
      <c r="N160" t="s">
        <v>294</v>
      </c>
      <c r="O160" t="s">
        <v>80</v>
      </c>
      <c r="P160" t="str">
        <f>"007214                        "</f>
        <v xml:space="preserve">007214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29.33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0.4</v>
      </c>
      <c r="BJ160">
        <v>3.4</v>
      </c>
      <c r="BK160">
        <v>3.5</v>
      </c>
      <c r="BL160">
        <v>105.51</v>
      </c>
      <c r="BM160">
        <v>15.83</v>
      </c>
      <c r="BN160">
        <v>121.34</v>
      </c>
      <c r="BO160">
        <v>121.34</v>
      </c>
      <c r="BQ160" t="s">
        <v>688</v>
      </c>
      <c r="BR160" t="s">
        <v>82</v>
      </c>
      <c r="BS160" s="3">
        <v>44620</v>
      </c>
      <c r="BT160" s="4">
        <v>0.38125000000000003</v>
      </c>
      <c r="BU160" t="s">
        <v>689</v>
      </c>
      <c r="BV160" t="s">
        <v>101</v>
      </c>
      <c r="BY160">
        <v>16912.18</v>
      </c>
      <c r="CA160" t="s">
        <v>690</v>
      </c>
      <c r="CC160" t="s">
        <v>203</v>
      </c>
      <c r="CD160">
        <v>1709</v>
      </c>
      <c r="CE160" t="s">
        <v>108</v>
      </c>
      <c r="CI160">
        <v>1</v>
      </c>
      <c r="CJ160">
        <v>1</v>
      </c>
      <c r="CK160">
        <v>21</v>
      </c>
      <c r="CL160" t="s">
        <v>84</v>
      </c>
    </row>
    <row r="161" spans="1:90" x14ac:dyDescent="0.25">
      <c r="A161" t="s">
        <v>72</v>
      </c>
      <c r="B161" t="s">
        <v>73</v>
      </c>
      <c r="C161" t="s">
        <v>74</v>
      </c>
      <c r="E161" t="str">
        <f>"GAB2008484"</f>
        <v>GAB2008484</v>
      </c>
      <c r="F161" s="3">
        <v>44617</v>
      </c>
      <c r="G161">
        <v>202208</v>
      </c>
      <c r="H161" t="s">
        <v>75</v>
      </c>
      <c r="I161" t="s">
        <v>76</v>
      </c>
      <c r="J161" t="s">
        <v>77</v>
      </c>
      <c r="K161" t="s">
        <v>78</v>
      </c>
      <c r="L161" t="s">
        <v>116</v>
      </c>
      <c r="M161" t="s">
        <v>117</v>
      </c>
      <c r="N161" t="s">
        <v>118</v>
      </c>
      <c r="O161" t="s">
        <v>80</v>
      </c>
      <c r="P161" t="str">
        <f>"CT072223                      "</f>
        <v xml:space="preserve">CT072223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25.14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15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0.3</v>
      </c>
      <c r="BJ161">
        <v>2.8</v>
      </c>
      <c r="BK161">
        <v>3</v>
      </c>
      <c r="BL161">
        <v>105.44</v>
      </c>
      <c r="BM161">
        <v>15.82</v>
      </c>
      <c r="BN161">
        <v>121.26</v>
      </c>
      <c r="BO161">
        <v>121.26</v>
      </c>
      <c r="BQ161" t="s">
        <v>119</v>
      </c>
      <c r="BR161" t="s">
        <v>82</v>
      </c>
      <c r="BS161" s="3">
        <v>44620</v>
      </c>
      <c r="BT161" s="4">
        <v>0.4826388888888889</v>
      </c>
      <c r="BU161" t="s">
        <v>691</v>
      </c>
      <c r="BV161" t="s">
        <v>84</v>
      </c>
      <c r="BY161">
        <v>13837.32</v>
      </c>
      <c r="BZ161" t="s">
        <v>30</v>
      </c>
      <c r="CA161" t="s">
        <v>692</v>
      </c>
      <c r="CC161" t="s">
        <v>117</v>
      </c>
      <c r="CD161">
        <v>1475</v>
      </c>
      <c r="CE161" t="s">
        <v>208</v>
      </c>
      <c r="CI161">
        <v>1</v>
      </c>
      <c r="CJ161">
        <v>1</v>
      </c>
      <c r="CK161">
        <v>21</v>
      </c>
      <c r="CL161" t="s">
        <v>84</v>
      </c>
    </row>
    <row r="162" spans="1:90" x14ac:dyDescent="0.25">
      <c r="A162" t="s">
        <v>72</v>
      </c>
      <c r="B162" t="s">
        <v>73</v>
      </c>
      <c r="C162" t="s">
        <v>74</v>
      </c>
      <c r="E162" t="str">
        <f>"GAB2008483"</f>
        <v>GAB2008483</v>
      </c>
      <c r="F162" s="3">
        <v>44617</v>
      </c>
      <c r="G162">
        <v>202208</v>
      </c>
      <c r="H162" t="s">
        <v>75</v>
      </c>
      <c r="I162" t="s">
        <v>76</v>
      </c>
      <c r="J162" t="s">
        <v>77</v>
      </c>
      <c r="K162" t="s">
        <v>78</v>
      </c>
      <c r="L162" t="s">
        <v>210</v>
      </c>
      <c r="M162" t="s">
        <v>211</v>
      </c>
      <c r="N162" t="s">
        <v>212</v>
      </c>
      <c r="O162" t="s">
        <v>80</v>
      </c>
      <c r="P162" t="str">
        <f>"007195                        "</f>
        <v xml:space="preserve">007195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29.32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0.2</v>
      </c>
      <c r="BJ162">
        <v>2.4</v>
      </c>
      <c r="BK162">
        <v>2.5</v>
      </c>
      <c r="BL162">
        <v>105.47</v>
      </c>
      <c r="BM162">
        <v>15.82</v>
      </c>
      <c r="BN162">
        <v>121.29</v>
      </c>
      <c r="BO162">
        <v>121.29</v>
      </c>
      <c r="BQ162" t="s">
        <v>693</v>
      </c>
      <c r="BR162" t="s">
        <v>82</v>
      </c>
      <c r="BS162" s="3">
        <v>44620</v>
      </c>
      <c r="BT162" s="4">
        <v>0.57986111111111105</v>
      </c>
      <c r="BU162" t="s">
        <v>694</v>
      </c>
      <c r="BV162" t="s">
        <v>101</v>
      </c>
      <c r="BY162">
        <v>11795.55</v>
      </c>
      <c r="CA162" t="s">
        <v>695</v>
      </c>
      <c r="CC162" t="s">
        <v>211</v>
      </c>
      <c r="CD162">
        <v>7380</v>
      </c>
      <c r="CE162" t="s">
        <v>103</v>
      </c>
      <c r="CI162">
        <v>5</v>
      </c>
      <c r="CJ162">
        <v>1</v>
      </c>
      <c r="CK162">
        <v>24</v>
      </c>
      <c r="CL162" t="s">
        <v>84</v>
      </c>
    </row>
    <row r="163" spans="1:90" x14ac:dyDescent="0.25">
      <c r="A163" t="s">
        <v>72</v>
      </c>
      <c r="B163" t="s">
        <v>73</v>
      </c>
      <c r="C163" t="s">
        <v>74</v>
      </c>
      <c r="E163" t="str">
        <f>"GAB2008482"</f>
        <v>GAB2008482</v>
      </c>
      <c r="F163" s="3">
        <v>44617</v>
      </c>
      <c r="G163">
        <v>202208</v>
      </c>
      <c r="H163" t="s">
        <v>75</v>
      </c>
      <c r="I163" t="s">
        <v>76</v>
      </c>
      <c r="J163" t="s">
        <v>77</v>
      </c>
      <c r="K163" t="s">
        <v>78</v>
      </c>
      <c r="L163" t="s">
        <v>123</v>
      </c>
      <c r="M163" t="s">
        <v>124</v>
      </c>
      <c r="N163" t="s">
        <v>696</v>
      </c>
      <c r="O163" t="s">
        <v>80</v>
      </c>
      <c r="P163" t="str">
        <f>"007185                        "</f>
        <v xml:space="preserve">007185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25.14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0.3</v>
      </c>
      <c r="BJ163">
        <v>2.7</v>
      </c>
      <c r="BK163">
        <v>3</v>
      </c>
      <c r="BL163">
        <v>90.44</v>
      </c>
      <c r="BM163">
        <v>13.57</v>
      </c>
      <c r="BN163">
        <v>104.01</v>
      </c>
      <c r="BO163">
        <v>104.01</v>
      </c>
      <c r="BQ163" t="s">
        <v>697</v>
      </c>
      <c r="BR163" t="s">
        <v>82</v>
      </c>
      <c r="BS163" s="3">
        <v>44620</v>
      </c>
      <c r="BT163" s="4">
        <v>0.4375</v>
      </c>
      <c r="BU163" t="s">
        <v>698</v>
      </c>
      <c r="BV163" t="s">
        <v>101</v>
      </c>
      <c r="BY163">
        <v>13637.91</v>
      </c>
      <c r="CA163" t="s">
        <v>699</v>
      </c>
      <c r="CC163" t="s">
        <v>124</v>
      </c>
      <c r="CD163">
        <v>6001</v>
      </c>
      <c r="CE163" t="s">
        <v>103</v>
      </c>
      <c r="CI163">
        <v>1</v>
      </c>
      <c r="CJ163">
        <v>1</v>
      </c>
      <c r="CK163">
        <v>21</v>
      </c>
      <c r="CL163" t="s">
        <v>84</v>
      </c>
    </row>
    <row r="164" spans="1:90" x14ac:dyDescent="0.25">
      <c r="A164" t="s">
        <v>72</v>
      </c>
      <c r="B164" t="s">
        <v>73</v>
      </c>
      <c r="C164" t="s">
        <v>74</v>
      </c>
      <c r="E164" t="str">
        <f>"GAB2008490"</f>
        <v>GAB2008490</v>
      </c>
      <c r="F164" s="3">
        <v>44617</v>
      </c>
      <c r="G164">
        <v>202208</v>
      </c>
      <c r="H164" t="s">
        <v>75</v>
      </c>
      <c r="I164" t="s">
        <v>76</v>
      </c>
      <c r="J164" t="s">
        <v>77</v>
      </c>
      <c r="K164" t="s">
        <v>78</v>
      </c>
      <c r="L164" t="s">
        <v>109</v>
      </c>
      <c r="M164" t="s">
        <v>110</v>
      </c>
      <c r="N164" t="s">
        <v>111</v>
      </c>
      <c r="O164" t="s">
        <v>80</v>
      </c>
      <c r="P164" t="str">
        <f>"ATT:LOURENS OBERHOLZER        "</f>
        <v xml:space="preserve">ATT:LOURENS OBERHOLZER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25.14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0.2</v>
      </c>
      <c r="BJ164">
        <v>2.8</v>
      </c>
      <c r="BK164">
        <v>3</v>
      </c>
      <c r="BL164">
        <v>90.44</v>
      </c>
      <c r="BM164">
        <v>13.57</v>
      </c>
      <c r="BN164">
        <v>104.01</v>
      </c>
      <c r="BO164">
        <v>104.01</v>
      </c>
      <c r="BQ164" t="s">
        <v>209</v>
      </c>
      <c r="BR164" t="s">
        <v>82</v>
      </c>
      <c r="BS164" s="3">
        <v>44620</v>
      </c>
      <c r="BT164" s="4">
        <v>0.41666666666666669</v>
      </c>
      <c r="BU164" t="s">
        <v>128</v>
      </c>
      <c r="BV164" t="s">
        <v>101</v>
      </c>
      <c r="BY164">
        <v>14113.56</v>
      </c>
      <c r="CA164" t="s">
        <v>129</v>
      </c>
      <c r="CC164" t="s">
        <v>110</v>
      </c>
      <c r="CD164">
        <v>157</v>
      </c>
      <c r="CE164" t="s">
        <v>700</v>
      </c>
      <c r="CI164">
        <v>1</v>
      </c>
      <c r="CJ164">
        <v>1</v>
      </c>
      <c r="CK164">
        <v>21</v>
      </c>
      <c r="CL164" t="s">
        <v>84</v>
      </c>
    </row>
    <row r="165" spans="1:90" x14ac:dyDescent="0.25">
      <c r="A165" t="s">
        <v>72</v>
      </c>
      <c r="B165" t="s">
        <v>73</v>
      </c>
      <c r="C165" t="s">
        <v>74</v>
      </c>
      <c r="E165" t="str">
        <f>"GAB2008480"</f>
        <v>GAB2008480</v>
      </c>
      <c r="F165" s="3">
        <v>44617</v>
      </c>
      <c r="G165">
        <v>202208</v>
      </c>
      <c r="H165" t="s">
        <v>75</v>
      </c>
      <c r="I165" t="s">
        <v>76</v>
      </c>
      <c r="J165" t="s">
        <v>77</v>
      </c>
      <c r="K165" t="s">
        <v>78</v>
      </c>
      <c r="L165" t="s">
        <v>159</v>
      </c>
      <c r="M165" t="s">
        <v>160</v>
      </c>
      <c r="N165" t="s">
        <v>161</v>
      </c>
      <c r="O165" t="s">
        <v>80</v>
      </c>
      <c r="P165" t="str">
        <f>"CT072219 CT072221 CT072220    "</f>
        <v xml:space="preserve">CT072219 CT072221 CT072220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39.81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0.3</v>
      </c>
      <c r="BJ165">
        <v>2.4</v>
      </c>
      <c r="BK165">
        <v>2.5</v>
      </c>
      <c r="BL165">
        <v>143.22</v>
      </c>
      <c r="BM165">
        <v>21.48</v>
      </c>
      <c r="BN165">
        <v>164.7</v>
      </c>
      <c r="BO165">
        <v>164.7</v>
      </c>
      <c r="BQ165" t="s">
        <v>162</v>
      </c>
      <c r="BR165" t="s">
        <v>82</v>
      </c>
      <c r="BS165" s="3">
        <v>44620</v>
      </c>
      <c r="BT165" s="4">
        <v>0.43333333333333335</v>
      </c>
      <c r="BU165" t="s">
        <v>518</v>
      </c>
      <c r="BV165" t="s">
        <v>101</v>
      </c>
      <c r="BY165">
        <v>12248.8</v>
      </c>
      <c r="CA165" t="s">
        <v>422</v>
      </c>
      <c r="CC165" t="s">
        <v>160</v>
      </c>
      <c r="CD165">
        <v>9459</v>
      </c>
      <c r="CE165" t="s">
        <v>208</v>
      </c>
      <c r="CF165" s="3">
        <v>44620</v>
      </c>
      <c r="CI165">
        <v>1</v>
      </c>
      <c r="CJ165">
        <v>1</v>
      </c>
      <c r="CK165">
        <v>23</v>
      </c>
      <c r="CL165" t="s">
        <v>84</v>
      </c>
    </row>
    <row r="166" spans="1:90" x14ac:dyDescent="0.25">
      <c r="A166" t="s">
        <v>72</v>
      </c>
      <c r="B166" t="s">
        <v>73</v>
      </c>
      <c r="C166" t="s">
        <v>74</v>
      </c>
      <c r="E166" t="str">
        <f>"GAB2008473"</f>
        <v>GAB2008473</v>
      </c>
      <c r="F166" s="3">
        <v>44617</v>
      </c>
      <c r="G166">
        <v>202208</v>
      </c>
      <c r="H166" t="s">
        <v>75</v>
      </c>
      <c r="I166" t="s">
        <v>76</v>
      </c>
      <c r="J166" t="s">
        <v>77</v>
      </c>
      <c r="K166" t="s">
        <v>78</v>
      </c>
      <c r="L166" t="s">
        <v>90</v>
      </c>
      <c r="M166" t="s">
        <v>91</v>
      </c>
      <c r="N166" t="s">
        <v>92</v>
      </c>
      <c r="O166" t="s">
        <v>80</v>
      </c>
      <c r="P166" t="str">
        <f>"CT072205                      "</f>
        <v xml:space="preserve">CT072205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13.09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0.2</v>
      </c>
      <c r="BJ166">
        <v>3.4</v>
      </c>
      <c r="BK166">
        <v>3.5</v>
      </c>
      <c r="BL166">
        <v>47.1</v>
      </c>
      <c r="BM166">
        <v>7.07</v>
      </c>
      <c r="BN166">
        <v>54.17</v>
      </c>
      <c r="BO166">
        <v>54.17</v>
      </c>
      <c r="BQ166" t="s">
        <v>701</v>
      </c>
      <c r="BR166" t="s">
        <v>82</v>
      </c>
      <c r="BS166" s="3">
        <v>44620</v>
      </c>
      <c r="BT166" s="4">
        <v>0.48402777777777778</v>
      </c>
      <c r="BU166" t="s">
        <v>702</v>
      </c>
      <c r="BV166" t="s">
        <v>84</v>
      </c>
      <c r="BY166">
        <v>16827</v>
      </c>
      <c r="CA166" t="s">
        <v>703</v>
      </c>
      <c r="CC166" t="s">
        <v>91</v>
      </c>
      <c r="CD166">
        <v>7600</v>
      </c>
      <c r="CE166" t="s">
        <v>704</v>
      </c>
      <c r="CI166">
        <v>1</v>
      </c>
      <c r="CJ166">
        <v>1</v>
      </c>
      <c r="CK166">
        <v>22</v>
      </c>
      <c r="CL166" t="s">
        <v>84</v>
      </c>
    </row>
    <row r="167" spans="1:90" x14ac:dyDescent="0.25">
      <c r="A167" t="s">
        <v>72</v>
      </c>
      <c r="B167" t="s">
        <v>73</v>
      </c>
      <c r="C167" t="s">
        <v>74</v>
      </c>
      <c r="E167" t="str">
        <f>"GAB2008363"</f>
        <v>GAB2008363</v>
      </c>
      <c r="F167" s="3">
        <v>44610</v>
      </c>
      <c r="G167">
        <v>202208</v>
      </c>
      <c r="H167" t="s">
        <v>75</v>
      </c>
      <c r="I167" t="s">
        <v>76</v>
      </c>
      <c r="J167" t="s">
        <v>77</v>
      </c>
      <c r="K167" t="s">
        <v>78</v>
      </c>
      <c r="L167" t="s">
        <v>185</v>
      </c>
      <c r="M167" t="s">
        <v>186</v>
      </c>
      <c r="N167" t="s">
        <v>187</v>
      </c>
      <c r="O167" t="s">
        <v>80</v>
      </c>
      <c r="P167" t="str">
        <f>"CT072086                      "</f>
        <v xml:space="preserve">CT072086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47.15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15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0.2</v>
      </c>
      <c r="BJ167">
        <v>2.7</v>
      </c>
      <c r="BK167">
        <v>3</v>
      </c>
      <c r="BL167">
        <v>184.61</v>
      </c>
      <c r="BM167">
        <v>27.69</v>
      </c>
      <c r="BN167">
        <v>212.3</v>
      </c>
      <c r="BO167">
        <v>212.3</v>
      </c>
      <c r="BQ167" t="s">
        <v>188</v>
      </c>
      <c r="BR167" t="s">
        <v>82</v>
      </c>
      <c r="BS167" s="3">
        <v>44613</v>
      </c>
      <c r="BT167" s="4">
        <v>0.43472222222222223</v>
      </c>
      <c r="BU167" t="s">
        <v>128</v>
      </c>
      <c r="BV167" t="s">
        <v>101</v>
      </c>
      <c r="BY167">
        <v>13293</v>
      </c>
      <c r="BZ167" t="s">
        <v>121</v>
      </c>
      <c r="CA167" t="s">
        <v>705</v>
      </c>
      <c r="CC167" t="s">
        <v>186</v>
      </c>
      <c r="CD167">
        <v>2745</v>
      </c>
      <c r="CE167" t="s">
        <v>152</v>
      </c>
      <c r="CF167" s="3">
        <v>44614</v>
      </c>
      <c r="CI167">
        <v>1</v>
      </c>
      <c r="CJ167">
        <v>1</v>
      </c>
      <c r="CK167">
        <v>23</v>
      </c>
      <c r="CL167" t="s">
        <v>84</v>
      </c>
    </row>
    <row r="168" spans="1:90" x14ac:dyDescent="0.25">
      <c r="A168" t="s">
        <v>72</v>
      </c>
      <c r="B168" t="s">
        <v>73</v>
      </c>
      <c r="C168" t="s">
        <v>74</v>
      </c>
      <c r="E168" t="str">
        <f>"GAB2008361"</f>
        <v>GAB2008361</v>
      </c>
      <c r="F168" s="3">
        <v>44610</v>
      </c>
      <c r="G168">
        <v>202208</v>
      </c>
      <c r="H168" t="s">
        <v>75</v>
      </c>
      <c r="I168" t="s">
        <v>76</v>
      </c>
      <c r="J168" t="s">
        <v>77</v>
      </c>
      <c r="K168" t="s">
        <v>78</v>
      </c>
      <c r="L168" t="s">
        <v>346</v>
      </c>
      <c r="M168" t="s">
        <v>346</v>
      </c>
      <c r="N168" t="s">
        <v>706</v>
      </c>
      <c r="O168" t="s">
        <v>80</v>
      </c>
      <c r="P168" t="str">
        <f>"CT072079                      "</f>
        <v xml:space="preserve">CT072079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75.239999999999995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1.7</v>
      </c>
      <c r="BJ168">
        <v>6.4</v>
      </c>
      <c r="BK168">
        <v>6.5</v>
      </c>
      <c r="BL168">
        <v>270.67</v>
      </c>
      <c r="BM168">
        <v>40.6</v>
      </c>
      <c r="BN168">
        <v>311.27</v>
      </c>
      <c r="BO168">
        <v>311.27</v>
      </c>
      <c r="BQ168" t="s">
        <v>707</v>
      </c>
      <c r="BR168" t="s">
        <v>82</v>
      </c>
      <c r="BS168" s="3">
        <v>44614</v>
      </c>
      <c r="BT168" s="4">
        <v>0.46388888888888885</v>
      </c>
      <c r="BU168" t="s">
        <v>708</v>
      </c>
      <c r="BV168" t="s">
        <v>84</v>
      </c>
      <c r="BW168" t="s">
        <v>85</v>
      </c>
      <c r="BX168" t="s">
        <v>86</v>
      </c>
      <c r="BY168">
        <v>31846.400000000001</v>
      </c>
      <c r="BZ168" t="s">
        <v>87</v>
      </c>
      <c r="CC168" t="s">
        <v>346</v>
      </c>
      <c r="CD168">
        <v>7646</v>
      </c>
      <c r="CE168" t="s">
        <v>709</v>
      </c>
      <c r="CF168" s="3">
        <v>44615</v>
      </c>
      <c r="CI168">
        <v>1</v>
      </c>
      <c r="CJ168">
        <v>2</v>
      </c>
      <c r="CK168">
        <v>24</v>
      </c>
      <c r="CL168" t="s">
        <v>84</v>
      </c>
    </row>
    <row r="169" spans="1:90" x14ac:dyDescent="0.25">
      <c r="A169" t="s">
        <v>72</v>
      </c>
      <c r="B169" t="s">
        <v>73</v>
      </c>
      <c r="C169" t="s">
        <v>74</v>
      </c>
      <c r="E169" t="str">
        <f>"GAB2008376"</f>
        <v>GAB2008376</v>
      </c>
      <c r="F169" s="3">
        <v>44610</v>
      </c>
      <c r="G169">
        <v>202208</v>
      </c>
      <c r="H169" t="s">
        <v>75</v>
      </c>
      <c r="I169" t="s">
        <v>76</v>
      </c>
      <c r="J169" t="s">
        <v>77</v>
      </c>
      <c r="K169" t="s">
        <v>78</v>
      </c>
      <c r="L169" t="s">
        <v>109</v>
      </c>
      <c r="M169" t="s">
        <v>110</v>
      </c>
      <c r="N169" t="s">
        <v>111</v>
      </c>
      <c r="O169" t="s">
        <v>125</v>
      </c>
      <c r="P169" t="str">
        <f>"ATT:DUDU                      "</f>
        <v xml:space="preserve">ATT:DUDU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32.42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10.9</v>
      </c>
      <c r="BJ169">
        <v>12.1</v>
      </c>
      <c r="BK169">
        <v>13</v>
      </c>
      <c r="BL169">
        <v>121.87</v>
      </c>
      <c r="BM169">
        <v>18.28</v>
      </c>
      <c r="BN169">
        <v>140.15</v>
      </c>
      <c r="BO169">
        <v>140.15</v>
      </c>
      <c r="BQ169" t="s">
        <v>179</v>
      </c>
      <c r="BR169" t="s">
        <v>82</v>
      </c>
      <c r="BS169" s="3">
        <v>44613</v>
      </c>
      <c r="BT169" s="4">
        <v>0.48680555555555555</v>
      </c>
      <c r="BU169" t="s">
        <v>175</v>
      </c>
      <c r="BV169" t="s">
        <v>101</v>
      </c>
      <c r="BY169">
        <v>60315.15</v>
      </c>
      <c r="CA169" t="s">
        <v>114</v>
      </c>
      <c r="CC169" t="s">
        <v>110</v>
      </c>
      <c r="CD169">
        <v>157</v>
      </c>
      <c r="CE169" t="s">
        <v>130</v>
      </c>
      <c r="CF169" s="3">
        <v>44613</v>
      </c>
      <c r="CI169">
        <v>2</v>
      </c>
      <c r="CJ169">
        <v>1</v>
      </c>
      <c r="CK169">
        <v>41</v>
      </c>
      <c r="CL169" t="s">
        <v>84</v>
      </c>
    </row>
    <row r="170" spans="1:90" x14ac:dyDescent="0.25">
      <c r="A170" t="s">
        <v>72</v>
      </c>
      <c r="B170" t="s">
        <v>73</v>
      </c>
      <c r="C170" t="s">
        <v>74</v>
      </c>
      <c r="E170" t="str">
        <f>"GAB2008375"</f>
        <v>GAB2008375</v>
      </c>
      <c r="F170" s="3">
        <v>44610</v>
      </c>
      <c r="G170">
        <v>202208</v>
      </c>
      <c r="H170" t="s">
        <v>75</v>
      </c>
      <c r="I170" t="s">
        <v>76</v>
      </c>
      <c r="J170" t="s">
        <v>77</v>
      </c>
      <c r="K170" t="s">
        <v>78</v>
      </c>
      <c r="L170" t="s">
        <v>710</v>
      </c>
      <c r="M170" t="s">
        <v>711</v>
      </c>
      <c r="N170" t="s">
        <v>712</v>
      </c>
      <c r="O170" t="s">
        <v>125</v>
      </c>
      <c r="P170" t="str">
        <f>"CT072097                      "</f>
        <v xml:space="preserve">CT072097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79.180000000000007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4</v>
      </c>
      <c r="BI170">
        <v>17.7</v>
      </c>
      <c r="BJ170">
        <v>50</v>
      </c>
      <c r="BK170">
        <v>50</v>
      </c>
      <c r="BL170">
        <v>290.08</v>
      </c>
      <c r="BM170">
        <v>43.51</v>
      </c>
      <c r="BN170">
        <v>333.59</v>
      </c>
      <c r="BO170">
        <v>333.59</v>
      </c>
      <c r="BQ170" t="s">
        <v>713</v>
      </c>
      <c r="BR170" t="s">
        <v>82</v>
      </c>
      <c r="BS170" s="3">
        <v>44613</v>
      </c>
      <c r="BT170" s="4">
        <v>0.48958333333333331</v>
      </c>
      <c r="BU170" t="s">
        <v>714</v>
      </c>
      <c r="BV170" t="s">
        <v>101</v>
      </c>
      <c r="BY170">
        <v>250130.14</v>
      </c>
      <c r="CA170" t="s">
        <v>715</v>
      </c>
      <c r="CC170" t="s">
        <v>711</v>
      </c>
      <c r="CD170">
        <v>1449</v>
      </c>
      <c r="CE170" t="s">
        <v>130</v>
      </c>
      <c r="CF170" s="3">
        <v>44613</v>
      </c>
      <c r="CI170">
        <v>2</v>
      </c>
      <c r="CJ170">
        <v>1</v>
      </c>
      <c r="CK170">
        <v>41</v>
      </c>
      <c r="CL170" t="s">
        <v>84</v>
      </c>
    </row>
    <row r="171" spans="1:90" x14ac:dyDescent="0.25">
      <c r="A171" t="s">
        <v>72</v>
      </c>
      <c r="B171" t="s">
        <v>73</v>
      </c>
      <c r="C171" t="s">
        <v>74</v>
      </c>
      <c r="E171" t="str">
        <f>"GAB2008365"</f>
        <v>GAB2008365</v>
      </c>
      <c r="F171" s="3">
        <v>44610</v>
      </c>
      <c r="G171">
        <v>202208</v>
      </c>
      <c r="H171" t="s">
        <v>75</v>
      </c>
      <c r="I171" t="s">
        <v>76</v>
      </c>
      <c r="J171" t="s">
        <v>77</v>
      </c>
      <c r="K171" t="s">
        <v>78</v>
      </c>
      <c r="L171" t="s">
        <v>481</v>
      </c>
      <c r="M171" t="s">
        <v>482</v>
      </c>
      <c r="N171" t="s">
        <v>716</v>
      </c>
      <c r="O171" t="s">
        <v>80</v>
      </c>
      <c r="P171" t="str">
        <f>"CT072092                      "</f>
        <v xml:space="preserve">CT072092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39.81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1</v>
      </c>
      <c r="BJ171">
        <v>2.4</v>
      </c>
      <c r="BK171">
        <v>2.5</v>
      </c>
      <c r="BL171">
        <v>143.22</v>
      </c>
      <c r="BM171">
        <v>21.48</v>
      </c>
      <c r="BN171">
        <v>164.7</v>
      </c>
      <c r="BO171">
        <v>164.7</v>
      </c>
      <c r="BQ171" t="s">
        <v>717</v>
      </c>
      <c r="BR171" t="s">
        <v>82</v>
      </c>
      <c r="BS171" s="3">
        <v>44613</v>
      </c>
      <c r="BT171" s="4">
        <v>0.38819444444444445</v>
      </c>
      <c r="BU171" t="s">
        <v>485</v>
      </c>
      <c r="BV171" t="s">
        <v>101</v>
      </c>
      <c r="BY171">
        <v>11971.43</v>
      </c>
      <c r="BZ171" t="s">
        <v>87</v>
      </c>
      <c r="CC171" t="s">
        <v>482</v>
      </c>
      <c r="CD171">
        <v>9700</v>
      </c>
      <c r="CE171" t="s">
        <v>493</v>
      </c>
      <c r="CF171" s="3">
        <v>44613</v>
      </c>
      <c r="CI171">
        <v>2</v>
      </c>
      <c r="CJ171">
        <v>1</v>
      </c>
      <c r="CK171">
        <v>23</v>
      </c>
      <c r="CL171" t="s">
        <v>84</v>
      </c>
    </row>
    <row r="172" spans="1:90" x14ac:dyDescent="0.25">
      <c r="A172" t="s">
        <v>72</v>
      </c>
      <c r="B172" t="s">
        <v>73</v>
      </c>
      <c r="C172" t="s">
        <v>74</v>
      </c>
      <c r="E172" t="str">
        <f>"GAB2008374"</f>
        <v>GAB2008374</v>
      </c>
      <c r="F172" s="3">
        <v>44610</v>
      </c>
      <c r="G172">
        <v>202208</v>
      </c>
      <c r="H172" t="s">
        <v>75</v>
      </c>
      <c r="I172" t="s">
        <v>76</v>
      </c>
      <c r="J172" t="s">
        <v>77</v>
      </c>
      <c r="K172" t="s">
        <v>78</v>
      </c>
      <c r="L172" t="s">
        <v>153</v>
      </c>
      <c r="M172" t="s">
        <v>154</v>
      </c>
      <c r="N172" t="s">
        <v>718</v>
      </c>
      <c r="O172" t="s">
        <v>125</v>
      </c>
      <c r="P172" t="str">
        <f>"CT072098                      "</f>
        <v xml:space="preserve">CT072098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32.42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0.8</v>
      </c>
      <c r="BJ172">
        <v>2.5</v>
      </c>
      <c r="BK172">
        <v>3</v>
      </c>
      <c r="BL172">
        <v>121.87</v>
      </c>
      <c r="BM172">
        <v>18.28</v>
      </c>
      <c r="BN172">
        <v>140.15</v>
      </c>
      <c r="BO172">
        <v>140.15</v>
      </c>
      <c r="BQ172" t="s">
        <v>719</v>
      </c>
      <c r="BR172" t="s">
        <v>82</v>
      </c>
      <c r="BS172" s="3">
        <v>44613</v>
      </c>
      <c r="BT172" s="4">
        <v>0.39999999999999997</v>
      </c>
      <c r="BU172" t="s">
        <v>720</v>
      </c>
      <c r="BV172" t="s">
        <v>101</v>
      </c>
      <c r="BY172">
        <v>12280.32</v>
      </c>
      <c r="CA172" t="s">
        <v>523</v>
      </c>
      <c r="CC172" t="s">
        <v>154</v>
      </c>
      <c r="CD172">
        <v>2092</v>
      </c>
      <c r="CE172" t="s">
        <v>130</v>
      </c>
      <c r="CF172" s="3">
        <v>44614</v>
      </c>
      <c r="CI172">
        <v>2</v>
      </c>
      <c r="CJ172">
        <v>1</v>
      </c>
      <c r="CK172">
        <v>41</v>
      </c>
      <c r="CL172" t="s">
        <v>84</v>
      </c>
    </row>
    <row r="173" spans="1:90" x14ac:dyDescent="0.25">
      <c r="A173" t="s">
        <v>72</v>
      </c>
      <c r="B173" t="s">
        <v>73</v>
      </c>
      <c r="C173" t="s">
        <v>74</v>
      </c>
      <c r="E173" t="str">
        <f>"GAB2008366"</f>
        <v>GAB2008366</v>
      </c>
      <c r="F173" s="3">
        <v>44610</v>
      </c>
      <c r="G173">
        <v>202208</v>
      </c>
      <c r="H173" t="s">
        <v>75</v>
      </c>
      <c r="I173" t="s">
        <v>76</v>
      </c>
      <c r="J173" t="s">
        <v>77</v>
      </c>
      <c r="K173" t="s">
        <v>78</v>
      </c>
      <c r="L173" t="s">
        <v>75</v>
      </c>
      <c r="M173" t="s">
        <v>76</v>
      </c>
      <c r="N173" t="s">
        <v>98</v>
      </c>
      <c r="O173" t="s">
        <v>80</v>
      </c>
      <c r="P173" t="str">
        <f>"CT072093                      "</f>
        <v xml:space="preserve">CT072093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13.09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0.3</v>
      </c>
      <c r="BJ173">
        <v>3.3</v>
      </c>
      <c r="BK173">
        <v>3.5</v>
      </c>
      <c r="BL173">
        <v>47.1</v>
      </c>
      <c r="BM173">
        <v>7.07</v>
      </c>
      <c r="BN173">
        <v>54.17</v>
      </c>
      <c r="BO173">
        <v>54.17</v>
      </c>
      <c r="BQ173" t="s">
        <v>99</v>
      </c>
      <c r="BR173" t="s">
        <v>82</v>
      </c>
      <c r="BS173" s="3">
        <v>44613</v>
      </c>
      <c r="BT173" s="4">
        <v>0.43124999999999997</v>
      </c>
      <c r="BU173" t="s">
        <v>721</v>
      </c>
      <c r="BV173" t="s">
        <v>101</v>
      </c>
      <c r="BY173">
        <v>16698.150000000001</v>
      </c>
      <c r="BZ173" t="s">
        <v>87</v>
      </c>
      <c r="CA173" t="s">
        <v>102</v>
      </c>
      <c r="CC173" t="s">
        <v>76</v>
      </c>
      <c r="CD173">
        <v>7800</v>
      </c>
      <c r="CE173" t="s">
        <v>288</v>
      </c>
      <c r="CF173" s="3">
        <v>44614</v>
      </c>
      <c r="CI173">
        <v>1</v>
      </c>
      <c r="CJ173">
        <v>1</v>
      </c>
      <c r="CK173">
        <v>22</v>
      </c>
      <c r="CL173" t="s">
        <v>84</v>
      </c>
    </row>
    <row r="174" spans="1:90" x14ac:dyDescent="0.25">
      <c r="A174" t="s">
        <v>72</v>
      </c>
      <c r="B174" t="s">
        <v>73</v>
      </c>
      <c r="C174" t="s">
        <v>74</v>
      </c>
      <c r="E174" t="str">
        <f>"GAB2008372"</f>
        <v>GAB2008372</v>
      </c>
      <c r="F174" s="3">
        <v>44610</v>
      </c>
      <c r="G174">
        <v>202208</v>
      </c>
      <c r="H174" t="s">
        <v>75</v>
      </c>
      <c r="I174" t="s">
        <v>76</v>
      </c>
      <c r="J174" t="s">
        <v>77</v>
      </c>
      <c r="K174" t="s">
        <v>78</v>
      </c>
      <c r="L174" t="s">
        <v>722</v>
      </c>
      <c r="M174" t="s">
        <v>723</v>
      </c>
      <c r="N174" t="s">
        <v>724</v>
      </c>
      <c r="O174" t="s">
        <v>125</v>
      </c>
      <c r="P174" t="str">
        <f>"007093                        "</f>
        <v xml:space="preserve">007093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35.799999999999997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0.5</v>
      </c>
      <c r="BJ174">
        <v>1.9</v>
      </c>
      <c r="BK174">
        <v>2</v>
      </c>
      <c r="BL174">
        <v>134.04</v>
      </c>
      <c r="BM174">
        <v>20.11</v>
      </c>
      <c r="BN174">
        <v>154.15</v>
      </c>
      <c r="BO174">
        <v>154.15</v>
      </c>
      <c r="BQ174" t="s">
        <v>311</v>
      </c>
      <c r="BR174" t="s">
        <v>82</v>
      </c>
      <c r="BS174" s="3">
        <v>44613</v>
      </c>
      <c r="BT174" s="4">
        <v>0.51736111111111105</v>
      </c>
      <c r="BU174" t="s">
        <v>362</v>
      </c>
      <c r="BV174" t="s">
        <v>101</v>
      </c>
      <c r="BY174">
        <v>9254.4</v>
      </c>
      <c r="CA174" t="s">
        <v>725</v>
      </c>
      <c r="CC174" t="s">
        <v>723</v>
      </c>
      <c r="CD174">
        <v>7230</v>
      </c>
      <c r="CE174" t="s">
        <v>130</v>
      </c>
      <c r="CF174" s="3">
        <v>44614</v>
      </c>
      <c r="CI174">
        <v>0</v>
      </c>
      <c r="CJ174">
        <v>0</v>
      </c>
      <c r="CK174">
        <v>44</v>
      </c>
      <c r="CL174" t="s">
        <v>84</v>
      </c>
    </row>
    <row r="175" spans="1:90" x14ac:dyDescent="0.25">
      <c r="A175" t="s">
        <v>72</v>
      </c>
      <c r="B175" t="s">
        <v>73</v>
      </c>
      <c r="C175" t="s">
        <v>74</v>
      </c>
      <c r="E175" t="str">
        <f>"GAB2008381"</f>
        <v>GAB2008381</v>
      </c>
      <c r="F175" s="3">
        <v>44610</v>
      </c>
      <c r="G175">
        <v>202208</v>
      </c>
      <c r="H175" t="s">
        <v>75</v>
      </c>
      <c r="I175" t="s">
        <v>76</v>
      </c>
      <c r="J175" t="s">
        <v>77</v>
      </c>
      <c r="K175" t="s">
        <v>78</v>
      </c>
      <c r="L175" t="s">
        <v>123</v>
      </c>
      <c r="M175" t="s">
        <v>124</v>
      </c>
      <c r="N175" t="s">
        <v>220</v>
      </c>
      <c r="O175" t="s">
        <v>80</v>
      </c>
      <c r="P175" t="str">
        <f>"ATT HALEY CT072089            "</f>
        <v xml:space="preserve">ATT HALEY CT072089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16.760000000000002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0.5</v>
      </c>
      <c r="BJ175">
        <v>1.8</v>
      </c>
      <c r="BK175">
        <v>2</v>
      </c>
      <c r="BL175">
        <v>60.3</v>
      </c>
      <c r="BM175">
        <v>9.0500000000000007</v>
      </c>
      <c r="BN175">
        <v>69.349999999999994</v>
      </c>
      <c r="BO175">
        <v>69.349999999999994</v>
      </c>
      <c r="BQ175" t="s">
        <v>685</v>
      </c>
      <c r="BR175" t="s">
        <v>82</v>
      </c>
      <c r="BS175" s="3">
        <v>44613</v>
      </c>
      <c r="BT175" s="4">
        <v>0.4694444444444445</v>
      </c>
      <c r="BU175" t="s">
        <v>726</v>
      </c>
      <c r="BV175" t="s">
        <v>84</v>
      </c>
      <c r="BW175" t="s">
        <v>727</v>
      </c>
      <c r="BX175" t="s">
        <v>728</v>
      </c>
      <c r="BY175">
        <v>8755.2000000000007</v>
      </c>
      <c r="BZ175" t="s">
        <v>87</v>
      </c>
      <c r="CC175" t="s">
        <v>124</v>
      </c>
      <c r="CD175">
        <v>6001</v>
      </c>
      <c r="CE175" t="s">
        <v>729</v>
      </c>
      <c r="CF175" s="3">
        <v>44614</v>
      </c>
      <c r="CI175">
        <v>1</v>
      </c>
      <c r="CJ175">
        <v>1</v>
      </c>
      <c r="CK175">
        <v>21</v>
      </c>
      <c r="CL175" t="s">
        <v>84</v>
      </c>
    </row>
    <row r="176" spans="1:90" x14ac:dyDescent="0.25">
      <c r="A176" t="s">
        <v>72</v>
      </c>
      <c r="B176" t="s">
        <v>73</v>
      </c>
      <c r="C176" t="s">
        <v>74</v>
      </c>
      <c r="E176" t="str">
        <f>"GAB2008371"</f>
        <v>GAB2008371</v>
      </c>
      <c r="F176" s="3">
        <v>44610</v>
      </c>
      <c r="G176">
        <v>202208</v>
      </c>
      <c r="H176" t="s">
        <v>75</v>
      </c>
      <c r="I176" t="s">
        <v>76</v>
      </c>
      <c r="J176" t="s">
        <v>77</v>
      </c>
      <c r="K176" t="s">
        <v>78</v>
      </c>
      <c r="L176" t="s">
        <v>90</v>
      </c>
      <c r="M176" t="s">
        <v>91</v>
      </c>
      <c r="N176" t="s">
        <v>730</v>
      </c>
      <c r="O176" t="s">
        <v>125</v>
      </c>
      <c r="P176" t="str">
        <f>"007100                        "</f>
        <v xml:space="preserve">007100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25.01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0.7</v>
      </c>
      <c r="BJ176">
        <v>1.8</v>
      </c>
      <c r="BK176">
        <v>2</v>
      </c>
      <c r="BL176">
        <v>95.23</v>
      </c>
      <c r="BM176">
        <v>14.28</v>
      </c>
      <c r="BN176">
        <v>109.51</v>
      </c>
      <c r="BO176">
        <v>109.51</v>
      </c>
      <c r="BQ176" t="s">
        <v>311</v>
      </c>
      <c r="BR176" t="s">
        <v>82</v>
      </c>
      <c r="BS176" s="3">
        <v>44613</v>
      </c>
      <c r="BT176" s="4">
        <v>0.4694444444444445</v>
      </c>
      <c r="BU176" t="s">
        <v>731</v>
      </c>
      <c r="BV176" t="s">
        <v>101</v>
      </c>
      <c r="BY176">
        <v>8761.5</v>
      </c>
      <c r="CA176" t="s">
        <v>96</v>
      </c>
      <c r="CC176" t="s">
        <v>91</v>
      </c>
      <c r="CD176">
        <v>7600</v>
      </c>
      <c r="CE176" t="s">
        <v>130</v>
      </c>
      <c r="CF176" s="3">
        <v>44614</v>
      </c>
      <c r="CI176">
        <v>1</v>
      </c>
      <c r="CJ176">
        <v>1</v>
      </c>
      <c r="CK176">
        <v>42</v>
      </c>
      <c r="CL176" t="s">
        <v>84</v>
      </c>
    </row>
    <row r="177" spans="1:90" x14ac:dyDescent="0.25">
      <c r="A177" t="s">
        <v>72</v>
      </c>
      <c r="B177" t="s">
        <v>73</v>
      </c>
      <c r="C177" t="s">
        <v>74</v>
      </c>
      <c r="E177" t="str">
        <f>"GAB2008368"</f>
        <v>GAB2008368</v>
      </c>
      <c r="F177" s="3">
        <v>44610</v>
      </c>
      <c r="G177">
        <v>202208</v>
      </c>
      <c r="H177" t="s">
        <v>75</v>
      </c>
      <c r="I177" t="s">
        <v>76</v>
      </c>
      <c r="J177" t="s">
        <v>77</v>
      </c>
      <c r="K177" t="s">
        <v>78</v>
      </c>
      <c r="L177" t="s">
        <v>153</v>
      </c>
      <c r="M177" t="s">
        <v>154</v>
      </c>
      <c r="N177" t="s">
        <v>370</v>
      </c>
      <c r="O177" t="s">
        <v>80</v>
      </c>
      <c r="P177" t="str">
        <f>"007074                        "</f>
        <v xml:space="preserve">007074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20.95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15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0.2</v>
      </c>
      <c r="BJ177">
        <v>2.5</v>
      </c>
      <c r="BK177">
        <v>2.5</v>
      </c>
      <c r="BL177">
        <v>90.37</v>
      </c>
      <c r="BM177">
        <v>13.56</v>
      </c>
      <c r="BN177">
        <v>103.93</v>
      </c>
      <c r="BO177">
        <v>103.93</v>
      </c>
      <c r="BQ177" t="s">
        <v>371</v>
      </c>
      <c r="BR177" t="s">
        <v>82</v>
      </c>
      <c r="BS177" s="3">
        <v>44613</v>
      </c>
      <c r="BT177" s="4">
        <v>0.35416666666666669</v>
      </c>
      <c r="BU177" t="s">
        <v>575</v>
      </c>
      <c r="BV177" t="s">
        <v>101</v>
      </c>
      <c r="BY177">
        <v>12631.92</v>
      </c>
      <c r="BZ177" t="s">
        <v>121</v>
      </c>
      <c r="CA177" t="s">
        <v>373</v>
      </c>
      <c r="CC177" t="s">
        <v>154</v>
      </c>
      <c r="CD177">
        <v>2000</v>
      </c>
      <c r="CE177" t="s">
        <v>152</v>
      </c>
      <c r="CF177" s="3">
        <v>44614</v>
      </c>
      <c r="CI177">
        <v>1</v>
      </c>
      <c r="CJ177">
        <v>1</v>
      </c>
      <c r="CK177">
        <v>21</v>
      </c>
      <c r="CL177" t="s">
        <v>84</v>
      </c>
    </row>
    <row r="178" spans="1:90" x14ac:dyDescent="0.25">
      <c r="A178" t="s">
        <v>72</v>
      </c>
      <c r="B178" t="s">
        <v>73</v>
      </c>
      <c r="C178" t="s">
        <v>74</v>
      </c>
      <c r="E178" t="str">
        <f>"009941943639"</f>
        <v>009941943639</v>
      </c>
      <c r="F178" s="3">
        <v>44616</v>
      </c>
      <c r="G178">
        <v>202208</v>
      </c>
      <c r="H178" t="s">
        <v>541</v>
      </c>
      <c r="I178" t="s">
        <v>542</v>
      </c>
      <c r="J178" t="s">
        <v>732</v>
      </c>
      <c r="K178" t="s">
        <v>78</v>
      </c>
      <c r="L178" t="s">
        <v>75</v>
      </c>
      <c r="M178" t="s">
        <v>76</v>
      </c>
      <c r="N178" t="s">
        <v>476</v>
      </c>
      <c r="O178" t="s">
        <v>125</v>
      </c>
      <c r="P178" t="str">
        <f>"NA                            "</f>
        <v xml:space="preserve">NA 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79.180000000000007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2</v>
      </c>
      <c r="BI178">
        <v>50</v>
      </c>
      <c r="BJ178">
        <v>7.3</v>
      </c>
      <c r="BK178">
        <v>50</v>
      </c>
      <c r="BL178">
        <v>290.08</v>
      </c>
      <c r="BM178">
        <v>43.51</v>
      </c>
      <c r="BN178">
        <v>333.59</v>
      </c>
      <c r="BO178">
        <v>333.59</v>
      </c>
      <c r="BQ178" t="s">
        <v>733</v>
      </c>
      <c r="BR178" t="s">
        <v>734</v>
      </c>
      <c r="BS178" s="3">
        <v>44620</v>
      </c>
      <c r="BT178" s="4">
        <v>0.41388888888888892</v>
      </c>
      <c r="BU178" t="s">
        <v>735</v>
      </c>
      <c r="BV178" t="s">
        <v>101</v>
      </c>
      <c r="BY178">
        <v>18150</v>
      </c>
      <c r="BZ178" t="s">
        <v>137</v>
      </c>
      <c r="CA178" t="s">
        <v>274</v>
      </c>
      <c r="CC178" t="s">
        <v>76</v>
      </c>
      <c r="CD178">
        <v>7460</v>
      </c>
      <c r="CE178" t="s">
        <v>130</v>
      </c>
      <c r="CI178">
        <v>2</v>
      </c>
      <c r="CJ178">
        <v>2</v>
      </c>
      <c r="CK178">
        <v>41</v>
      </c>
      <c r="CL178" t="s">
        <v>84</v>
      </c>
    </row>
    <row r="179" spans="1:90" x14ac:dyDescent="0.25">
      <c r="A179" t="s">
        <v>72</v>
      </c>
      <c r="B179" t="s">
        <v>73</v>
      </c>
      <c r="C179" t="s">
        <v>74</v>
      </c>
      <c r="E179" t="str">
        <f>"GAB2008300"</f>
        <v>GAB2008300</v>
      </c>
      <c r="F179" s="3">
        <v>44607</v>
      </c>
      <c r="G179">
        <v>202208</v>
      </c>
      <c r="H179" t="s">
        <v>75</v>
      </c>
      <c r="I179" t="s">
        <v>76</v>
      </c>
      <c r="J179" t="s">
        <v>77</v>
      </c>
      <c r="K179" t="s">
        <v>78</v>
      </c>
      <c r="L179" t="s">
        <v>75</v>
      </c>
      <c r="M179" t="s">
        <v>76</v>
      </c>
      <c r="N179" t="s">
        <v>374</v>
      </c>
      <c r="O179" t="s">
        <v>80</v>
      </c>
      <c r="P179" t="str">
        <f>"CT072008                      "</f>
        <v xml:space="preserve">CT072008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13.09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0.2</v>
      </c>
      <c r="BJ179">
        <v>2.2000000000000002</v>
      </c>
      <c r="BK179">
        <v>2.5</v>
      </c>
      <c r="BL179">
        <v>47.1</v>
      </c>
      <c r="BM179">
        <v>7.07</v>
      </c>
      <c r="BN179">
        <v>54.17</v>
      </c>
      <c r="BO179">
        <v>54.17</v>
      </c>
      <c r="BQ179" t="s">
        <v>375</v>
      </c>
      <c r="BR179" t="s">
        <v>82</v>
      </c>
      <c r="BS179" s="3">
        <v>44608</v>
      </c>
      <c r="BT179" s="4">
        <v>0.62083333333333335</v>
      </c>
      <c r="BU179" t="s">
        <v>736</v>
      </c>
      <c r="BV179" t="s">
        <v>84</v>
      </c>
      <c r="BW179" t="s">
        <v>95</v>
      </c>
      <c r="BX179" t="s">
        <v>86</v>
      </c>
      <c r="BY179">
        <v>10823.7</v>
      </c>
      <c r="BZ179" t="s">
        <v>87</v>
      </c>
      <c r="CA179" t="s">
        <v>377</v>
      </c>
      <c r="CC179" t="s">
        <v>76</v>
      </c>
      <c r="CD179">
        <v>7806</v>
      </c>
      <c r="CE179" t="s">
        <v>288</v>
      </c>
      <c r="CF179" s="3">
        <v>44609</v>
      </c>
      <c r="CI179">
        <v>1</v>
      </c>
      <c r="CJ179">
        <v>1</v>
      </c>
      <c r="CK179">
        <v>22</v>
      </c>
      <c r="CL179" t="s">
        <v>84</v>
      </c>
    </row>
    <row r="180" spans="1:90" x14ac:dyDescent="0.25">
      <c r="A180" t="s">
        <v>72</v>
      </c>
      <c r="B180" t="s">
        <v>73</v>
      </c>
      <c r="C180" t="s">
        <v>74</v>
      </c>
      <c r="E180" t="str">
        <f>"GAB2008289"</f>
        <v>GAB2008289</v>
      </c>
      <c r="F180" s="3">
        <v>44607</v>
      </c>
      <c r="G180">
        <v>202208</v>
      </c>
      <c r="H180" t="s">
        <v>75</v>
      </c>
      <c r="I180" t="s">
        <v>76</v>
      </c>
      <c r="J180" t="s">
        <v>77</v>
      </c>
      <c r="K180" t="s">
        <v>78</v>
      </c>
      <c r="L180" t="s">
        <v>496</v>
      </c>
      <c r="M180" t="s">
        <v>497</v>
      </c>
      <c r="N180" t="s">
        <v>498</v>
      </c>
      <c r="O180" t="s">
        <v>80</v>
      </c>
      <c r="P180" t="str">
        <f>"CT072002                      "</f>
        <v xml:space="preserve">CT072002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20.95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0.1</v>
      </c>
      <c r="BJ180">
        <v>2.1</v>
      </c>
      <c r="BK180">
        <v>2.5</v>
      </c>
      <c r="BL180">
        <v>75.37</v>
      </c>
      <c r="BM180">
        <v>11.31</v>
      </c>
      <c r="BN180">
        <v>86.68</v>
      </c>
      <c r="BO180">
        <v>86.68</v>
      </c>
      <c r="BQ180" t="s">
        <v>499</v>
      </c>
      <c r="BR180" t="s">
        <v>82</v>
      </c>
      <c r="BS180" s="3">
        <v>44608</v>
      </c>
      <c r="BT180" s="4">
        <v>0.43541666666666662</v>
      </c>
      <c r="BU180" t="s">
        <v>737</v>
      </c>
      <c r="BV180" t="s">
        <v>101</v>
      </c>
      <c r="BY180">
        <v>10280.75</v>
      </c>
      <c r="BZ180" t="s">
        <v>87</v>
      </c>
      <c r="CA180">
        <v>7</v>
      </c>
      <c r="CC180" t="s">
        <v>497</v>
      </c>
      <c r="CD180">
        <v>6529</v>
      </c>
      <c r="CE180" t="s">
        <v>152</v>
      </c>
      <c r="CF180" s="3">
        <v>44609</v>
      </c>
      <c r="CI180">
        <v>1</v>
      </c>
      <c r="CJ180">
        <v>1</v>
      </c>
      <c r="CK180">
        <v>21</v>
      </c>
      <c r="CL180" t="s">
        <v>84</v>
      </c>
    </row>
    <row r="181" spans="1:90" x14ac:dyDescent="0.25">
      <c r="A181" t="s">
        <v>72</v>
      </c>
      <c r="B181" t="s">
        <v>73</v>
      </c>
      <c r="C181" t="s">
        <v>74</v>
      </c>
      <c r="E181" t="str">
        <f>"GAB2008306"</f>
        <v>GAB2008306</v>
      </c>
      <c r="F181" s="3">
        <v>44607</v>
      </c>
      <c r="G181">
        <v>202208</v>
      </c>
      <c r="H181" t="s">
        <v>75</v>
      </c>
      <c r="I181" t="s">
        <v>76</v>
      </c>
      <c r="J181" t="s">
        <v>77</v>
      </c>
      <c r="K181" t="s">
        <v>78</v>
      </c>
      <c r="L181" t="s">
        <v>252</v>
      </c>
      <c r="M181" t="s">
        <v>253</v>
      </c>
      <c r="N181" t="s">
        <v>551</v>
      </c>
      <c r="O181" t="s">
        <v>80</v>
      </c>
      <c r="P181" t="str">
        <f>"CT071515                      "</f>
        <v xml:space="preserve">CT071515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32.479999999999997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0.1</v>
      </c>
      <c r="BJ181">
        <v>1.9</v>
      </c>
      <c r="BK181">
        <v>2</v>
      </c>
      <c r="BL181">
        <v>116.84</v>
      </c>
      <c r="BM181">
        <v>17.53</v>
      </c>
      <c r="BN181">
        <v>134.37</v>
      </c>
      <c r="BO181">
        <v>134.37</v>
      </c>
      <c r="BQ181" t="s">
        <v>738</v>
      </c>
      <c r="BR181" t="s">
        <v>82</v>
      </c>
      <c r="BS181" s="3">
        <v>44609</v>
      </c>
      <c r="BT181" s="4">
        <v>0.5</v>
      </c>
      <c r="BU181" t="s">
        <v>553</v>
      </c>
      <c r="BV181" t="s">
        <v>84</v>
      </c>
      <c r="BW181" t="s">
        <v>268</v>
      </c>
      <c r="BX181" t="s">
        <v>739</v>
      </c>
      <c r="BY181">
        <v>9498.75</v>
      </c>
      <c r="BZ181" t="s">
        <v>87</v>
      </c>
      <c r="CA181" t="s">
        <v>257</v>
      </c>
      <c r="CC181" t="s">
        <v>253</v>
      </c>
      <c r="CD181">
        <v>4400</v>
      </c>
      <c r="CE181" t="s">
        <v>89</v>
      </c>
      <c r="CF181" s="3">
        <v>44610</v>
      </c>
      <c r="CI181">
        <v>1</v>
      </c>
      <c r="CJ181">
        <v>2</v>
      </c>
      <c r="CK181">
        <v>23</v>
      </c>
      <c r="CL181" t="s">
        <v>84</v>
      </c>
    </row>
    <row r="182" spans="1:90" x14ac:dyDescent="0.25">
      <c r="A182" t="s">
        <v>72</v>
      </c>
      <c r="B182" t="s">
        <v>73</v>
      </c>
      <c r="C182" t="s">
        <v>74</v>
      </c>
      <c r="E182" t="str">
        <f>"GAB2008287"</f>
        <v>GAB2008287</v>
      </c>
      <c r="F182" s="3">
        <v>44607</v>
      </c>
      <c r="G182">
        <v>202208</v>
      </c>
      <c r="H182" t="s">
        <v>75</v>
      </c>
      <c r="I182" t="s">
        <v>76</v>
      </c>
      <c r="J182" t="s">
        <v>77</v>
      </c>
      <c r="K182" t="s">
        <v>78</v>
      </c>
      <c r="L182" t="s">
        <v>75</v>
      </c>
      <c r="M182" t="s">
        <v>76</v>
      </c>
      <c r="N182" t="s">
        <v>740</v>
      </c>
      <c r="O182" t="s">
        <v>80</v>
      </c>
      <c r="P182" t="str">
        <f>"CT072001                      "</f>
        <v xml:space="preserve">CT072001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13.09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0.2</v>
      </c>
      <c r="BJ182">
        <v>2.4</v>
      </c>
      <c r="BK182">
        <v>2.5</v>
      </c>
      <c r="BL182">
        <v>47.1</v>
      </c>
      <c r="BM182">
        <v>7.07</v>
      </c>
      <c r="BN182">
        <v>54.17</v>
      </c>
      <c r="BO182">
        <v>54.17</v>
      </c>
      <c r="BQ182" t="s">
        <v>741</v>
      </c>
      <c r="BR182" t="s">
        <v>82</v>
      </c>
      <c r="BS182" s="3">
        <v>44608</v>
      </c>
      <c r="BT182" s="4">
        <v>0.4284722222222222</v>
      </c>
      <c r="BU182" t="s">
        <v>742</v>
      </c>
      <c r="BV182" t="s">
        <v>101</v>
      </c>
      <c r="BY182">
        <v>12005.68</v>
      </c>
      <c r="BZ182" t="s">
        <v>87</v>
      </c>
      <c r="CA182" t="s">
        <v>102</v>
      </c>
      <c r="CC182" t="s">
        <v>76</v>
      </c>
      <c r="CD182">
        <v>7800</v>
      </c>
      <c r="CE182" t="s">
        <v>288</v>
      </c>
      <c r="CF182" s="3">
        <v>44609</v>
      </c>
      <c r="CI182">
        <v>1</v>
      </c>
      <c r="CJ182">
        <v>1</v>
      </c>
      <c r="CK182">
        <v>22</v>
      </c>
      <c r="CL182" t="s">
        <v>84</v>
      </c>
    </row>
    <row r="183" spans="1:90" x14ac:dyDescent="0.25">
      <c r="A183" t="s">
        <v>72</v>
      </c>
      <c r="B183" t="s">
        <v>73</v>
      </c>
      <c r="C183" t="s">
        <v>74</v>
      </c>
      <c r="E183" t="str">
        <f>"GAB2008308"</f>
        <v>GAB2008308</v>
      </c>
      <c r="F183" s="3">
        <v>44607</v>
      </c>
      <c r="G183">
        <v>202208</v>
      </c>
      <c r="H183" t="s">
        <v>75</v>
      </c>
      <c r="I183" t="s">
        <v>76</v>
      </c>
      <c r="J183" t="s">
        <v>77</v>
      </c>
      <c r="K183" t="s">
        <v>78</v>
      </c>
      <c r="L183" t="s">
        <v>123</v>
      </c>
      <c r="M183" t="s">
        <v>124</v>
      </c>
      <c r="N183" t="s">
        <v>696</v>
      </c>
      <c r="O183" t="s">
        <v>80</v>
      </c>
      <c r="P183" t="str">
        <f>"007034                        "</f>
        <v xml:space="preserve">007034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25.14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0.3</v>
      </c>
      <c r="BJ183">
        <v>2.9</v>
      </c>
      <c r="BK183">
        <v>3</v>
      </c>
      <c r="BL183">
        <v>90.44</v>
      </c>
      <c r="BM183">
        <v>13.57</v>
      </c>
      <c r="BN183">
        <v>104.01</v>
      </c>
      <c r="BO183">
        <v>104.01</v>
      </c>
      <c r="BQ183" t="s">
        <v>697</v>
      </c>
      <c r="BR183" t="s">
        <v>82</v>
      </c>
      <c r="BS183" s="3">
        <v>44608</v>
      </c>
      <c r="BT183" s="4">
        <v>0.4152777777777778</v>
      </c>
      <c r="BU183" t="s">
        <v>743</v>
      </c>
      <c r="BV183" t="s">
        <v>101</v>
      </c>
      <c r="BY183">
        <v>14320.8</v>
      </c>
      <c r="BZ183" t="s">
        <v>87</v>
      </c>
      <c r="CA183" t="s">
        <v>744</v>
      </c>
      <c r="CC183" t="s">
        <v>124</v>
      </c>
      <c r="CD183">
        <v>6001</v>
      </c>
      <c r="CE183" t="s">
        <v>108</v>
      </c>
      <c r="CF183" s="3">
        <v>44608</v>
      </c>
      <c r="CI183">
        <v>1</v>
      </c>
      <c r="CJ183">
        <v>1</v>
      </c>
      <c r="CK183">
        <v>21</v>
      </c>
      <c r="CL183" t="s">
        <v>84</v>
      </c>
    </row>
    <row r="184" spans="1:90" x14ac:dyDescent="0.25">
      <c r="A184" t="s">
        <v>72</v>
      </c>
      <c r="B184" t="s">
        <v>73</v>
      </c>
      <c r="C184" t="s">
        <v>74</v>
      </c>
      <c r="E184" t="str">
        <f>"GAB2008281"</f>
        <v>GAB2008281</v>
      </c>
      <c r="F184" s="3">
        <v>44607</v>
      </c>
      <c r="G184">
        <v>202208</v>
      </c>
      <c r="H184" t="s">
        <v>75</v>
      </c>
      <c r="I184" t="s">
        <v>76</v>
      </c>
      <c r="J184" t="s">
        <v>77</v>
      </c>
      <c r="K184" t="s">
        <v>78</v>
      </c>
      <c r="L184" t="s">
        <v>75</v>
      </c>
      <c r="M184" t="s">
        <v>76</v>
      </c>
      <c r="N184" t="s">
        <v>98</v>
      </c>
      <c r="O184" t="s">
        <v>80</v>
      </c>
      <c r="P184" t="str">
        <f>"CT071992                      "</f>
        <v xml:space="preserve">CT071992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13.09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0.2</v>
      </c>
      <c r="BJ184">
        <v>2.1</v>
      </c>
      <c r="BK184">
        <v>2.5</v>
      </c>
      <c r="BL184">
        <v>47.1</v>
      </c>
      <c r="BM184">
        <v>7.07</v>
      </c>
      <c r="BN184">
        <v>54.17</v>
      </c>
      <c r="BO184">
        <v>54.17</v>
      </c>
      <c r="BQ184" t="s">
        <v>99</v>
      </c>
      <c r="BR184" t="s">
        <v>82</v>
      </c>
      <c r="BS184" s="3">
        <v>44608</v>
      </c>
      <c r="BT184" s="4">
        <v>0.41736111111111113</v>
      </c>
      <c r="BU184" t="s">
        <v>721</v>
      </c>
      <c r="BV184" t="s">
        <v>101</v>
      </c>
      <c r="BY184">
        <v>10533.6</v>
      </c>
      <c r="BZ184" t="s">
        <v>87</v>
      </c>
      <c r="CA184" t="s">
        <v>102</v>
      </c>
      <c r="CC184" t="s">
        <v>76</v>
      </c>
      <c r="CD184">
        <v>7800</v>
      </c>
      <c r="CE184" t="s">
        <v>108</v>
      </c>
      <c r="CF184" s="3">
        <v>44609</v>
      </c>
      <c r="CI184">
        <v>1</v>
      </c>
      <c r="CJ184">
        <v>1</v>
      </c>
      <c r="CK184">
        <v>22</v>
      </c>
      <c r="CL184" t="s">
        <v>84</v>
      </c>
    </row>
    <row r="185" spans="1:90" x14ac:dyDescent="0.25">
      <c r="A185" t="s">
        <v>72</v>
      </c>
      <c r="B185" t="s">
        <v>73</v>
      </c>
      <c r="C185" t="s">
        <v>74</v>
      </c>
      <c r="E185" t="str">
        <f>"GAB2008311"</f>
        <v>GAB2008311</v>
      </c>
      <c r="F185" s="3">
        <v>44607</v>
      </c>
      <c r="G185">
        <v>202208</v>
      </c>
      <c r="H185" t="s">
        <v>75</v>
      </c>
      <c r="I185" t="s">
        <v>76</v>
      </c>
      <c r="J185" t="s">
        <v>77</v>
      </c>
      <c r="K185" t="s">
        <v>78</v>
      </c>
      <c r="L185" t="s">
        <v>159</v>
      </c>
      <c r="M185" t="s">
        <v>160</v>
      </c>
      <c r="N185" t="s">
        <v>161</v>
      </c>
      <c r="O185" t="s">
        <v>80</v>
      </c>
      <c r="P185" t="str">
        <f>"CT072017                      "</f>
        <v xml:space="preserve">CT072017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39.81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</v>
      </c>
      <c r="BJ185">
        <v>2.4</v>
      </c>
      <c r="BK185">
        <v>2.5</v>
      </c>
      <c r="BL185">
        <v>143.22</v>
      </c>
      <c r="BM185">
        <v>21.48</v>
      </c>
      <c r="BN185">
        <v>164.7</v>
      </c>
      <c r="BO185">
        <v>164.7</v>
      </c>
      <c r="BQ185" t="s">
        <v>162</v>
      </c>
      <c r="BR185" t="s">
        <v>82</v>
      </c>
      <c r="BS185" s="3">
        <v>44608</v>
      </c>
      <c r="BT185" s="4">
        <v>0.43333333333333335</v>
      </c>
      <c r="BU185" t="s">
        <v>518</v>
      </c>
      <c r="BV185" t="s">
        <v>101</v>
      </c>
      <c r="BY185">
        <v>12000</v>
      </c>
      <c r="BZ185" t="s">
        <v>87</v>
      </c>
      <c r="CA185" t="s">
        <v>422</v>
      </c>
      <c r="CC185" t="s">
        <v>160</v>
      </c>
      <c r="CD185">
        <v>9459</v>
      </c>
      <c r="CE185" t="s">
        <v>97</v>
      </c>
      <c r="CF185" s="3">
        <v>44608</v>
      </c>
      <c r="CI185">
        <v>1</v>
      </c>
      <c r="CJ185">
        <v>1</v>
      </c>
      <c r="CK185">
        <v>23</v>
      </c>
      <c r="CL185" t="s">
        <v>84</v>
      </c>
    </row>
    <row r="186" spans="1:90" x14ac:dyDescent="0.25">
      <c r="A186" t="s">
        <v>72</v>
      </c>
      <c r="B186" t="s">
        <v>73</v>
      </c>
      <c r="C186" t="s">
        <v>74</v>
      </c>
      <c r="E186" t="str">
        <f>"GAB2008285"</f>
        <v>GAB2008285</v>
      </c>
      <c r="F186" s="3">
        <v>44607</v>
      </c>
      <c r="G186">
        <v>202208</v>
      </c>
      <c r="H186" t="s">
        <v>75</v>
      </c>
      <c r="I186" t="s">
        <v>76</v>
      </c>
      <c r="J186" t="s">
        <v>77</v>
      </c>
      <c r="K186" t="s">
        <v>78</v>
      </c>
      <c r="L186" t="s">
        <v>453</v>
      </c>
      <c r="M186" t="s">
        <v>454</v>
      </c>
      <c r="N186" t="s">
        <v>455</v>
      </c>
      <c r="O186" t="s">
        <v>80</v>
      </c>
      <c r="P186" t="str">
        <f>"CT071998                      "</f>
        <v xml:space="preserve">CT071998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32.479999999999997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0.1</v>
      </c>
      <c r="BJ186">
        <v>1.9</v>
      </c>
      <c r="BK186">
        <v>2</v>
      </c>
      <c r="BL186">
        <v>116.84</v>
      </c>
      <c r="BM186">
        <v>17.53</v>
      </c>
      <c r="BN186">
        <v>134.37</v>
      </c>
      <c r="BO186">
        <v>134.37</v>
      </c>
      <c r="BQ186" t="s">
        <v>745</v>
      </c>
      <c r="BR186" t="s">
        <v>82</v>
      </c>
      <c r="BS186" s="3">
        <v>44608</v>
      </c>
      <c r="BT186" s="4">
        <v>0.54513888888888895</v>
      </c>
      <c r="BU186" t="s">
        <v>746</v>
      </c>
      <c r="BV186" t="s">
        <v>101</v>
      </c>
      <c r="BY186">
        <v>9594.18</v>
      </c>
      <c r="BZ186" t="s">
        <v>87</v>
      </c>
      <c r="CA186" t="s">
        <v>747</v>
      </c>
      <c r="CC186" t="s">
        <v>454</v>
      </c>
      <c r="CD186">
        <v>555</v>
      </c>
      <c r="CE186" t="s">
        <v>89</v>
      </c>
      <c r="CF186" s="3">
        <v>44608</v>
      </c>
      <c r="CI186">
        <v>1</v>
      </c>
      <c r="CJ186">
        <v>1</v>
      </c>
      <c r="CK186">
        <v>23</v>
      </c>
      <c r="CL186" t="s">
        <v>84</v>
      </c>
    </row>
    <row r="187" spans="1:90" x14ac:dyDescent="0.25">
      <c r="A187" t="s">
        <v>72</v>
      </c>
      <c r="B187" t="s">
        <v>73</v>
      </c>
      <c r="C187" t="s">
        <v>74</v>
      </c>
      <c r="E187" t="str">
        <f>"GAB2008312"</f>
        <v>GAB2008312</v>
      </c>
      <c r="F187" s="3">
        <v>44607</v>
      </c>
      <c r="G187">
        <v>202208</v>
      </c>
      <c r="H187" t="s">
        <v>75</v>
      </c>
      <c r="I187" t="s">
        <v>76</v>
      </c>
      <c r="J187" t="s">
        <v>77</v>
      </c>
      <c r="K187" t="s">
        <v>78</v>
      </c>
      <c r="L187" t="s">
        <v>358</v>
      </c>
      <c r="M187" t="s">
        <v>359</v>
      </c>
      <c r="N187" t="s">
        <v>748</v>
      </c>
      <c r="O187" t="s">
        <v>80</v>
      </c>
      <c r="P187" t="str">
        <f>"CT072018                      "</f>
        <v xml:space="preserve">CT072018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23.58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0.1</v>
      </c>
      <c r="BJ187">
        <v>1.9</v>
      </c>
      <c r="BK187">
        <v>2</v>
      </c>
      <c r="BL187">
        <v>84.82</v>
      </c>
      <c r="BM187">
        <v>12.72</v>
      </c>
      <c r="BN187">
        <v>97.54</v>
      </c>
      <c r="BO187">
        <v>97.54</v>
      </c>
      <c r="BQ187" t="s">
        <v>749</v>
      </c>
      <c r="BR187" t="s">
        <v>82</v>
      </c>
      <c r="BS187" s="3">
        <v>44608</v>
      </c>
      <c r="BT187" s="4">
        <v>0.59027777777777779</v>
      </c>
      <c r="BU187" t="s">
        <v>750</v>
      </c>
      <c r="BV187" t="s">
        <v>101</v>
      </c>
      <c r="BY187">
        <v>9455.16</v>
      </c>
      <c r="BZ187" t="s">
        <v>87</v>
      </c>
      <c r="CA187" t="s">
        <v>363</v>
      </c>
      <c r="CC187" t="s">
        <v>359</v>
      </c>
      <c r="CD187">
        <v>7200</v>
      </c>
      <c r="CE187" t="s">
        <v>152</v>
      </c>
      <c r="CF187" s="3">
        <v>44609</v>
      </c>
      <c r="CI187">
        <v>2</v>
      </c>
      <c r="CJ187">
        <v>1</v>
      </c>
      <c r="CK187">
        <v>24</v>
      </c>
      <c r="CL187" t="s">
        <v>84</v>
      </c>
    </row>
    <row r="188" spans="1:90" x14ac:dyDescent="0.25">
      <c r="A188" t="s">
        <v>72</v>
      </c>
      <c r="B188" t="s">
        <v>73</v>
      </c>
      <c r="C188" t="s">
        <v>74</v>
      </c>
      <c r="E188" t="str">
        <f>"GAB2008293"</f>
        <v>GAB2008293</v>
      </c>
      <c r="F188" s="3">
        <v>44607</v>
      </c>
      <c r="G188">
        <v>202208</v>
      </c>
      <c r="H188" t="s">
        <v>75</v>
      </c>
      <c r="I188" t="s">
        <v>76</v>
      </c>
      <c r="J188" t="s">
        <v>77</v>
      </c>
      <c r="K188" t="s">
        <v>78</v>
      </c>
      <c r="L188" t="s">
        <v>165</v>
      </c>
      <c r="M188" t="s">
        <v>166</v>
      </c>
      <c r="N188" t="s">
        <v>751</v>
      </c>
      <c r="O188" t="s">
        <v>125</v>
      </c>
      <c r="P188" t="str">
        <f>"CT071994                      "</f>
        <v xml:space="preserve">CT071994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119.25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6</v>
      </c>
      <c r="BI188">
        <v>25</v>
      </c>
      <c r="BJ188">
        <v>79.8</v>
      </c>
      <c r="BK188">
        <v>80</v>
      </c>
      <c r="BL188">
        <v>434.25</v>
      </c>
      <c r="BM188">
        <v>65.14</v>
      </c>
      <c r="BN188">
        <v>499.39</v>
      </c>
      <c r="BO188">
        <v>499.39</v>
      </c>
      <c r="BQ188" t="s">
        <v>752</v>
      </c>
      <c r="BR188" t="s">
        <v>82</v>
      </c>
      <c r="BS188" s="3">
        <v>44609</v>
      </c>
      <c r="BT188" s="4">
        <v>0.43611111111111112</v>
      </c>
      <c r="BU188" t="s">
        <v>753</v>
      </c>
      <c r="BV188" t="s">
        <v>101</v>
      </c>
      <c r="BY188">
        <v>399128.08</v>
      </c>
      <c r="CA188" t="s">
        <v>183</v>
      </c>
      <c r="CC188" t="s">
        <v>166</v>
      </c>
      <c r="CD188">
        <v>2</v>
      </c>
      <c r="CE188" t="s">
        <v>130</v>
      </c>
      <c r="CF188" s="3">
        <v>44609</v>
      </c>
      <c r="CI188">
        <v>2</v>
      </c>
      <c r="CJ188">
        <v>2</v>
      </c>
      <c r="CK188">
        <v>41</v>
      </c>
      <c r="CL188" t="s">
        <v>84</v>
      </c>
    </row>
    <row r="189" spans="1:90" x14ac:dyDescent="0.25">
      <c r="A189" t="s">
        <v>72</v>
      </c>
      <c r="B189" t="s">
        <v>73</v>
      </c>
      <c r="C189" t="s">
        <v>74</v>
      </c>
      <c r="E189" t="str">
        <f>"GAB2008309"</f>
        <v>GAB2008309</v>
      </c>
      <c r="F189" s="3">
        <v>44607</v>
      </c>
      <c r="G189">
        <v>202208</v>
      </c>
      <c r="H189" t="s">
        <v>75</v>
      </c>
      <c r="I189" t="s">
        <v>76</v>
      </c>
      <c r="J189" t="s">
        <v>77</v>
      </c>
      <c r="K189" t="s">
        <v>78</v>
      </c>
      <c r="L189" t="s">
        <v>234</v>
      </c>
      <c r="M189" t="s">
        <v>235</v>
      </c>
      <c r="N189" t="s">
        <v>754</v>
      </c>
      <c r="O189" t="s">
        <v>125</v>
      </c>
      <c r="P189" t="str">
        <f>"CT072012 CT072013             "</f>
        <v xml:space="preserve">CT072012 CT072013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81.849999999999994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4</v>
      </c>
      <c r="BI189">
        <v>17</v>
      </c>
      <c r="BJ189">
        <v>51.2</v>
      </c>
      <c r="BK189">
        <v>52</v>
      </c>
      <c r="BL189">
        <v>299.69</v>
      </c>
      <c r="BM189">
        <v>44.95</v>
      </c>
      <c r="BN189">
        <v>344.64</v>
      </c>
      <c r="BO189">
        <v>344.64</v>
      </c>
      <c r="BQ189" t="s">
        <v>755</v>
      </c>
      <c r="BR189" t="s">
        <v>82</v>
      </c>
      <c r="BS189" s="3">
        <v>44609</v>
      </c>
      <c r="BT189" s="4">
        <v>0.36458333333333331</v>
      </c>
      <c r="BU189" t="s">
        <v>756</v>
      </c>
      <c r="BV189" t="s">
        <v>101</v>
      </c>
      <c r="BY189">
        <v>256121.18</v>
      </c>
      <c r="CC189" t="s">
        <v>235</v>
      </c>
      <c r="CD189">
        <v>3201</v>
      </c>
      <c r="CE189" t="s">
        <v>130</v>
      </c>
      <c r="CF189" s="3">
        <v>44613</v>
      </c>
      <c r="CI189">
        <v>3</v>
      </c>
      <c r="CJ189">
        <v>2</v>
      </c>
      <c r="CK189">
        <v>41</v>
      </c>
      <c r="CL189" t="s">
        <v>84</v>
      </c>
    </row>
    <row r="190" spans="1:90" x14ac:dyDescent="0.25">
      <c r="A190" t="s">
        <v>72</v>
      </c>
      <c r="B190" t="s">
        <v>73</v>
      </c>
      <c r="C190" t="s">
        <v>74</v>
      </c>
      <c r="E190" t="str">
        <f>"GAB2008294"</f>
        <v>GAB2008294</v>
      </c>
      <c r="F190" s="3">
        <v>44607</v>
      </c>
      <c r="G190">
        <v>202208</v>
      </c>
      <c r="H190" t="s">
        <v>75</v>
      </c>
      <c r="I190" t="s">
        <v>76</v>
      </c>
      <c r="J190" t="s">
        <v>77</v>
      </c>
      <c r="K190" t="s">
        <v>78</v>
      </c>
      <c r="L190" t="s">
        <v>590</v>
      </c>
      <c r="M190" t="s">
        <v>591</v>
      </c>
      <c r="N190" t="s">
        <v>757</v>
      </c>
      <c r="O190" t="s">
        <v>125</v>
      </c>
      <c r="P190" t="str">
        <f>"CT072004                      "</f>
        <v xml:space="preserve">CT072004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45.72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0.5</v>
      </c>
      <c r="BJ190">
        <v>1.7</v>
      </c>
      <c r="BK190">
        <v>2</v>
      </c>
      <c r="BL190">
        <v>169.72</v>
      </c>
      <c r="BM190">
        <v>25.46</v>
      </c>
      <c r="BN190">
        <v>195.18</v>
      </c>
      <c r="BO190">
        <v>195.18</v>
      </c>
      <c r="BQ190" t="s">
        <v>758</v>
      </c>
      <c r="BR190" t="s">
        <v>82</v>
      </c>
      <c r="BS190" s="3">
        <v>44609</v>
      </c>
      <c r="BT190" s="4">
        <v>0.37152777777777773</v>
      </c>
      <c r="BU190" t="s">
        <v>759</v>
      </c>
      <c r="BV190" t="s">
        <v>101</v>
      </c>
      <c r="BY190">
        <v>8422.43</v>
      </c>
      <c r="CA190" t="s">
        <v>760</v>
      </c>
      <c r="CC190" t="s">
        <v>591</v>
      </c>
      <c r="CD190">
        <v>1739</v>
      </c>
      <c r="CE190" t="s">
        <v>130</v>
      </c>
      <c r="CF190" s="3">
        <v>44610</v>
      </c>
      <c r="CI190">
        <v>2</v>
      </c>
      <c r="CJ190">
        <v>2</v>
      </c>
      <c r="CK190">
        <v>43</v>
      </c>
      <c r="CL190" t="s">
        <v>84</v>
      </c>
    </row>
    <row r="191" spans="1:90" x14ac:dyDescent="0.25">
      <c r="A191" t="s">
        <v>72</v>
      </c>
      <c r="B191" t="s">
        <v>73</v>
      </c>
      <c r="C191" t="s">
        <v>74</v>
      </c>
      <c r="E191" t="str">
        <f>"GAB2008303"</f>
        <v>GAB2008303</v>
      </c>
      <c r="F191" s="3">
        <v>44607</v>
      </c>
      <c r="G191">
        <v>202208</v>
      </c>
      <c r="H191" t="s">
        <v>75</v>
      </c>
      <c r="I191" t="s">
        <v>76</v>
      </c>
      <c r="J191" t="s">
        <v>77</v>
      </c>
      <c r="K191" t="s">
        <v>78</v>
      </c>
      <c r="L191" t="s">
        <v>761</v>
      </c>
      <c r="M191" t="s">
        <v>762</v>
      </c>
      <c r="N191" t="s">
        <v>763</v>
      </c>
      <c r="O191" t="s">
        <v>125</v>
      </c>
      <c r="P191" t="str">
        <f>"CT072006                      "</f>
        <v xml:space="preserve">CT072006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47.11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2</v>
      </c>
      <c r="BI191">
        <v>7.7</v>
      </c>
      <c r="BJ191">
        <v>25.2</v>
      </c>
      <c r="BK191">
        <v>26</v>
      </c>
      <c r="BL191">
        <v>174.73</v>
      </c>
      <c r="BM191">
        <v>26.21</v>
      </c>
      <c r="BN191">
        <v>200.94</v>
      </c>
      <c r="BO191">
        <v>200.94</v>
      </c>
      <c r="BQ191" t="s">
        <v>764</v>
      </c>
      <c r="BR191" t="s">
        <v>82</v>
      </c>
      <c r="BS191" s="3">
        <v>44613</v>
      </c>
      <c r="BT191" s="4">
        <v>0.51736111111111105</v>
      </c>
      <c r="BU191" t="s">
        <v>765</v>
      </c>
      <c r="BV191" t="s">
        <v>84</v>
      </c>
      <c r="BW191" t="s">
        <v>239</v>
      </c>
      <c r="BX191" t="s">
        <v>766</v>
      </c>
      <c r="BY191">
        <v>125811.69</v>
      </c>
      <c r="CA191" t="s">
        <v>767</v>
      </c>
      <c r="CC191" t="s">
        <v>762</v>
      </c>
      <c r="CD191">
        <v>9300</v>
      </c>
      <c r="CE191" t="s">
        <v>130</v>
      </c>
      <c r="CF191" s="3">
        <v>44614</v>
      </c>
      <c r="CI191">
        <v>3</v>
      </c>
      <c r="CJ191">
        <v>4</v>
      </c>
      <c r="CK191">
        <v>41</v>
      </c>
      <c r="CL191" t="s">
        <v>84</v>
      </c>
    </row>
    <row r="192" spans="1:90" x14ac:dyDescent="0.25">
      <c r="A192" t="s">
        <v>72</v>
      </c>
      <c r="B192" t="s">
        <v>73</v>
      </c>
      <c r="C192" t="s">
        <v>74</v>
      </c>
      <c r="E192" t="str">
        <f>"GAB2008302"</f>
        <v>GAB2008302</v>
      </c>
      <c r="F192" s="3">
        <v>44607</v>
      </c>
      <c r="G192">
        <v>202208</v>
      </c>
      <c r="H192" t="s">
        <v>75</v>
      </c>
      <c r="I192" t="s">
        <v>76</v>
      </c>
      <c r="J192" t="s">
        <v>77</v>
      </c>
      <c r="K192" t="s">
        <v>78</v>
      </c>
      <c r="L192" t="s">
        <v>159</v>
      </c>
      <c r="M192" t="s">
        <v>160</v>
      </c>
      <c r="N192" t="s">
        <v>364</v>
      </c>
      <c r="O192" t="s">
        <v>125</v>
      </c>
      <c r="P192" t="str">
        <f>"CT071932 CT071804             "</f>
        <v xml:space="preserve">CT071932 CT071804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83.11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5</v>
      </c>
      <c r="BI192">
        <v>9.1999999999999993</v>
      </c>
      <c r="BJ192">
        <v>30.3</v>
      </c>
      <c r="BK192">
        <v>31</v>
      </c>
      <c r="BL192">
        <v>304.23</v>
      </c>
      <c r="BM192">
        <v>45.63</v>
      </c>
      <c r="BN192">
        <v>349.86</v>
      </c>
      <c r="BO192">
        <v>349.86</v>
      </c>
      <c r="BQ192" t="s">
        <v>162</v>
      </c>
      <c r="BR192" t="s">
        <v>82</v>
      </c>
      <c r="BS192" s="3">
        <v>44609</v>
      </c>
      <c r="BT192" s="4">
        <v>0.48402777777777778</v>
      </c>
      <c r="BU192" t="s">
        <v>768</v>
      </c>
      <c r="BV192" t="s">
        <v>101</v>
      </c>
      <c r="BY192">
        <v>151639.41</v>
      </c>
      <c r="CA192" t="s">
        <v>164</v>
      </c>
      <c r="CC192" t="s">
        <v>160</v>
      </c>
      <c r="CD192">
        <v>9460</v>
      </c>
      <c r="CE192" t="s">
        <v>130</v>
      </c>
      <c r="CF192" s="3">
        <v>44609</v>
      </c>
      <c r="CI192">
        <v>3</v>
      </c>
      <c r="CJ192">
        <v>2</v>
      </c>
      <c r="CK192">
        <v>43</v>
      </c>
      <c r="CL192" t="s">
        <v>84</v>
      </c>
    </row>
    <row r="193" spans="1:90" x14ac:dyDescent="0.25">
      <c r="A193" t="s">
        <v>72</v>
      </c>
      <c r="B193" t="s">
        <v>73</v>
      </c>
      <c r="C193" t="s">
        <v>74</v>
      </c>
      <c r="E193" t="str">
        <f>"GAB2008304"</f>
        <v>GAB2008304</v>
      </c>
      <c r="F193" s="3">
        <v>44607</v>
      </c>
      <c r="G193">
        <v>202208</v>
      </c>
      <c r="H193" t="s">
        <v>75</v>
      </c>
      <c r="I193" t="s">
        <v>76</v>
      </c>
      <c r="J193" t="s">
        <v>77</v>
      </c>
      <c r="K193" t="s">
        <v>78</v>
      </c>
      <c r="L193" t="s">
        <v>109</v>
      </c>
      <c r="M193" t="s">
        <v>110</v>
      </c>
      <c r="N193" t="s">
        <v>216</v>
      </c>
      <c r="O193" t="s">
        <v>125</v>
      </c>
      <c r="P193" t="str">
        <f>"CT072009                      "</f>
        <v xml:space="preserve">CT072009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32.42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3.5</v>
      </c>
      <c r="BJ193">
        <v>13.6</v>
      </c>
      <c r="BK193">
        <v>14</v>
      </c>
      <c r="BL193">
        <v>121.87</v>
      </c>
      <c r="BM193">
        <v>18.28</v>
      </c>
      <c r="BN193">
        <v>140.15</v>
      </c>
      <c r="BO193">
        <v>140.15</v>
      </c>
      <c r="BQ193" t="s">
        <v>217</v>
      </c>
      <c r="BR193" t="s">
        <v>82</v>
      </c>
      <c r="BS193" s="3">
        <v>44609</v>
      </c>
      <c r="BT193" s="4">
        <v>0.45833333333333331</v>
      </c>
      <c r="BU193" t="s">
        <v>218</v>
      </c>
      <c r="BV193" t="s">
        <v>101</v>
      </c>
      <c r="BY193">
        <v>68199.3</v>
      </c>
      <c r="CA193" t="s">
        <v>219</v>
      </c>
      <c r="CC193" t="s">
        <v>110</v>
      </c>
      <c r="CD193">
        <v>157</v>
      </c>
      <c r="CE193" t="s">
        <v>130</v>
      </c>
      <c r="CF193" s="3">
        <v>44620</v>
      </c>
      <c r="CI193">
        <v>2</v>
      </c>
      <c r="CJ193">
        <v>2</v>
      </c>
      <c r="CK193">
        <v>41</v>
      </c>
      <c r="CL193" t="s">
        <v>84</v>
      </c>
    </row>
    <row r="194" spans="1:90" x14ac:dyDescent="0.25">
      <c r="A194" t="s">
        <v>72</v>
      </c>
      <c r="B194" t="s">
        <v>73</v>
      </c>
      <c r="C194" t="s">
        <v>74</v>
      </c>
      <c r="E194" t="str">
        <f>"GAB2008305"</f>
        <v>GAB2008305</v>
      </c>
      <c r="F194" s="3">
        <v>44607</v>
      </c>
      <c r="G194">
        <v>202208</v>
      </c>
      <c r="H194" t="s">
        <v>75</v>
      </c>
      <c r="I194" t="s">
        <v>76</v>
      </c>
      <c r="J194" t="s">
        <v>77</v>
      </c>
      <c r="K194" t="s">
        <v>78</v>
      </c>
      <c r="L194" t="s">
        <v>710</v>
      </c>
      <c r="M194" t="s">
        <v>711</v>
      </c>
      <c r="N194" t="s">
        <v>769</v>
      </c>
      <c r="O194" t="s">
        <v>125</v>
      </c>
      <c r="P194" t="str">
        <f>"CT071909 CT071956             "</f>
        <v xml:space="preserve">CT071909 CT071956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96.54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5</v>
      </c>
      <c r="BI194">
        <v>21.3</v>
      </c>
      <c r="BJ194">
        <v>62.4</v>
      </c>
      <c r="BK194">
        <v>63</v>
      </c>
      <c r="BL194">
        <v>352.55</v>
      </c>
      <c r="BM194">
        <v>52.88</v>
      </c>
      <c r="BN194">
        <v>405.43</v>
      </c>
      <c r="BO194">
        <v>405.43</v>
      </c>
      <c r="BQ194" t="s">
        <v>770</v>
      </c>
      <c r="BR194" t="s">
        <v>82</v>
      </c>
      <c r="BS194" s="3">
        <v>44609</v>
      </c>
      <c r="BT194" s="4">
        <v>0.5541666666666667</v>
      </c>
      <c r="BU194" t="s">
        <v>771</v>
      </c>
      <c r="BV194" t="s">
        <v>101</v>
      </c>
      <c r="BY194">
        <v>312130.15000000002</v>
      </c>
      <c r="CA194" t="s">
        <v>715</v>
      </c>
      <c r="CC194" t="s">
        <v>711</v>
      </c>
      <c r="CD194">
        <v>1449</v>
      </c>
      <c r="CE194" t="s">
        <v>130</v>
      </c>
      <c r="CF194" s="3">
        <v>44609</v>
      </c>
      <c r="CI194">
        <v>2</v>
      </c>
      <c r="CJ194">
        <v>2</v>
      </c>
      <c r="CK194">
        <v>41</v>
      </c>
      <c r="CL194" t="s">
        <v>84</v>
      </c>
    </row>
    <row r="195" spans="1:90" x14ac:dyDescent="0.25">
      <c r="A195" t="s">
        <v>72</v>
      </c>
      <c r="B195" t="s">
        <v>73</v>
      </c>
      <c r="C195" t="s">
        <v>74</v>
      </c>
      <c r="E195" t="str">
        <f>"GAB2008307"</f>
        <v>GAB2008307</v>
      </c>
      <c r="F195" s="3">
        <v>44607</v>
      </c>
      <c r="G195">
        <v>202208</v>
      </c>
      <c r="H195" t="s">
        <v>75</v>
      </c>
      <c r="I195" t="s">
        <v>76</v>
      </c>
      <c r="J195" t="s">
        <v>77</v>
      </c>
      <c r="K195" t="s">
        <v>78</v>
      </c>
      <c r="L195" t="s">
        <v>123</v>
      </c>
      <c r="M195" t="s">
        <v>124</v>
      </c>
      <c r="N195" t="s">
        <v>271</v>
      </c>
      <c r="O195" t="s">
        <v>125</v>
      </c>
      <c r="P195" t="str">
        <f>"CT070133                      "</f>
        <v xml:space="preserve">CT070133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85.86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4</v>
      </c>
      <c r="BI195">
        <v>16.100000000000001</v>
      </c>
      <c r="BJ195">
        <v>54.8</v>
      </c>
      <c r="BK195">
        <v>55</v>
      </c>
      <c r="BL195">
        <v>314.11</v>
      </c>
      <c r="BM195">
        <v>47.12</v>
      </c>
      <c r="BN195">
        <v>361.23</v>
      </c>
      <c r="BO195">
        <v>361.23</v>
      </c>
      <c r="BQ195" t="s">
        <v>272</v>
      </c>
      <c r="BR195" t="s">
        <v>82</v>
      </c>
      <c r="BS195" s="3">
        <v>44613</v>
      </c>
      <c r="BT195" s="4">
        <v>0.58333333333333337</v>
      </c>
      <c r="BU195" t="s">
        <v>772</v>
      </c>
      <c r="BV195" t="s">
        <v>84</v>
      </c>
      <c r="BW195" t="s">
        <v>773</v>
      </c>
      <c r="BX195" t="s">
        <v>728</v>
      </c>
      <c r="BY195">
        <v>274066</v>
      </c>
      <c r="CA195" t="s">
        <v>774</v>
      </c>
      <c r="CC195" t="s">
        <v>124</v>
      </c>
      <c r="CD195">
        <v>6001</v>
      </c>
      <c r="CE195" t="s">
        <v>130</v>
      </c>
      <c r="CF195" s="3">
        <v>44614</v>
      </c>
      <c r="CI195">
        <v>2</v>
      </c>
      <c r="CJ195">
        <v>4</v>
      </c>
      <c r="CK195">
        <v>41</v>
      </c>
      <c r="CL195" t="s">
        <v>84</v>
      </c>
    </row>
    <row r="196" spans="1:90" x14ac:dyDescent="0.25">
      <c r="A196" t="s">
        <v>72</v>
      </c>
      <c r="B196" t="s">
        <v>73</v>
      </c>
      <c r="C196" t="s">
        <v>74</v>
      </c>
      <c r="E196" t="str">
        <f>"GAB2008292"</f>
        <v>GAB2008292</v>
      </c>
      <c r="F196" s="3">
        <v>44607</v>
      </c>
      <c r="G196">
        <v>202208</v>
      </c>
      <c r="H196" t="s">
        <v>75</v>
      </c>
      <c r="I196" t="s">
        <v>76</v>
      </c>
      <c r="J196" t="s">
        <v>77</v>
      </c>
      <c r="K196" t="s">
        <v>78</v>
      </c>
      <c r="L196" t="s">
        <v>75</v>
      </c>
      <c r="M196" t="s">
        <v>76</v>
      </c>
      <c r="N196" t="s">
        <v>775</v>
      </c>
      <c r="O196" t="s">
        <v>125</v>
      </c>
      <c r="P196" t="str">
        <f>"CT071995                      "</f>
        <v xml:space="preserve">CT071995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70.37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6</v>
      </c>
      <c r="BI196">
        <v>23.5</v>
      </c>
      <c r="BJ196">
        <v>76.3</v>
      </c>
      <c r="BK196">
        <v>77</v>
      </c>
      <c r="BL196">
        <v>258.39</v>
      </c>
      <c r="BM196">
        <v>38.76</v>
      </c>
      <c r="BN196">
        <v>297.14999999999998</v>
      </c>
      <c r="BO196">
        <v>297.14999999999998</v>
      </c>
      <c r="BQ196" t="s">
        <v>776</v>
      </c>
      <c r="BR196" t="s">
        <v>82</v>
      </c>
      <c r="BS196" s="3">
        <v>44609</v>
      </c>
      <c r="BT196" s="4">
        <v>0.4284722222222222</v>
      </c>
      <c r="BU196" t="s">
        <v>777</v>
      </c>
      <c r="BV196" t="s">
        <v>84</v>
      </c>
      <c r="BW196" t="s">
        <v>85</v>
      </c>
      <c r="BX196" t="s">
        <v>233</v>
      </c>
      <c r="BY196">
        <v>381471.23</v>
      </c>
      <c r="CA196" t="s">
        <v>778</v>
      </c>
      <c r="CC196" t="s">
        <v>76</v>
      </c>
      <c r="CD196">
        <v>7530</v>
      </c>
      <c r="CE196" t="s">
        <v>130</v>
      </c>
      <c r="CF196" s="3">
        <v>44610</v>
      </c>
      <c r="CI196">
        <v>1</v>
      </c>
      <c r="CJ196">
        <v>2</v>
      </c>
      <c r="CK196">
        <v>42</v>
      </c>
      <c r="CL196" t="s">
        <v>84</v>
      </c>
    </row>
    <row r="197" spans="1:90" x14ac:dyDescent="0.25">
      <c r="A197" t="s">
        <v>72</v>
      </c>
      <c r="B197" t="s">
        <v>73</v>
      </c>
      <c r="C197" t="s">
        <v>74</v>
      </c>
      <c r="E197" t="str">
        <f>"GAB2008297"</f>
        <v>GAB2008297</v>
      </c>
      <c r="F197" s="3">
        <v>44607</v>
      </c>
      <c r="G197">
        <v>202208</v>
      </c>
      <c r="H197" t="s">
        <v>75</v>
      </c>
      <c r="I197" t="s">
        <v>76</v>
      </c>
      <c r="J197" t="s">
        <v>77</v>
      </c>
      <c r="K197" t="s">
        <v>78</v>
      </c>
      <c r="L197" t="s">
        <v>75</v>
      </c>
      <c r="M197" t="s">
        <v>76</v>
      </c>
      <c r="N197" t="s">
        <v>779</v>
      </c>
      <c r="O197" t="s">
        <v>125</v>
      </c>
      <c r="P197" t="str">
        <f>"CT071905                      "</f>
        <v xml:space="preserve">CT071905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25.01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2.4</v>
      </c>
      <c r="BJ197">
        <v>6.8</v>
      </c>
      <c r="BK197">
        <v>7</v>
      </c>
      <c r="BL197">
        <v>95.23</v>
      </c>
      <c r="BM197">
        <v>14.28</v>
      </c>
      <c r="BN197">
        <v>109.51</v>
      </c>
      <c r="BO197">
        <v>109.51</v>
      </c>
      <c r="BQ197" t="s">
        <v>780</v>
      </c>
      <c r="BR197" t="s">
        <v>82</v>
      </c>
      <c r="BS197" s="3">
        <v>44608</v>
      </c>
      <c r="BT197" s="4">
        <v>0.5625</v>
      </c>
      <c r="BU197" t="s">
        <v>781</v>
      </c>
      <c r="BV197" t="s">
        <v>101</v>
      </c>
      <c r="BY197">
        <v>33790.68</v>
      </c>
      <c r="CA197" t="s">
        <v>782</v>
      </c>
      <c r="CC197" t="s">
        <v>76</v>
      </c>
      <c r="CD197">
        <v>7404</v>
      </c>
      <c r="CE197" t="s">
        <v>130</v>
      </c>
      <c r="CF197" s="3">
        <v>44609</v>
      </c>
      <c r="CI197">
        <v>1</v>
      </c>
      <c r="CJ197">
        <v>1</v>
      </c>
      <c r="CK197">
        <v>42</v>
      </c>
      <c r="CL197" t="s">
        <v>84</v>
      </c>
    </row>
    <row r="198" spans="1:90" x14ac:dyDescent="0.25">
      <c r="A198" t="s">
        <v>72</v>
      </c>
      <c r="B198" t="s">
        <v>73</v>
      </c>
      <c r="C198" t="s">
        <v>74</v>
      </c>
      <c r="E198" t="str">
        <f>"GAB2008059"</f>
        <v>GAB2008059</v>
      </c>
      <c r="F198" s="3">
        <v>44595</v>
      </c>
      <c r="G198">
        <v>202208</v>
      </c>
      <c r="H198" t="s">
        <v>75</v>
      </c>
      <c r="I198" t="s">
        <v>76</v>
      </c>
      <c r="J198" t="s">
        <v>77</v>
      </c>
      <c r="K198" t="s">
        <v>78</v>
      </c>
      <c r="L198" t="s">
        <v>75</v>
      </c>
      <c r="M198" t="s">
        <v>76</v>
      </c>
      <c r="N198" t="s">
        <v>79</v>
      </c>
      <c r="O198" t="s">
        <v>80</v>
      </c>
      <c r="P198" t="str">
        <f>"CT071732                      "</f>
        <v xml:space="preserve">CT071732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13.09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0.5</v>
      </c>
      <c r="BJ198">
        <v>1.9</v>
      </c>
      <c r="BK198">
        <v>2</v>
      </c>
      <c r="BL198">
        <v>47.1</v>
      </c>
      <c r="BM198">
        <v>7.07</v>
      </c>
      <c r="BN198">
        <v>54.17</v>
      </c>
      <c r="BO198">
        <v>54.17</v>
      </c>
      <c r="BQ198" t="s">
        <v>81</v>
      </c>
      <c r="BR198" t="s">
        <v>82</v>
      </c>
      <c r="BS198" s="3">
        <v>44596</v>
      </c>
      <c r="BT198" s="4">
        <v>0.56597222222222221</v>
      </c>
      <c r="BU198" t="s">
        <v>783</v>
      </c>
      <c r="BV198" t="s">
        <v>84</v>
      </c>
      <c r="BW198" t="s">
        <v>95</v>
      </c>
      <c r="BX198" t="s">
        <v>86</v>
      </c>
      <c r="BY198">
        <v>9479.52</v>
      </c>
      <c r="BZ198" t="s">
        <v>87</v>
      </c>
      <c r="CA198" t="s">
        <v>88</v>
      </c>
      <c r="CC198" t="s">
        <v>76</v>
      </c>
      <c r="CD198">
        <v>7550</v>
      </c>
      <c r="CE198" t="s">
        <v>554</v>
      </c>
      <c r="CF198" s="3">
        <v>44599</v>
      </c>
      <c r="CI198">
        <v>1</v>
      </c>
      <c r="CJ198">
        <v>1</v>
      </c>
      <c r="CK198">
        <v>22</v>
      </c>
      <c r="CL198" t="s">
        <v>84</v>
      </c>
    </row>
    <row r="199" spans="1:90" x14ac:dyDescent="0.25">
      <c r="A199" t="s">
        <v>72</v>
      </c>
      <c r="B199" t="s">
        <v>73</v>
      </c>
      <c r="C199" t="s">
        <v>74</v>
      </c>
      <c r="E199" t="str">
        <f>"GAB2008041"</f>
        <v>GAB2008041</v>
      </c>
      <c r="F199" s="3">
        <v>44594</v>
      </c>
      <c r="G199">
        <v>202208</v>
      </c>
      <c r="H199" t="s">
        <v>75</v>
      </c>
      <c r="I199" t="s">
        <v>76</v>
      </c>
      <c r="J199" t="s">
        <v>77</v>
      </c>
      <c r="K199" t="s">
        <v>78</v>
      </c>
      <c r="L199" t="s">
        <v>153</v>
      </c>
      <c r="M199" t="s">
        <v>154</v>
      </c>
      <c r="N199" t="s">
        <v>784</v>
      </c>
      <c r="O199" t="s">
        <v>80</v>
      </c>
      <c r="P199" t="str">
        <f>"CT071699                      "</f>
        <v xml:space="preserve">CT071699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29.33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15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0.2</v>
      </c>
      <c r="BJ199">
        <v>3.1</v>
      </c>
      <c r="BK199">
        <v>3.5</v>
      </c>
      <c r="BL199">
        <v>120.51</v>
      </c>
      <c r="BM199">
        <v>18.079999999999998</v>
      </c>
      <c r="BN199">
        <v>138.59</v>
      </c>
      <c r="BO199">
        <v>138.59</v>
      </c>
      <c r="BQ199" t="s">
        <v>785</v>
      </c>
      <c r="BR199" t="s">
        <v>82</v>
      </c>
      <c r="BS199" s="3">
        <v>44595</v>
      </c>
      <c r="BT199" s="4">
        <v>0.6166666666666667</v>
      </c>
      <c r="BU199" t="s">
        <v>786</v>
      </c>
      <c r="BV199" t="s">
        <v>84</v>
      </c>
      <c r="BW199" t="s">
        <v>95</v>
      </c>
      <c r="BX199" t="s">
        <v>787</v>
      </c>
      <c r="BY199">
        <v>15336.72</v>
      </c>
      <c r="BZ199" t="s">
        <v>121</v>
      </c>
      <c r="CA199" t="s">
        <v>788</v>
      </c>
      <c r="CC199" t="s">
        <v>154</v>
      </c>
      <c r="CD199">
        <v>1863</v>
      </c>
      <c r="CE199" t="s">
        <v>89</v>
      </c>
      <c r="CF199" s="3">
        <v>44595</v>
      </c>
      <c r="CI199">
        <v>1</v>
      </c>
      <c r="CJ199">
        <v>1</v>
      </c>
      <c r="CK199">
        <v>21</v>
      </c>
      <c r="CL199" t="s">
        <v>84</v>
      </c>
    </row>
    <row r="200" spans="1:90" x14ac:dyDescent="0.25">
      <c r="A200" t="s">
        <v>72</v>
      </c>
      <c r="B200" t="s">
        <v>73</v>
      </c>
      <c r="C200" t="s">
        <v>74</v>
      </c>
      <c r="E200" t="str">
        <f>"GAB2008068"</f>
        <v>GAB2008068</v>
      </c>
      <c r="F200" s="3">
        <v>44595</v>
      </c>
      <c r="G200">
        <v>202208</v>
      </c>
      <c r="H200" t="s">
        <v>75</v>
      </c>
      <c r="I200" t="s">
        <v>76</v>
      </c>
      <c r="J200" t="s">
        <v>77</v>
      </c>
      <c r="K200" t="s">
        <v>78</v>
      </c>
      <c r="L200" t="s">
        <v>176</v>
      </c>
      <c r="M200" t="s">
        <v>177</v>
      </c>
      <c r="N200" t="s">
        <v>366</v>
      </c>
      <c r="O200" t="s">
        <v>80</v>
      </c>
      <c r="P200" t="str">
        <f>"006838                        "</f>
        <v xml:space="preserve">006838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25.14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0.2</v>
      </c>
      <c r="BJ200">
        <v>2.9</v>
      </c>
      <c r="BK200">
        <v>3</v>
      </c>
      <c r="BL200">
        <v>90.44</v>
      </c>
      <c r="BM200">
        <v>13.57</v>
      </c>
      <c r="BN200">
        <v>104.01</v>
      </c>
      <c r="BO200">
        <v>104.01</v>
      </c>
      <c r="BQ200" t="s">
        <v>789</v>
      </c>
      <c r="BR200" t="s">
        <v>82</v>
      </c>
      <c r="BS200" s="3">
        <v>44599</v>
      </c>
      <c r="BT200" s="4">
        <v>0.49861111111111112</v>
      </c>
      <c r="BU200" t="s">
        <v>368</v>
      </c>
      <c r="BV200" t="s">
        <v>84</v>
      </c>
      <c r="BW200" t="s">
        <v>268</v>
      </c>
      <c r="BX200" t="s">
        <v>240</v>
      </c>
      <c r="BY200">
        <v>14688</v>
      </c>
      <c r="BZ200" t="s">
        <v>87</v>
      </c>
      <c r="CA200" t="s">
        <v>369</v>
      </c>
      <c r="CC200" t="s">
        <v>177</v>
      </c>
      <c r="CD200">
        <v>3610</v>
      </c>
      <c r="CE200" t="s">
        <v>288</v>
      </c>
      <c r="CF200" s="3">
        <v>44610</v>
      </c>
      <c r="CI200">
        <v>1</v>
      </c>
      <c r="CJ200">
        <v>2</v>
      </c>
      <c r="CK200">
        <v>21</v>
      </c>
      <c r="CL200" t="s">
        <v>84</v>
      </c>
    </row>
    <row r="201" spans="1:90" x14ac:dyDescent="0.25">
      <c r="A201" t="s">
        <v>72</v>
      </c>
      <c r="B201" t="s">
        <v>73</v>
      </c>
      <c r="C201" t="s">
        <v>74</v>
      </c>
      <c r="E201" t="str">
        <f>"GAB2008067"</f>
        <v>GAB2008067</v>
      </c>
      <c r="F201" s="3">
        <v>44595</v>
      </c>
      <c r="G201">
        <v>202208</v>
      </c>
      <c r="H201" t="s">
        <v>75</v>
      </c>
      <c r="I201" t="s">
        <v>76</v>
      </c>
      <c r="J201" t="s">
        <v>77</v>
      </c>
      <c r="K201" t="s">
        <v>78</v>
      </c>
      <c r="L201" t="s">
        <v>790</v>
      </c>
      <c r="M201" t="s">
        <v>791</v>
      </c>
      <c r="N201" t="s">
        <v>792</v>
      </c>
      <c r="O201" t="s">
        <v>80</v>
      </c>
      <c r="P201" t="str">
        <f>"006795                        "</f>
        <v xml:space="preserve">006795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47.15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0.2</v>
      </c>
      <c r="BJ201">
        <v>3</v>
      </c>
      <c r="BK201">
        <v>3</v>
      </c>
      <c r="BL201">
        <v>169.61</v>
      </c>
      <c r="BM201">
        <v>25.44</v>
      </c>
      <c r="BN201">
        <v>195.05</v>
      </c>
      <c r="BO201">
        <v>195.05</v>
      </c>
      <c r="BQ201" t="s">
        <v>793</v>
      </c>
      <c r="BR201" t="s">
        <v>82</v>
      </c>
      <c r="BS201" s="3">
        <v>44599</v>
      </c>
      <c r="BT201" s="4">
        <v>0.4381944444444445</v>
      </c>
      <c r="BU201" t="s">
        <v>794</v>
      </c>
      <c r="BV201" t="s">
        <v>101</v>
      </c>
      <c r="BY201">
        <v>14929.2</v>
      </c>
      <c r="BZ201" t="s">
        <v>87</v>
      </c>
      <c r="CC201" t="s">
        <v>791</v>
      </c>
      <c r="CD201">
        <v>5099</v>
      </c>
      <c r="CE201" t="s">
        <v>97</v>
      </c>
      <c r="CF201" s="3">
        <v>44600</v>
      </c>
      <c r="CI201">
        <v>3</v>
      </c>
      <c r="CJ201">
        <v>2</v>
      </c>
      <c r="CK201">
        <v>23</v>
      </c>
      <c r="CL201" t="s">
        <v>84</v>
      </c>
    </row>
    <row r="202" spans="1:90" x14ac:dyDescent="0.25">
      <c r="A202" t="s">
        <v>72</v>
      </c>
      <c r="B202" t="s">
        <v>73</v>
      </c>
      <c r="C202" t="s">
        <v>74</v>
      </c>
      <c r="E202" t="str">
        <f>"GAB2008061"</f>
        <v>GAB2008061</v>
      </c>
      <c r="F202" s="3">
        <v>44595</v>
      </c>
      <c r="G202">
        <v>202208</v>
      </c>
      <c r="H202" t="s">
        <v>75</v>
      </c>
      <c r="I202" t="s">
        <v>76</v>
      </c>
      <c r="J202" t="s">
        <v>77</v>
      </c>
      <c r="K202" t="s">
        <v>78</v>
      </c>
      <c r="L202" t="s">
        <v>75</v>
      </c>
      <c r="M202" t="s">
        <v>76</v>
      </c>
      <c r="N202" t="s">
        <v>506</v>
      </c>
      <c r="O202" t="s">
        <v>80</v>
      </c>
      <c r="P202" t="str">
        <f>"006844                        "</f>
        <v xml:space="preserve">006844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13.09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0.3</v>
      </c>
      <c r="BJ202">
        <v>3.1</v>
      </c>
      <c r="BK202">
        <v>3.5</v>
      </c>
      <c r="BL202">
        <v>47.1</v>
      </c>
      <c r="BM202">
        <v>7.07</v>
      </c>
      <c r="BN202">
        <v>54.17</v>
      </c>
      <c r="BO202">
        <v>54.17</v>
      </c>
      <c r="BQ202" t="s">
        <v>795</v>
      </c>
      <c r="BR202" t="s">
        <v>82</v>
      </c>
      <c r="BS202" s="3">
        <v>44596</v>
      </c>
      <c r="BT202" s="4">
        <v>0.4201388888888889</v>
      </c>
      <c r="BU202" t="s">
        <v>796</v>
      </c>
      <c r="BV202" t="s">
        <v>101</v>
      </c>
      <c r="BY202">
        <v>15722.28</v>
      </c>
      <c r="BZ202" t="s">
        <v>87</v>
      </c>
      <c r="CA202" t="s">
        <v>509</v>
      </c>
      <c r="CC202" t="s">
        <v>76</v>
      </c>
      <c r="CD202">
        <v>7708</v>
      </c>
      <c r="CE202" t="s">
        <v>108</v>
      </c>
      <c r="CF202" s="3">
        <v>44599</v>
      </c>
      <c r="CI202">
        <v>1</v>
      </c>
      <c r="CJ202">
        <v>1</v>
      </c>
      <c r="CK202">
        <v>22</v>
      </c>
      <c r="CL202" t="s">
        <v>84</v>
      </c>
    </row>
    <row r="203" spans="1:90" x14ac:dyDescent="0.25">
      <c r="A203" t="s">
        <v>72</v>
      </c>
      <c r="B203" t="s">
        <v>73</v>
      </c>
      <c r="C203" t="s">
        <v>74</v>
      </c>
      <c r="E203" t="str">
        <f>"GAB2008066"</f>
        <v>GAB2008066</v>
      </c>
      <c r="F203" s="3">
        <v>44595</v>
      </c>
      <c r="G203">
        <v>202208</v>
      </c>
      <c r="H203" t="s">
        <v>75</v>
      </c>
      <c r="I203" t="s">
        <v>76</v>
      </c>
      <c r="J203" t="s">
        <v>77</v>
      </c>
      <c r="K203" t="s">
        <v>78</v>
      </c>
      <c r="L203" t="s">
        <v>131</v>
      </c>
      <c r="M203" t="s">
        <v>132</v>
      </c>
      <c r="N203" t="s">
        <v>797</v>
      </c>
      <c r="O203" t="s">
        <v>80</v>
      </c>
      <c r="P203" t="str">
        <f>"006817                        "</f>
        <v xml:space="preserve">006817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25.14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0.1</v>
      </c>
      <c r="BJ203">
        <v>2.7</v>
      </c>
      <c r="BK203">
        <v>3</v>
      </c>
      <c r="BL203">
        <v>90.44</v>
      </c>
      <c r="BM203">
        <v>13.57</v>
      </c>
      <c r="BN203">
        <v>104.01</v>
      </c>
      <c r="BO203">
        <v>104.01</v>
      </c>
      <c r="BQ203" t="s">
        <v>798</v>
      </c>
      <c r="BR203" t="s">
        <v>82</v>
      </c>
      <c r="BS203" s="3">
        <v>44599</v>
      </c>
      <c r="BT203" s="4">
        <v>0.3520833333333333</v>
      </c>
      <c r="BU203" t="s">
        <v>799</v>
      </c>
      <c r="BV203" t="s">
        <v>84</v>
      </c>
      <c r="BW203" t="s">
        <v>85</v>
      </c>
      <c r="BX203" t="s">
        <v>392</v>
      </c>
      <c r="BY203">
        <v>13519.22</v>
      </c>
      <c r="BZ203" t="s">
        <v>87</v>
      </c>
      <c r="CA203" t="s">
        <v>280</v>
      </c>
      <c r="CC203" t="s">
        <v>132</v>
      </c>
      <c r="CD203">
        <v>4001</v>
      </c>
      <c r="CE203" t="s">
        <v>152</v>
      </c>
      <c r="CF203" s="3">
        <v>44600</v>
      </c>
      <c r="CI203">
        <v>1</v>
      </c>
      <c r="CJ203">
        <v>2</v>
      </c>
      <c r="CK203">
        <v>21</v>
      </c>
      <c r="CL203" t="s">
        <v>84</v>
      </c>
    </row>
    <row r="204" spans="1:90" x14ac:dyDescent="0.25">
      <c r="A204" t="s">
        <v>72</v>
      </c>
      <c r="B204" t="s">
        <v>73</v>
      </c>
      <c r="C204" t="s">
        <v>74</v>
      </c>
      <c r="E204" t="str">
        <f>"GAB2008044"</f>
        <v>GAB2008044</v>
      </c>
      <c r="F204" s="3">
        <v>44594</v>
      </c>
      <c r="G204">
        <v>202208</v>
      </c>
      <c r="H204" t="s">
        <v>75</v>
      </c>
      <c r="I204" t="s">
        <v>76</v>
      </c>
      <c r="J204" t="s">
        <v>77</v>
      </c>
      <c r="K204" t="s">
        <v>78</v>
      </c>
      <c r="L204" t="s">
        <v>159</v>
      </c>
      <c r="M204" t="s">
        <v>160</v>
      </c>
      <c r="N204" t="s">
        <v>419</v>
      </c>
      <c r="O204" t="s">
        <v>80</v>
      </c>
      <c r="P204" t="str">
        <f>"CT071697                      "</f>
        <v xml:space="preserve">CT071697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47.15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1.1000000000000001</v>
      </c>
      <c r="BJ204">
        <v>2.6</v>
      </c>
      <c r="BK204">
        <v>3</v>
      </c>
      <c r="BL204">
        <v>169.61</v>
      </c>
      <c r="BM204">
        <v>25.44</v>
      </c>
      <c r="BN204">
        <v>195.05</v>
      </c>
      <c r="BO204">
        <v>195.05</v>
      </c>
      <c r="BQ204" t="s">
        <v>420</v>
      </c>
      <c r="BR204" t="s">
        <v>82</v>
      </c>
      <c r="BS204" s="3">
        <v>44595</v>
      </c>
      <c r="BT204" s="4">
        <v>0.46875</v>
      </c>
      <c r="BU204" t="s">
        <v>800</v>
      </c>
      <c r="BV204" t="s">
        <v>84</v>
      </c>
      <c r="BW204" t="s">
        <v>801</v>
      </c>
      <c r="BX204" t="s">
        <v>802</v>
      </c>
      <c r="BY204">
        <v>12887.7</v>
      </c>
      <c r="BZ204" t="s">
        <v>87</v>
      </c>
      <c r="CA204" t="s">
        <v>422</v>
      </c>
      <c r="CC204" t="s">
        <v>160</v>
      </c>
      <c r="CD204">
        <v>9459</v>
      </c>
      <c r="CE204" t="s">
        <v>597</v>
      </c>
      <c r="CF204" s="3">
        <v>44596</v>
      </c>
      <c r="CI204">
        <v>1</v>
      </c>
      <c r="CJ204">
        <v>1</v>
      </c>
      <c r="CK204">
        <v>23</v>
      </c>
      <c r="CL204" t="s">
        <v>84</v>
      </c>
    </row>
    <row r="205" spans="1:90" x14ac:dyDescent="0.25">
      <c r="A205" t="s">
        <v>72</v>
      </c>
      <c r="B205" t="s">
        <v>73</v>
      </c>
      <c r="C205" t="s">
        <v>74</v>
      </c>
      <c r="E205" t="str">
        <f>"GAB2008045"</f>
        <v>GAB2008045</v>
      </c>
      <c r="F205" s="3">
        <v>44594</v>
      </c>
      <c r="G205">
        <v>202208</v>
      </c>
      <c r="H205" t="s">
        <v>75</v>
      </c>
      <c r="I205" t="s">
        <v>76</v>
      </c>
      <c r="J205" t="s">
        <v>77</v>
      </c>
      <c r="K205" t="s">
        <v>78</v>
      </c>
      <c r="L205" t="s">
        <v>75</v>
      </c>
      <c r="M205" t="s">
        <v>76</v>
      </c>
      <c r="N205" t="s">
        <v>803</v>
      </c>
      <c r="O205" t="s">
        <v>80</v>
      </c>
      <c r="P205" t="str">
        <f>"CT071701                      "</f>
        <v xml:space="preserve">CT071701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13.09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0.8</v>
      </c>
      <c r="BJ205">
        <v>2.7</v>
      </c>
      <c r="BK205">
        <v>3</v>
      </c>
      <c r="BL205">
        <v>47.1</v>
      </c>
      <c r="BM205">
        <v>7.07</v>
      </c>
      <c r="BN205">
        <v>54.17</v>
      </c>
      <c r="BO205">
        <v>54.17</v>
      </c>
      <c r="BQ205" t="s">
        <v>804</v>
      </c>
      <c r="BR205" t="s">
        <v>82</v>
      </c>
      <c r="BS205" s="3">
        <v>44595</v>
      </c>
      <c r="BT205" s="4">
        <v>0.42569444444444443</v>
      </c>
      <c r="BU205" t="s">
        <v>805</v>
      </c>
      <c r="BV205" t="s">
        <v>101</v>
      </c>
      <c r="BY205">
        <v>13531.35</v>
      </c>
      <c r="BZ205" t="s">
        <v>87</v>
      </c>
      <c r="CA205" t="s">
        <v>806</v>
      </c>
      <c r="CC205" t="s">
        <v>76</v>
      </c>
      <c r="CD205">
        <v>7441</v>
      </c>
      <c r="CE205" t="s">
        <v>807</v>
      </c>
      <c r="CF205" s="3">
        <v>44596</v>
      </c>
      <c r="CI205">
        <v>1</v>
      </c>
      <c r="CJ205">
        <v>1</v>
      </c>
      <c r="CK205">
        <v>22</v>
      </c>
      <c r="CL205" t="s">
        <v>84</v>
      </c>
    </row>
    <row r="206" spans="1:90" x14ac:dyDescent="0.25">
      <c r="A206" t="s">
        <v>72</v>
      </c>
      <c r="B206" t="s">
        <v>73</v>
      </c>
      <c r="C206" t="s">
        <v>74</v>
      </c>
      <c r="E206" t="str">
        <f>"GAB2008064"</f>
        <v>GAB2008064</v>
      </c>
      <c r="F206" s="3">
        <v>44595</v>
      </c>
      <c r="G206">
        <v>202208</v>
      </c>
      <c r="H206" t="s">
        <v>75</v>
      </c>
      <c r="I206" t="s">
        <v>76</v>
      </c>
      <c r="J206" t="s">
        <v>77</v>
      </c>
      <c r="K206" t="s">
        <v>78</v>
      </c>
      <c r="L206" t="s">
        <v>441</v>
      </c>
      <c r="M206" t="s">
        <v>442</v>
      </c>
      <c r="N206" t="s">
        <v>443</v>
      </c>
      <c r="O206" t="s">
        <v>80</v>
      </c>
      <c r="P206" t="str">
        <f>"006825                        "</f>
        <v xml:space="preserve">006825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32.479999999999997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0.1</v>
      </c>
      <c r="BJ206">
        <v>1.5</v>
      </c>
      <c r="BK206">
        <v>1.5</v>
      </c>
      <c r="BL206">
        <v>116.84</v>
      </c>
      <c r="BM206">
        <v>17.53</v>
      </c>
      <c r="BN206">
        <v>134.37</v>
      </c>
      <c r="BO206">
        <v>134.37</v>
      </c>
      <c r="BQ206" t="s">
        <v>808</v>
      </c>
      <c r="BR206" t="s">
        <v>82</v>
      </c>
      <c r="BS206" s="3">
        <v>44596</v>
      </c>
      <c r="BT206" s="4">
        <v>0.37708333333333338</v>
      </c>
      <c r="BU206" t="s">
        <v>445</v>
      </c>
      <c r="BV206" t="s">
        <v>101</v>
      </c>
      <c r="BY206">
        <v>7639.6</v>
      </c>
      <c r="BZ206" t="s">
        <v>87</v>
      </c>
      <c r="CA206" t="s">
        <v>446</v>
      </c>
      <c r="CC206" t="s">
        <v>442</v>
      </c>
      <c r="CD206">
        <v>1035</v>
      </c>
      <c r="CE206" t="s">
        <v>89</v>
      </c>
      <c r="CF206" s="3">
        <v>44599</v>
      </c>
      <c r="CI206">
        <v>1</v>
      </c>
      <c r="CJ206">
        <v>1</v>
      </c>
      <c r="CK206">
        <v>23</v>
      </c>
      <c r="CL206" t="s">
        <v>84</v>
      </c>
    </row>
    <row r="207" spans="1:90" x14ac:dyDescent="0.25">
      <c r="A207" t="s">
        <v>72</v>
      </c>
      <c r="B207" t="s">
        <v>73</v>
      </c>
      <c r="C207" t="s">
        <v>74</v>
      </c>
      <c r="E207" t="str">
        <f>"GAB2008049"</f>
        <v>GAB2008049</v>
      </c>
      <c r="F207" s="3">
        <v>44594</v>
      </c>
      <c r="G207">
        <v>202208</v>
      </c>
      <c r="H207" t="s">
        <v>75</v>
      </c>
      <c r="I207" t="s">
        <v>76</v>
      </c>
      <c r="J207" t="s">
        <v>77</v>
      </c>
      <c r="K207" t="s">
        <v>78</v>
      </c>
      <c r="L207" t="s">
        <v>252</v>
      </c>
      <c r="M207" t="s">
        <v>253</v>
      </c>
      <c r="N207" t="s">
        <v>551</v>
      </c>
      <c r="O207" t="s">
        <v>80</v>
      </c>
      <c r="P207" t="str">
        <f>"CT071710                      "</f>
        <v xml:space="preserve">CT071710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47.15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0.2</v>
      </c>
      <c r="BJ207">
        <v>3</v>
      </c>
      <c r="BK207">
        <v>3</v>
      </c>
      <c r="BL207">
        <v>169.61</v>
      </c>
      <c r="BM207">
        <v>25.44</v>
      </c>
      <c r="BN207">
        <v>195.05</v>
      </c>
      <c r="BO207">
        <v>195.05</v>
      </c>
      <c r="BQ207" t="s">
        <v>738</v>
      </c>
      <c r="BR207" t="s">
        <v>82</v>
      </c>
      <c r="BS207" s="3">
        <v>44596</v>
      </c>
      <c r="BT207" s="4">
        <v>0.44791666666666669</v>
      </c>
      <c r="BU207" t="s">
        <v>553</v>
      </c>
      <c r="BV207" t="s">
        <v>84</v>
      </c>
      <c r="BW207" t="s">
        <v>85</v>
      </c>
      <c r="BX207" t="s">
        <v>809</v>
      </c>
      <c r="BY207">
        <v>14801.04</v>
      </c>
      <c r="BZ207" t="s">
        <v>87</v>
      </c>
      <c r="CA207" t="s">
        <v>257</v>
      </c>
      <c r="CC207" t="s">
        <v>253</v>
      </c>
      <c r="CD207">
        <v>4400</v>
      </c>
      <c r="CE207" t="s">
        <v>103</v>
      </c>
      <c r="CF207" s="3">
        <v>44599</v>
      </c>
      <c r="CI207">
        <v>1</v>
      </c>
      <c r="CJ207">
        <v>2</v>
      </c>
      <c r="CK207">
        <v>23</v>
      </c>
      <c r="CL207" t="s">
        <v>84</v>
      </c>
    </row>
    <row r="208" spans="1:90" x14ac:dyDescent="0.25">
      <c r="A208" t="s">
        <v>72</v>
      </c>
      <c r="B208" t="s">
        <v>73</v>
      </c>
      <c r="C208" t="s">
        <v>74</v>
      </c>
      <c r="E208" t="str">
        <f>"GAB2008050"</f>
        <v>GAB2008050</v>
      </c>
      <c r="F208" s="3">
        <v>44594</v>
      </c>
      <c r="G208">
        <v>202208</v>
      </c>
      <c r="H208" t="s">
        <v>75</v>
      </c>
      <c r="I208" t="s">
        <v>76</v>
      </c>
      <c r="J208" t="s">
        <v>77</v>
      </c>
      <c r="K208" t="s">
        <v>78</v>
      </c>
      <c r="L208" t="s">
        <v>75</v>
      </c>
      <c r="M208" t="s">
        <v>76</v>
      </c>
      <c r="N208" t="s">
        <v>104</v>
      </c>
      <c r="O208" t="s">
        <v>80</v>
      </c>
      <c r="P208" t="str">
        <f>"CT071711                      "</f>
        <v xml:space="preserve">CT071711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13.09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0.7</v>
      </c>
      <c r="BJ208">
        <v>2</v>
      </c>
      <c r="BK208">
        <v>2</v>
      </c>
      <c r="BL208">
        <v>47.1</v>
      </c>
      <c r="BM208">
        <v>7.07</v>
      </c>
      <c r="BN208">
        <v>54.17</v>
      </c>
      <c r="BO208">
        <v>54.17</v>
      </c>
      <c r="BQ208" t="s">
        <v>105</v>
      </c>
      <c r="BR208" t="s">
        <v>82</v>
      </c>
      <c r="BS208" s="3">
        <v>44595</v>
      </c>
      <c r="BT208" s="4">
        <v>0.48819444444444443</v>
      </c>
      <c r="BU208" t="s">
        <v>106</v>
      </c>
      <c r="BV208" t="s">
        <v>84</v>
      </c>
      <c r="BW208" t="s">
        <v>95</v>
      </c>
      <c r="BX208" t="s">
        <v>233</v>
      </c>
      <c r="BY208">
        <v>9808.56</v>
      </c>
      <c r="BZ208" t="s">
        <v>87</v>
      </c>
      <c r="CA208" t="s">
        <v>107</v>
      </c>
      <c r="CC208" t="s">
        <v>76</v>
      </c>
      <c r="CD208">
        <v>7441</v>
      </c>
      <c r="CE208" t="s">
        <v>495</v>
      </c>
      <c r="CF208" s="3">
        <v>44596</v>
      </c>
      <c r="CI208">
        <v>1</v>
      </c>
      <c r="CJ208">
        <v>1</v>
      </c>
      <c r="CK208">
        <v>22</v>
      </c>
      <c r="CL208" t="s">
        <v>84</v>
      </c>
    </row>
    <row r="209" spans="1:90" x14ac:dyDescent="0.25">
      <c r="A209" t="s">
        <v>72</v>
      </c>
      <c r="B209" t="s">
        <v>73</v>
      </c>
      <c r="C209" t="s">
        <v>74</v>
      </c>
      <c r="E209" t="str">
        <f>"GAB2008046"</f>
        <v>GAB2008046</v>
      </c>
      <c r="F209" s="3">
        <v>44594</v>
      </c>
      <c r="G209">
        <v>202208</v>
      </c>
      <c r="H209" t="s">
        <v>75</v>
      </c>
      <c r="I209" t="s">
        <v>76</v>
      </c>
      <c r="J209" t="s">
        <v>77</v>
      </c>
      <c r="K209" t="s">
        <v>78</v>
      </c>
      <c r="L209" t="s">
        <v>153</v>
      </c>
      <c r="M209" t="s">
        <v>154</v>
      </c>
      <c r="N209" t="s">
        <v>810</v>
      </c>
      <c r="O209" t="s">
        <v>80</v>
      </c>
      <c r="P209" t="str">
        <f>"CT071704                      "</f>
        <v xml:space="preserve">CT071704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20.95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15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0.1</v>
      </c>
      <c r="BJ209">
        <v>2.2000000000000002</v>
      </c>
      <c r="BK209">
        <v>2.5</v>
      </c>
      <c r="BL209">
        <v>90.37</v>
      </c>
      <c r="BM209">
        <v>13.56</v>
      </c>
      <c r="BN209">
        <v>103.93</v>
      </c>
      <c r="BO209">
        <v>103.93</v>
      </c>
      <c r="BQ209" t="s">
        <v>811</v>
      </c>
      <c r="BR209" t="s">
        <v>82</v>
      </c>
      <c r="BS209" s="3">
        <v>44595</v>
      </c>
      <c r="BT209" s="4">
        <v>0.38541666666666669</v>
      </c>
      <c r="BU209" t="s">
        <v>812</v>
      </c>
      <c r="BV209" t="s">
        <v>101</v>
      </c>
      <c r="BY209">
        <v>11173.4</v>
      </c>
      <c r="BZ209" t="s">
        <v>121</v>
      </c>
      <c r="CA209" t="s">
        <v>788</v>
      </c>
      <c r="CC209" t="s">
        <v>154</v>
      </c>
      <c r="CD209">
        <v>1862</v>
      </c>
      <c r="CE209" t="s">
        <v>97</v>
      </c>
      <c r="CF209" s="3">
        <v>44595</v>
      </c>
      <c r="CI209">
        <v>1</v>
      </c>
      <c r="CJ209">
        <v>1</v>
      </c>
      <c r="CK209">
        <v>21</v>
      </c>
      <c r="CL209" t="s">
        <v>84</v>
      </c>
    </row>
    <row r="210" spans="1:90" x14ac:dyDescent="0.25">
      <c r="A210" t="s">
        <v>72</v>
      </c>
      <c r="B210" t="s">
        <v>73</v>
      </c>
      <c r="C210" t="s">
        <v>74</v>
      </c>
      <c r="E210" t="str">
        <f>"GAB2008018"</f>
        <v>GAB2008018</v>
      </c>
      <c r="F210" s="3">
        <v>44593</v>
      </c>
      <c r="G210">
        <v>202208</v>
      </c>
      <c r="H210" t="s">
        <v>75</v>
      </c>
      <c r="I210" t="s">
        <v>76</v>
      </c>
      <c r="J210" t="s">
        <v>77</v>
      </c>
      <c r="K210" t="s">
        <v>78</v>
      </c>
      <c r="L210" t="s">
        <v>481</v>
      </c>
      <c r="M210" t="s">
        <v>482</v>
      </c>
      <c r="N210" t="s">
        <v>716</v>
      </c>
      <c r="O210" t="s">
        <v>80</v>
      </c>
      <c r="P210" t="str">
        <f>"CT071674                      "</f>
        <v xml:space="preserve">CT071674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29.95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0.6</v>
      </c>
      <c r="BJ210">
        <v>1.9</v>
      </c>
      <c r="BK210">
        <v>2</v>
      </c>
      <c r="BL210">
        <v>114.31</v>
      </c>
      <c r="BM210">
        <v>17.149999999999999</v>
      </c>
      <c r="BN210">
        <v>131.46</v>
      </c>
      <c r="BO210">
        <v>131.46</v>
      </c>
      <c r="BQ210" t="s">
        <v>717</v>
      </c>
      <c r="BR210" t="s">
        <v>82</v>
      </c>
      <c r="BS210" s="3">
        <v>44595</v>
      </c>
      <c r="BT210" s="4">
        <v>0.38750000000000001</v>
      </c>
      <c r="BU210" t="s">
        <v>485</v>
      </c>
      <c r="BV210" t="s">
        <v>101</v>
      </c>
      <c r="BY210">
        <v>9440.64</v>
      </c>
      <c r="BZ210" t="s">
        <v>87</v>
      </c>
      <c r="CC210" t="s">
        <v>482</v>
      </c>
      <c r="CD210">
        <v>9700</v>
      </c>
      <c r="CE210" t="s">
        <v>198</v>
      </c>
      <c r="CF210" s="3">
        <v>44595</v>
      </c>
      <c r="CI210">
        <v>2</v>
      </c>
      <c r="CJ210">
        <v>2</v>
      </c>
      <c r="CK210">
        <v>23</v>
      </c>
      <c r="CL210" t="s">
        <v>84</v>
      </c>
    </row>
    <row r="211" spans="1:90" x14ac:dyDescent="0.25">
      <c r="A211" t="s">
        <v>72</v>
      </c>
      <c r="B211" t="s">
        <v>73</v>
      </c>
      <c r="C211" t="s">
        <v>74</v>
      </c>
      <c r="E211" t="str">
        <f>"GAB2008025"</f>
        <v>GAB2008025</v>
      </c>
      <c r="F211" s="3">
        <v>44593</v>
      </c>
      <c r="G211">
        <v>202208</v>
      </c>
      <c r="H211" t="s">
        <v>75</v>
      </c>
      <c r="I211" t="s">
        <v>76</v>
      </c>
      <c r="J211" t="s">
        <v>77</v>
      </c>
      <c r="K211" t="s">
        <v>78</v>
      </c>
      <c r="L211" t="s">
        <v>75</v>
      </c>
      <c r="M211" t="s">
        <v>76</v>
      </c>
      <c r="N211" t="s">
        <v>104</v>
      </c>
      <c r="O211" t="s">
        <v>80</v>
      </c>
      <c r="P211" t="str">
        <f>"CT071662                      "</f>
        <v xml:space="preserve">CT071662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12.07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0.6</v>
      </c>
      <c r="BJ211">
        <v>1.8</v>
      </c>
      <c r="BK211">
        <v>2</v>
      </c>
      <c r="BL211">
        <v>46.08</v>
      </c>
      <c r="BM211">
        <v>6.91</v>
      </c>
      <c r="BN211">
        <v>52.99</v>
      </c>
      <c r="BO211">
        <v>52.99</v>
      </c>
      <c r="BQ211" t="s">
        <v>105</v>
      </c>
      <c r="BR211" t="s">
        <v>82</v>
      </c>
      <c r="BS211" s="3">
        <v>44594</v>
      </c>
      <c r="BT211" s="4">
        <v>0.4375</v>
      </c>
      <c r="BU211" t="s">
        <v>813</v>
      </c>
      <c r="BV211" t="s">
        <v>101</v>
      </c>
      <c r="BY211">
        <v>9068.4</v>
      </c>
      <c r="BZ211" t="s">
        <v>87</v>
      </c>
      <c r="CA211" t="s">
        <v>814</v>
      </c>
      <c r="CC211" t="s">
        <v>76</v>
      </c>
      <c r="CD211">
        <v>7441</v>
      </c>
      <c r="CE211" t="s">
        <v>333</v>
      </c>
      <c r="CF211" s="3">
        <v>44595</v>
      </c>
      <c r="CI211">
        <v>1</v>
      </c>
      <c r="CJ211">
        <v>1</v>
      </c>
      <c r="CK211">
        <v>22</v>
      </c>
      <c r="CL211" t="s">
        <v>84</v>
      </c>
    </row>
    <row r="212" spans="1:90" x14ac:dyDescent="0.25">
      <c r="A212" t="s">
        <v>72</v>
      </c>
      <c r="B212" t="s">
        <v>73</v>
      </c>
      <c r="C212" t="s">
        <v>74</v>
      </c>
      <c r="E212" t="str">
        <f>"GAB2008030"</f>
        <v>GAB2008030</v>
      </c>
      <c r="F212" s="3">
        <v>44593</v>
      </c>
      <c r="G212">
        <v>202208</v>
      </c>
      <c r="H212" t="s">
        <v>75</v>
      </c>
      <c r="I212" t="s">
        <v>76</v>
      </c>
      <c r="J212" t="s">
        <v>77</v>
      </c>
      <c r="K212" t="s">
        <v>78</v>
      </c>
      <c r="L212" t="s">
        <v>192</v>
      </c>
      <c r="M212" t="s">
        <v>193</v>
      </c>
      <c r="N212" t="s">
        <v>194</v>
      </c>
      <c r="O212" t="s">
        <v>80</v>
      </c>
      <c r="P212" t="str">
        <f>"CT071689                      "</f>
        <v xml:space="preserve">CT071689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29.95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0.6</v>
      </c>
      <c r="BJ212">
        <v>1.8</v>
      </c>
      <c r="BK212">
        <v>2</v>
      </c>
      <c r="BL212">
        <v>114.31</v>
      </c>
      <c r="BM212">
        <v>17.149999999999999</v>
      </c>
      <c r="BN212">
        <v>131.46</v>
      </c>
      <c r="BO212">
        <v>131.46</v>
      </c>
      <c r="BQ212" t="s">
        <v>195</v>
      </c>
      <c r="BR212" t="s">
        <v>82</v>
      </c>
      <c r="BS212" s="3">
        <v>44594</v>
      </c>
      <c r="BT212" s="4">
        <v>0.34722222222222227</v>
      </c>
      <c r="BU212" t="s">
        <v>293</v>
      </c>
      <c r="BV212" t="s">
        <v>101</v>
      </c>
      <c r="BY212">
        <v>8932</v>
      </c>
      <c r="BZ212" t="s">
        <v>87</v>
      </c>
      <c r="CA212" t="s">
        <v>197</v>
      </c>
      <c r="CC212" t="s">
        <v>193</v>
      </c>
      <c r="CD212">
        <v>2515</v>
      </c>
      <c r="CE212" t="s">
        <v>198</v>
      </c>
      <c r="CF212" s="3">
        <v>44594</v>
      </c>
      <c r="CI212">
        <v>1</v>
      </c>
      <c r="CJ212">
        <v>1</v>
      </c>
      <c r="CK212">
        <v>23</v>
      </c>
      <c r="CL212" t="s">
        <v>84</v>
      </c>
    </row>
    <row r="213" spans="1:90" x14ac:dyDescent="0.25">
      <c r="A213" t="s">
        <v>72</v>
      </c>
      <c r="B213" t="s">
        <v>73</v>
      </c>
      <c r="C213" t="s">
        <v>74</v>
      </c>
      <c r="E213" t="str">
        <f>"GAB2008032"</f>
        <v>GAB2008032</v>
      </c>
      <c r="F213" s="3">
        <v>44593</v>
      </c>
      <c r="G213">
        <v>202208</v>
      </c>
      <c r="H213" t="s">
        <v>75</v>
      </c>
      <c r="I213" t="s">
        <v>76</v>
      </c>
      <c r="J213" t="s">
        <v>77</v>
      </c>
      <c r="K213" t="s">
        <v>78</v>
      </c>
      <c r="L213" t="s">
        <v>815</v>
      </c>
      <c r="M213" t="s">
        <v>816</v>
      </c>
      <c r="N213" t="s">
        <v>817</v>
      </c>
      <c r="O213" t="s">
        <v>80</v>
      </c>
      <c r="P213" t="str">
        <f>"CT071690                      "</f>
        <v xml:space="preserve">CT071690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57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0.2</v>
      </c>
      <c r="BJ213">
        <v>3.6</v>
      </c>
      <c r="BK213">
        <v>4</v>
      </c>
      <c r="BL213">
        <v>217.56</v>
      </c>
      <c r="BM213">
        <v>32.630000000000003</v>
      </c>
      <c r="BN213">
        <v>250.19</v>
      </c>
      <c r="BO213">
        <v>250.19</v>
      </c>
      <c r="BQ213" t="s">
        <v>818</v>
      </c>
      <c r="BR213" t="s">
        <v>82</v>
      </c>
      <c r="BS213" s="3">
        <v>44596</v>
      </c>
      <c r="BT213" s="4">
        <v>0.44097222222222227</v>
      </c>
      <c r="BU213" t="s">
        <v>819</v>
      </c>
      <c r="BV213" t="s">
        <v>101</v>
      </c>
      <c r="BY213">
        <v>17792.189999999999</v>
      </c>
      <c r="BZ213" t="s">
        <v>87</v>
      </c>
      <c r="CA213" t="s">
        <v>820</v>
      </c>
      <c r="CC213" t="s">
        <v>816</v>
      </c>
      <c r="CD213">
        <v>8800</v>
      </c>
      <c r="CE213" t="s">
        <v>89</v>
      </c>
      <c r="CF213" s="3">
        <v>44599</v>
      </c>
      <c r="CI213">
        <v>3</v>
      </c>
      <c r="CJ213">
        <v>3</v>
      </c>
      <c r="CK213">
        <v>23</v>
      </c>
      <c r="CL213" t="s">
        <v>84</v>
      </c>
    </row>
    <row r="214" spans="1:90" x14ac:dyDescent="0.25">
      <c r="A214" t="s">
        <v>72</v>
      </c>
      <c r="B214" t="s">
        <v>73</v>
      </c>
      <c r="C214" t="s">
        <v>74</v>
      </c>
      <c r="E214" t="str">
        <f>"GAB2008021"</f>
        <v>GAB2008021</v>
      </c>
      <c r="F214" s="3">
        <v>44593</v>
      </c>
      <c r="G214">
        <v>202208</v>
      </c>
      <c r="H214" t="s">
        <v>75</v>
      </c>
      <c r="I214" t="s">
        <v>76</v>
      </c>
      <c r="J214" t="s">
        <v>77</v>
      </c>
      <c r="K214" t="s">
        <v>78</v>
      </c>
      <c r="L214" t="s">
        <v>153</v>
      </c>
      <c r="M214" t="s">
        <v>154</v>
      </c>
      <c r="N214" t="s">
        <v>462</v>
      </c>
      <c r="O214" t="s">
        <v>80</v>
      </c>
      <c r="P214" t="str">
        <f>"CT071671                      "</f>
        <v xml:space="preserve">CT071671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15.46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0.6</v>
      </c>
      <c r="BJ214">
        <v>1.8</v>
      </c>
      <c r="BK214">
        <v>2</v>
      </c>
      <c r="BL214">
        <v>59</v>
      </c>
      <c r="BM214">
        <v>8.85</v>
      </c>
      <c r="BN214">
        <v>67.849999999999994</v>
      </c>
      <c r="BO214">
        <v>67.849999999999994</v>
      </c>
      <c r="BQ214" t="s">
        <v>821</v>
      </c>
      <c r="BR214" t="s">
        <v>82</v>
      </c>
      <c r="BS214" s="3">
        <v>44594</v>
      </c>
      <c r="BT214" s="4">
        <v>0.35486111111111113</v>
      </c>
      <c r="BU214" t="s">
        <v>464</v>
      </c>
      <c r="BV214" t="s">
        <v>101</v>
      </c>
      <c r="BY214">
        <v>9215.15</v>
      </c>
      <c r="BZ214" t="s">
        <v>87</v>
      </c>
      <c r="CA214" t="s">
        <v>465</v>
      </c>
      <c r="CC214" t="s">
        <v>154</v>
      </c>
      <c r="CD214">
        <v>2021</v>
      </c>
      <c r="CE214" t="s">
        <v>554</v>
      </c>
      <c r="CF214" s="3">
        <v>44594</v>
      </c>
      <c r="CI214">
        <v>1</v>
      </c>
      <c r="CJ214">
        <v>1</v>
      </c>
      <c r="CK214">
        <v>21</v>
      </c>
      <c r="CL214" t="s">
        <v>84</v>
      </c>
    </row>
    <row r="215" spans="1:90" x14ac:dyDescent="0.25">
      <c r="A215" t="s">
        <v>72</v>
      </c>
      <c r="B215" t="s">
        <v>73</v>
      </c>
      <c r="C215" t="s">
        <v>74</v>
      </c>
      <c r="E215" t="str">
        <f>"GAB2008020"</f>
        <v>GAB2008020</v>
      </c>
      <c r="F215" s="3">
        <v>44593</v>
      </c>
      <c r="G215">
        <v>202208</v>
      </c>
      <c r="H215" t="s">
        <v>75</v>
      </c>
      <c r="I215" t="s">
        <v>76</v>
      </c>
      <c r="J215" t="s">
        <v>77</v>
      </c>
      <c r="K215" t="s">
        <v>78</v>
      </c>
      <c r="L215" t="s">
        <v>453</v>
      </c>
      <c r="M215" t="s">
        <v>454</v>
      </c>
      <c r="N215" t="s">
        <v>455</v>
      </c>
      <c r="O215" t="s">
        <v>80</v>
      </c>
      <c r="P215" t="str">
        <f>"CT071672                      "</f>
        <v xml:space="preserve">CT071672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36.71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0.3</v>
      </c>
      <c r="BJ215">
        <v>2.5</v>
      </c>
      <c r="BK215">
        <v>2.5</v>
      </c>
      <c r="BL215">
        <v>140.12</v>
      </c>
      <c r="BM215">
        <v>21.02</v>
      </c>
      <c r="BN215">
        <v>161.13999999999999</v>
      </c>
      <c r="BO215">
        <v>161.13999999999999</v>
      </c>
      <c r="BQ215" t="s">
        <v>745</v>
      </c>
      <c r="BR215" t="s">
        <v>82</v>
      </c>
      <c r="BS215" s="3">
        <v>44594</v>
      </c>
      <c r="BT215" s="4">
        <v>0.59305555555555556</v>
      </c>
      <c r="BU215" t="s">
        <v>822</v>
      </c>
      <c r="BV215" t="s">
        <v>101</v>
      </c>
      <c r="BY215">
        <v>12521.57</v>
      </c>
      <c r="BZ215" t="s">
        <v>87</v>
      </c>
      <c r="CA215" t="s">
        <v>747</v>
      </c>
      <c r="CC215" t="s">
        <v>454</v>
      </c>
      <c r="CD215">
        <v>555</v>
      </c>
      <c r="CE215" t="s">
        <v>97</v>
      </c>
      <c r="CF215" s="3">
        <v>44594</v>
      </c>
      <c r="CI215">
        <v>1</v>
      </c>
      <c r="CJ215">
        <v>1</v>
      </c>
      <c r="CK215">
        <v>23</v>
      </c>
      <c r="CL215" t="s">
        <v>84</v>
      </c>
    </row>
    <row r="216" spans="1:90" x14ac:dyDescent="0.25">
      <c r="A216" t="s">
        <v>72</v>
      </c>
      <c r="B216" t="s">
        <v>73</v>
      </c>
      <c r="C216" t="s">
        <v>74</v>
      </c>
      <c r="E216" t="str">
        <f>"GAB2008019"</f>
        <v>GAB2008019</v>
      </c>
      <c r="F216" s="3">
        <v>44593</v>
      </c>
      <c r="G216">
        <v>202208</v>
      </c>
      <c r="H216" t="s">
        <v>75</v>
      </c>
      <c r="I216" t="s">
        <v>76</v>
      </c>
      <c r="J216" t="s">
        <v>77</v>
      </c>
      <c r="K216" t="s">
        <v>78</v>
      </c>
      <c r="L216" t="s">
        <v>75</v>
      </c>
      <c r="M216" t="s">
        <v>76</v>
      </c>
      <c r="N216" t="s">
        <v>98</v>
      </c>
      <c r="O216" t="s">
        <v>80</v>
      </c>
      <c r="P216" t="str">
        <f>"CT071673                      "</f>
        <v xml:space="preserve">CT071673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12.07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0.8</v>
      </c>
      <c r="BJ216">
        <v>1.9</v>
      </c>
      <c r="BK216">
        <v>2</v>
      </c>
      <c r="BL216">
        <v>46.08</v>
      </c>
      <c r="BM216">
        <v>6.91</v>
      </c>
      <c r="BN216">
        <v>52.99</v>
      </c>
      <c r="BO216">
        <v>52.99</v>
      </c>
      <c r="BQ216" t="s">
        <v>99</v>
      </c>
      <c r="BR216" t="s">
        <v>82</v>
      </c>
      <c r="BS216" s="3">
        <v>44594</v>
      </c>
      <c r="BT216" s="4">
        <v>0.4375</v>
      </c>
      <c r="BU216" t="s">
        <v>100</v>
      </c>
      <c r="BV216" t="s">
        <v>101</v>
      </c>
      <c r="BY216">
        <v>9396</v>
      </c>
      <c r="BZ216" t="s">
        <v>87</v>
      </c>
      <c r="CA216" t="s">
        <v>102</v>
      </c>
      <c r="CC216" t="s">
        <v>76</v>
      </c>
      <c r="CD216">
        <v>7800</v>
      </c>
      <c r="CE216" t="s">
        <v>495</v>
      </c>
      <c r="CF216" s="3">
        <v>44595</v>
      </c>
      <c r="CI216">
        <v>1</v>
      </c>
      <c r="CJ216">
        <v>1</v>
      </c>
      <c r="CK216">
        <v>22</v>
      </c>
      <c r="CL216" t="s">
        <v>84</v>
      </c>
    </row>
    <row r="217" spans="1:90" x14ac:dyDescent="0.25">
      <c r="A217" t="s">
        <v>72</v>
      </c>
      <c r="B217" t="s">
        <v>73</v>
      </c>
      <c r="C217" t="s">
        <v>74</v>
      </c>
      <c r="E217" t="str">
        <f>"009940857724"</f>
        <v>009940857724</v>
      </c>
      <c r="F217" s="3">
        <v>44593</v>
      </c>
      <c r="G217">
        <v>202208</v>
      </c>
      <c r="H217" t="s">
        <v>109</v>
      </c>
      <c r="I217" t="s">
        <v>110</v>
      </c>
      <c r="J217" t="s">
        <v>133</v>
      </c>
      <c r="K217" t="s">
        <v>78</v>
      </c>
      <c r="L217" t="s">
        <v>123</v>
      </c>
      <c r="M217" t="s">
        <v>124</v>
      </c>
      <c r="N217" t="s">
        <v>111</v>
      </c>
      <c r="O217" t="s">
        <v>80</v>
      </c>
      <c r="P217" t="str">
        <f>"NA                            "</f>
        <v xml:space="preserve">NA   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19.32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2.5</v>
      </c>
      <c r="BJ217">
        <v>2</v>
      </c>
      <c r="BK217">
        <v>2.5</v>
      </c>
      <c r="BL217">
        <v>73.739999999999995</v>
      </c>
      <c r="BM217">
        <v>11.06</v>
      </c>
      <c r="BN217">
        <v>84.8</v>
      </c>
      <c r="BO217">
        <v>84.8</v>
      </c>
      <c r="BQ217" t="s">
        <v>685</v>
      </c>
      <c r="BR217" t="s">
        <v>140</v>
      </c>
      <c r="BS217" s="3">
        <v>44602</v>
      </c>
      <c r="BT217" s="4">
        <v>0.58333333333333337</v>
      </c>
      <c r="BU217" t="s">
        <v>823</v>
      </c>
      <c r="BV217" t="s">
        <v>84</v>
      </c>
      <c r="BW217" t="s">
        <v>85</v>
      </c>
      <c r="BX217" t="s">
        <v>392</v>
      </c>
      <c r="BY217">
        <v>9883.7999999999993</v>
      </c>
      <c r="BZ217" t="s">
        <v>87</v>
      </c>
      <c r="CC217" t="s">
        <v>124</v>
      </c>
      <c r="CD217">
        <v>6000</v>
      </c>
      <c r="CE217" t="s">
        <v>130</v>
      </c>
      <c r="CF217" s="3">
        <v>44603</v>
      </c>
      <c r="CI217">
        <v>1</v>
      </c>
      <c r="CJ217">
        <v>7</v>
      </c>
      <c r="CK217">
        <v>21</v>
      </c>
      <c r="CL217" t="s">
        <v>84</v>
      </c>
    </row>
    <row r="218" spans="1:90" x14ac:dyDescent="0.25">
      <c r="A218" t="s">
        <v>72</v>
      </c>
      <c r="B218" t="s">
        <v>73</v>
      </c>
      <c r="C218" t="s">
        <v>74</v>
      </c>
      <c r="E218" t="str">
        <f>"GAB2008082"</f>
        <v>GAB2008082</v>
      </c>
      <c r="F218" s="3">
        <v>44595</v>
      </c>
      <c r="G218">
        <v>202208</v>
      </c>
      <c r="H218" t="s">
        <v>75</v>
      </c>
      <c r="I218" t="s">
        <v>76</v>
      </c>
      <c r="J218" t="s">
        <v>77</v>
      </c>
      <c r="K218" t="s">
        <v>78</v>
      </c>
      <c r="L218" t="s">
        <v>75</v>
      </c>
      <c r="M218" t="s">
        <v>76</v>
      </c>
      <c r="N218" t="s">
        <v>374</v>
      </c>
      <c r="O218" t="s">
        <v>80</v>
      </c>
      <c r="P218" t="str">
        <f>"CT071746 CT071744 CT071733    "</f>
        <v xml:space="preserve">CT071746 CT071744 CT071733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13.09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2</v>
      </c>
      <c r="BI218">
        <v>1.1000000000000001</v>
      </c>
      <c r="BJ218">
        <v>4.5</v>
      </c>
      <c r="BK218">
        <v>4.5</v>
      </c>
      <c r="BL218">
        <v>47.1</v>
      </c>
      <c r="BM218">
        <v>7.07</v>
      </c>
      <c r="BN218">
        <v>54.17</v>
      </c>
      <c r="BO218">
        <v>54.17</v>
      </c>
      <c r="BQ218" t="s">
        <v>375</v>
      </c>
      <c r="BR218" t="s">
        <v>82</v>
      </c>
      <c r="BS218" s="3">
        <v>44596</v>
      </c>
      <c r="BT218" s="4">
        <v>0.4069444444444445</v>
      </c>
      <c r="BU218" t="s">
        <v>824</v>
      </c>
      <c r="BV218" t="s">
        <v>101</v>
      </c>
      <c r="BY218">
        <v>22356.82</v>
      </c>
      <c r="BZ218" t="s">
        <v>87</v>
      </c>
      <c r="CA218" t="s">
        <v>377</v>
      </c>
      <c r="CC218" t="s">
        <v>76</v>
      </c>
      <c r="CD218">
        <v>7806</v>
      </c>
      <c r="CE218" t="s">
        <v>825</v>
      </c>
      <c r="CF218" s="3">
        <v>44599</v>
      </c>
      <c r="CI218">
        <v>1</v>
      </c>
      <c r="CJ218">
        <v>1</v>
      </c>
      <c r="CK218">
        <v>22</v>
      </c>
      <c r="CL218" t="s">
        <v>84</v>
      </c>
    </row>
    <row r="219" spans="1:90" x14ac:dyDescent="0.25">
      <c r="A219" t="s">
        <v>72</v>
      </c>
      <c r="B219" t="s">
        <v>73</v>
      </c>
      <c r="C219" t="s">
        <v>74</v>
      </c>
      <c r="E219" t="str">
        <f>"009940857722"</f>
        <v>009940857722</v>
      </c>
      <c r="F219" s="3">
        <v>44593</v>
      </c>
      <c r="G219">
        <v>202208</v>
      </c>
      <c r="H219" t="s">
        <v>109</v>
      </c>
      <c r="I219" t="s">
        <v>110</v>
      </c>
      <c r="J219" t="s">
        <v>133</v>
      </c>
      <c r="K219" t="s">
        <v>78</v>
      </c>
      <c r="L219" t="s">
        <v>75</v>
      </c>
      <c r="M219" t="s">
        <v>76</v>
      </c>
      <c r="N219" t="s">
        <v>826</v>
      </c>
      <c r="O219" t="s">
        <v>125</v>
      </c>
      <c r="P219" t="str">
        <f>"NA                            "</f>
        <v xml:space="preserve">NA   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29.89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2</v>
      </c>
      <c r="BI219">
        <v>5.8</v>
      </c>
      <c r="BJ219">
        <v>7.6</v>
      </c>
      <c r="BK219">
        <v>8</v>
      </c>
      <c r="BL219">
        <v>119.34</v>
      </c>
      <c r="BM219">
        <v>17.899999999999999</v>
      </c>
      <c r="BN219">
        <v>137.24</v>
      </c>
      <c r="BO219">
        <v>137.24</v>
      </c>
      <c r="BQ219" t="s">
        <v>827</v>
      </c>
      <c r="BR219" t="s">
        <v>140</v>
      </c>
      <c r="BS219" s="3">
        <v>44596</v>
      </c>
      <c r="BT219" s="4">
        <v>0.4284722222222222</v>
      </c>
      <c r="BU219" t="s">
        <v>273</v>
      </c>
      <c r="BV219" t="s">
        <v>101</v>
      </c>
      <c r="BY219">
        <v>38171.699999999997</v>
      </c>
      <c r="BZ219" t="s">
        <v>137</v>
      </c>
      <c r="CA219" t="s">
        <v>274</v>
      </c>
      <c r="CC219" t="s">
        <v>76</v>
      </c>
      <c r="CD219">
        <v>7460</v>
      </c>
      <c r="CE219" t="s">
        <v>130</v>
      </c>
      <c r="CF219" s="3">
        <v>44599</v>
      </c>
      <c r="CI219">
        <v>3</v>
      </c>
      <c r="CJ219">
        <v>3</v>
      </c>
      <c r="CK219">
        <v>41</v>
      </c>
      <c r="CL219" t="s">
        <v>84</v>
      </c>
    </row>
    <row r="220" spans="1:90" x14ac:dyDescent="0.25">
      <c r="A220" t="s">
        <v>72</v>
      </c>
      <c r="B220" t="s">
        <v>73</v>
      </c>
      <c r="C220" t="s">
        <v>74</v>
      </c>
      <c r="E220" t="str">
        <f>"GAB2008075"</f>
        <v>GAB2008075</v>
      </c>
      <c r="F220" s="3">
        <v>44595</v>
      </c>
      <c r="G220">
        <v>202208</v>
      </c>
      <c r="H220" t="s">
        <v>75</v>
      </c>
      <c r="I220" t="s">
        <v>76</v>
      </c>
      <c r="J220" t="s">
        <v>77</v>
      </c>
      <c r="K220" t="s">
        <v>78</v>
      </c>
      <c r="L220" t="s">
        <v>109</v>
      </c>
      <c r="M220" t="s">
        <v>110</v>
      </c>
      <c r="N220" t="s">
        <v>111</v>
      </c>
      <c r="O220" t="s">
        <v>80</v>
      </c>
      <c r="P220" t="str">
        <f>"ATT MINETTE LABUSCHAGNE       "</f>
        <v xml:space="preserve">ATT MINETTE LABUSCHAGNE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29.33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0.3</v>
      </c>
      <c r="BJ220">
        <v>3.2</v>
      </c>
      <c r="BK220">
        <v>3.5</v>
      </c>
      <c r="BL220">
        <v>105.51</v>
      </c>
      <c r="BM220">
        <v>15.83</v>
      </c>
      <c r="BN220">
        <v>121.34</v>
      </c>
      <c r="BO220">
        <v>121.34</v>
      </c>
      <c r="BQ220" t="s">
        <v>640</v>
      </c>
      <c r="BR220" t="s">
        <v>82</v>
      </c>
      <c r="BS220" s="3">
        <v>44596</v>
      </c>
      <c r="BT220" s="4">
        <v>0.37361111111111112</v>
      </c>
      <c r="BU220" t="s">
        <v>128</v>
      </c>
      <c r="BV220" t="s">
        <v>101</v>
      </c>
      <c r="BY220">
        <v>15881.91</v>
      </c>
      <c r="BZ220" t="s">
        <v>87</v>
      </c>
      <c r="CA220" t="s">
        <v>129</v>
      </c>
      <c r="CC220" t="s">
        <v>110</v>
      </c>
      <c r="CD220">
        <v>157</v>
      </c>
      <c r="CE220" t="s">
        <v>700</v>
      </c>
      <c r="CF220" s="3">
        <v>44596</v>
      </c>
      <c r="CI220">
        <v>1</v>
      </c>
      <c r="CJ220">
        <v>1</v>
      </c>
      <c r="CK220">
        <v>21</v>
      </c>
      <c r="CL220" t="s">
        <v>84</v>
      </c>
    </row>
    <row r="221" spans="1:90" x14ac:dyDescent="0.25">
      <c r="A221" t="s">
        <v>72</v>
      </c>
      <c r="B221" t="s">
        <v>73</v>
      </c>
      <c r="C221" t="s">
        <v>74</v>
      </c>
      <c r="E221" t="str">
        <f>"GAB2008085"</f>
        <v>GAB2008085</v>
      </c>
      <c r="F221" s="3">
        <v>44595</v>
      </c>
      <c r="G221">
        <v>202208</v>
      </c>
      <c r="H221" t="s">
        <v>75</v>
      </c>
      <c r="I221" t="s">
        <v>76</v>
      </c>
      <c r="J221" t="s">
        <v>77</v>
      </c>
      <c r="K221" t="s">
        <v>78</v>
      </c>
      <c r="L221" t="s">
        <v>202</v>
      </c>
      <c r="M221" t="s">
        <v>203</v>
      </c>
      <c r="N221" t="s">
        <v>204</v>
      </c>
      <c r="O221" t="s">
        <v>80</v>
      </c>
      <c r="P221" t="str">
        <f>"006842                        "</f>
        <v xml:space="preserve">006842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29.33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0.4</v>
      </c>
      <c r="BJ221">
        <v>3.3</v>
      </c>
      <c r="BK221">
        <v>3.5</v>
      </c>
      <c r="BL221">
        <v>105.51</v>
      </c>
      <c r="BM221">
        <v>15.83</v>
      </c>
      <c r="BN221">
        <v>121.34</v>
      </c>
      <c r="BO221">
        <v>121.34</v>
      </c>
      <c r="BQ221" t="s">
        <v>828</v>
      </c>
      <c r="BR221" t="s">
        <v>82</v>
      </c>
      <c r="BS221" s="3">
        <v>44596</v>
      </c>
      <c r="BT221" s="4">
        <v>0.37152777777777773</v>
      </c>
      <c r="BU221" t="s">
        <v>829</v>
      </c>
      <c r="BV221" t="s">
        <v>101</v>
      </c>
      <c r="BY221">
        <v>16475.66</v>
      </c>
      <c r="BZ221" t="s">
        <v>87</v>
      </c>
      <c r="CA221" t="s">
        <v>207</v>
      </c>
      <c r="CC221" t="s">
        <v>203</v>
      </c>
      <c r="CD221">
        <v>1724</v>
      </c>
      <c r="CE221" t="s">
        <v>830</v>
      </c>
      <c r="CF221" s="3">
        <v>44597</v>
      </c>
      <c r="CI221">
        <v>1</v>
      </c>
      <c r="CJ221">
        <v>1</v>
      </c>
      <c r="CK221">
        <v>21</v>
      </c>
      <c r="CL221" t="s">
        <v>84</v>
      </c>
    </row>
    <row r="222" spans="1:90" x14ac:dyDescent="0.25">
      <c r="A222" t="s">
        <v>72</v>
      </c>
      <c r="B222" t="s">
        <v>73</v>
      </c>
      <c r="C222" t="s">
        <v>74</v>
      </c>
      <c r="E222" t="str">
        <f>"GAB2008083"</f>
        <v>GAB2008083</v>
      </c>
      <c r="F222" s="3">
        <v>44595</v>
      </c>
      <c r="G222">
        <v>202208</v>
      </c>
      <c r="H222" t="s">
        <v>75</v>
      </c>
      <c r="I222" t="s">
        <v>76</v>
      </c>
      <c r="J222" t="s">
        <v>77</v>
      </c>
      <c r="K222" t="s">
        <v>78</v>
      </c>
      <c r="L222" t="s">
        <v>75</v>
      </c>
      <c r="M222" t="s">
        <v>76</v>
      </c>
      <c r="N222" t="s">
        <v>577</v>
      </c>
      <c r="O222" t="s">
        <v>80</v>
      </c>
      <c r="P222" t="str">
        <f>"CT071749                      "</f>
        <v xml:space="preserve">CT071749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13.09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0.2</v>
      </c>
      <c r="BJ222">
        <v>2.9</v>
      </c>
      <c r="BK222">
        <v>3</v>
      </c>
      <c r="BL222">
        <v>47.1</v>
      </c>
      <c r="BM222">
        <v>7.07</v>
      </c>
      <c r="BN222">
        <v>54.17</v>
      </c>
      <c r="BO222">
        <v>54.17</v>
      </c>
      <c r="BQ222" t="s">
        <v>578</v>
      </c>
      <c r="BR222" t="s">
        <v>82</v>
      </c>
      <c r="BS222" s="3">
        <v>44596</v>
      </c>
      <c r="BT222" s="4">
        <v>0.37777777777777777</v>
      </c>
      <c r="BU222" t="s">
        <v>831</v>
      </c>
      <c r="BV222" t="s">
        <v>101</v>
      </c>
      <c r="BY222">
        <v>14556.85</v>
      </c>
      <c r="BZ222" t="s">
        <v>87</v>
      </c>
      <c r="CA222" t="s">
        <v>683</v>
      </c>
      <c r="CC222" t="s">
        <v>76</v>
      </c>
      <c r="CD222">
        <v>7800</v>
      </c>
      <c r="CE222" t="s">
        <v>288</v>
      </c>
      <c r="CF222" s="3">
        <v>44599</v>
      </c>
      <c r="CI222">
        <v>1</v>
      </c>
      <c r="CJ222">
        <v>1</v>
      </c>
      <c r="CK222">
        <v>22</v>
      </c>
      <c r="CL222" t="s">
        <v>84</v>
      </c>
    </row>
    <row r="223" spans="1:90" x14ac:dyDescent="0.25">
      <c r="A223" t="s">
        <v>72</v>
      </c>
      <c r="B223" t="s">
        <v>73</v>
      </c>
      <c r="C223" t="s">
        <v>74</v>
      </c>
      <c r="E223" t="str">
        <f>"GAB2008081"</f>
        <v>GAB2008081</v>
      </c>
      <c r="F223" s="3">
        <v>44595</v>
      </c>
      <c r="G223">
        <v>202208</v>
      </c>
      <c r="H223" t="s">
        <v>75</v>
      </c>
      <c r="I223" t="s">
        <v>76</v>
      </c>
      <c r="J223" t="s">
        <v>77</v>
      </c>
      <c r="K223" t="s">
        <v>78</v>
      </c>
      <c r="L223" t="s">
        <v>109</v>
      </c>
      <c r="M223" t="s">
        <v>110</v>
      </c>
      <c r="N223" t="s">
        <v>216</v>
      </c>
      <c r="O223" t="s">
        <v>125</v>
      </c>
      <c r="P223" t="str">
        <f>"CT071748                      "</f>
        <v xml:space="preserve">CT071748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32.42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2.7</v>
      </c>
      <c r="BJ223">
        <v>6.4</v>
      </c>
      <c r="BK223">
        <v>7</v>
      </c>
      <c r="BL223">
        <v>121.87</v>
      </c>
      <c r="BM223">
        <v>18.28</v>
      </c>
      <c r="BN223">
        <v>140.15</v>
      </c>
      <c r="BO223">
        <v>140.15</v>
      </c>
      <c r="BQ223" t="s">
        <v>217</v>
      </c>
      <c r="BR223" t="s">
        <v>82</v>
      </c>
      <c r="BS223" s="3">
        <v>44599</v>
      </c>
      <c r="BT223" s="4">
        <v>0.43263888888888885</v>
      </c>
      <c r="BU223" t="s">
        <v>832</v>
      </c>
      <c r="BV223" t="s">
        <v>101</v>
      </c>
      <c r="BY223">
        <v>32192.16</v>
      </c>
      <c r="CA223" t="s">
        <v>396</v>
      </c>
      <c r="CC223" t="s">
        <v>110</v>
      </c>
      <c r="CD223">
        <v>157</v>
      </c>
      <c r="CE223" t="s">
        <v>130</v>
      </c>
      <c r="CF223" s="3">
        <v>44599</v>
      </c>
      <c r="CI223">
        <v>2</v>
      </c>
      <c r="CJ223">
        <v>2</v>
      </c>
      <c r="CK223">
        <v>41</v>
      </c>
      <c r="CL223" t="s">
        <v>84</v>
      </c>
    </row>
    <row r="224" spans="1:90" x14ac:dyDescent="0.25">
      <c r="A224" t="s">
        <v>72</v>
      </c>
      <c r="B224" t="s">
        <v>73</v>
      </c>
      <c r="C224" t="s">
        <v>74</v>
      </c>
      <c r="E224" t="str">
        <f>"GAB2008073"</f>
        <v>GAB2008073</v>
      </c>
      <c r="F224" s="3">
        <v>44595</v>
      </c>
      <c r="G224">
        <v>202208</v>
      </c>
      <c r="H224" t="s">
        <v>75</v>
      </c>
      <c r="I224" t="s">
        <v>76</v>
      </c>
      <c r="J224" t="s">
        <v>77</v>
      </c>
      <c r="K224" t="s">
        <v>78</v>
      </c>
      <c r="L224" t="s">
        <v>75</v>
      </c>
      <c r="M224" t="s">
        <v>76</v>
      </c>
      <c r="N224" t="s">
        <v>98</v>
      </c>
      <c r="O224" t="s">
        <v>80</v>
      </c>
      <c r="P224" t="str">
        <f>"CT071738                      "</f>
        <v xml:space="preserve">CT071738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13.09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0.1</v>
      </c>
      <c r="BJ224">
        <v>1.8</v>
      </c>
      <c r="BK224">
        <v>2</v>
      </c>
      <c r="BL224">
        <v>47.1</v>
      </c>
      <c r="BM224">
        <v>7.07</v>
      </c>
      <c r="BN224">
        <v>54.17</v>
      </c>
      <c r="BO224">
        <v>54.17</v>
      </c>
      <c r="BQ224" t="s">
        <v>99</v>
      </c>
      <c r="BR224" t="s">
        <v>82</v>
      </c>
      <c r="BS224" s="3">
        <v>44596</v>
      </c>
      <c r="BT224" s="4">
        <v>0.37847222222222227</v>
      </c>
      <c r="BU224" t="s">
        <v>833</v>
      </c>
      <c r="BV224" t="s">
        <v>101</v>
      </c>
      <c r="BY224">
        <v>9074</v>
      </c>
      <c r="BZ224" t="s">
        <v>87</v>
      </c>
      <c r="CA224" t="s">
        <v>683</v>
      </c>
      <c r="CC224" t="s">
        <v>76</v>
      </c>
      <c r="CD224">
        <v>7800</v>
      </c>
      <c r="CE224" t="s">
        <v>89</v>
      </c>
      <c r="CF224" s="3">
        <v>44599</v>
      </c>
      <c r="CI224">
        <v>1</v>
      </c>
      <c r="CJ224">
        <v>1</v>
      </c>
      <c r="CK224">
        <v>22</v>
      </c>
      <c r="CL224" t="s">
        <v>84</v>
      </c>
    </row>
    <row r="225" spans="1:90" x14ac:dyDescent="0.25">
      <c r="A225" t="s">
        <v>72</v>
      </c>
      <c r="B225" t="s">
        <v>73</v>
      </c>
      <c r="C225" t="s">
        <v>74</v>
      </c>
      <c r="E225" t="str">
        <f>"GAB2008069"</f>
        <v>GAB2008069</v>
      </c>
      <c r="F225" s="3">
        <v>44595</v>
      </c>
      <c r="G225">
        <v>202208</v>
      </c>
      <c r="H225" t="s">
        <v>75</v>
      </c>
      <c r="I225" t="s">
        <v>76</v>
      </c>
      <c r="J225" t="s">
        <v>77</v>
      </c>
      <c r="K225" t="s">
        <v>78</v>
      </c>
      <c r="L225" t="s">
        <v>75</v>
      </c>
      <c r="M225" t="s">
        <v>76</v>
      </c>
      <c r="N225" t="s">
        <v>834</v>
      </c>
      <c r="O225" t="s">
        <v>80</v>
      </c>
      <c r="P225" t="str">
        <f>"CT071735                      "</f>
        <v xml:space="preserve">CT071735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13.09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0.2</v>
      </c>
      <c r="BJ225">
        <v>2.5</v>
      </c>
      <c r="BK225">
        <v>2.5</v>
      </c>
      <c r="BL225">
        <v>47.1</v>
      </c>
      <c r="BM225">
        <v>7.07</v>
      </c>
      <c r="BN225">
        <v>54.17</v>
      </c>
      <c r="BO225">
        <v>54.17</v>
      </c>
      <c r="BQ225" t="s">
        <v>835</v>
      </c>
      <c r="BR225" t="s">
        <v>82</v>
      </c>
      <c r="BS225" s="3">
        <v>44596</v>
      </c>
      <c r="BT225" s="4">
        <v>0.40972222222222227</v>
      </c>
      <c r="BU225" t="s">
        <v>836</v>
      </c>
      <c r="BV225" t="s">
        <v>101</v>
      </c>
      <c r="BY225">
        <v>12610</v>
      </c>
      <c r="BZ225" t="s">
        <v>87</v>
      </c>
      <c r="CA225" t="s">
        <v>377</v>
      </c>
      <c r="CC225" t="s">
        <v>76</v>
      </c>
      <c r="CD225">
        <v>7975</v>
      </c>
      <c r="CE225" t="s">
        <v>103</v>
      </c>
      <c r="CF225" s="3">
        <v>44599</v>
      </c>
      <c r="CI225">
        <v>1</v>
      </c>
      <c r="CJ225">
        <v>1</v>
      </c>
      <c r="CK225">
        <v>22</v>
      </c>
      <c r="CL225" t="s">
        <v>84</v>
      </c>
    </row>
    <row r="226" spans="1:90" x14ac:dyDescent="0.25">
      <c r="A226" t="s">
        <v>72</v>
      </c>
      <c r="B226" t="s">
        <v>73</v>
      </c>
      <c r="C226" t="s">
        <v>74</v>
      </c>
      <c r="E226" t="str">
        <f>"GAB2008074"</f>
        <v>GAB2008074</v>
      </c>
      <c r="F226" s="3">
        <v>44595</v>
      </c>
      <c r="G226">
        <v>202208</v>
      </c>
      <c r="H226" t="s">
        <v>75</v>
      </c>
      <c r="I226" t="s">
        <v>76</v>
      </c>
      <c r="J226" t="s">
        <v>77</v>
      </c>
      <c r="K226" t="s">
        <v>78</v>
      </c>
      <c r="L226" t="s">
        <v>642</v>
      </c>
      <c r="M226" t="s">
        <v>643</v>
      </c>
      <c r="N226" t="s">
        <v>644</v>
      </c>
      <c r="O226" t="s">
        <v>80</v>
      </c>
      <c r="P226" t="str">
        <f>"CT071739                      "</f>
        <v xml:space="preserve">CT071739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47.15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15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0.8</v>
      </c>
      <c r="BJ226">
        <v>2.6</v>
      </c>
      <c r="BK226">
        <v>3</v>
      </c>
      <c r="BL226">
        <v>184.61</v>
      </c>
      <c r="BM226">
        <v>27.69</v>
      </c>
      <c r="BN226">
        <v>212.3</v>
      </c>
      <c r="BO226">
        <v>212.3</v>
      </c>
      <c r="BQ226" t="s">
        <v>645</v>
      </c>
      <c r="BR226" t="s">
        <v>82</v>
      </c>
      <c r="BS226" s="3">
        <v>44596</v>
      </c>
      <c r="BT226" s="4">
        <v>0.55902777777777779</v>
      </c>
      <c r="BU226" t="s">
        <v>837</v>
      </c>
      <c r="BV226" t="s">
        <v>84</v>
      </c>
      <c r="BW226" t="s">
        <v>838</v>
      </c>
      <c r="BX226" t="s">
        <v>839</v>
      </c>
      <c r="BY226">
        <v>13185.9</v>
      </c>
      <c r="BZ226" t="s">
        <v>121</v>
      </c>
      <c r="CA226" t="s">
        <v>840</v>
      </c>
      <c r="CC226" t="s">
        <v>643</v>
      </c>
      <c r="CD226">
        <v>250</v>
      </c>
      <c r="CE226" t="s">
        <v>841</v>
      </c>
      <c r="CF226" s="3">
        <v>44599</v>
      </c>
      <c r="CI226">
        <v>1</v>
      </c>
      <c r="CJ226">
        <v>1</v>
      </c>
      <c r="CK226">
        <v>23</v>
      </c>
      <c r="CL226" t="s">
        <v>84</v>
      </c>
    </row>
    <row r="227" spans="1:90" x14ac:dyDescent="0.25">
      <c r="A227" t="s">
        <v>72</v>
      </c>
      <c r="B227" t="s">
        <v>73</v>
      </c>
      <c r="C227" t="s">
        <v>74</v>
      </c>
      <c r="E227" t="str">
        <f>"GAB2008084"</f>
        <v>GAB2008084</v>
      </c>
      <c r="F227" s="3">
        <v>44595</v>
      </c>
      <c r="G227">
        <v>202208</v>
      </c>
      <c r="H227" t="s">
        <v>75</v>
      </c>
      <c r="I227" t="s">
        <v>76</v>
      </c>
      <c r="J227" t="s">
        <v>77</v>
      </c>
      <c r="K227" t="s">
        <v>78</v>
      </c>
      <c r="L227" t="s">
        <v>109</v>
      </c>
      <c r="M227" t="s">
        <v>110</v>
      </c>
      <c r="N227" t="s">
        <v>394</v>
      </c>
      <c r="O227" t="s">
        <v>125</v>
      </c>
      <c r="P227" t="str">
        <f>"CT071734 CT071751             "</f>
        <v xml:space="preserve">CT071734 CT071751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80.510000000000005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2</v>
      </c>
      <c r="BI227">
        <v>19.7</v>
      </c>
      <c r="BJ227">
        <v>50.5</v>
      </c>
      <c r="BK227">
        <v>51</v>
      </c>
      <c r="BL227">
        <v>294.88</v>
      </c>
      <c r="BM227">
        <v>44.23</v>
      </c>
      <c r="BN227">
        <v>339.11</v>
      </c>
      <c r="BO227">
        <v>339.11</v>
      </c>
      <c r="BQ227" t="s">
        <v>395</v>
      </c>
      <c r="BR227" t="s">
        <v>82</v>
      </c>
      <c r="BS227" s="3">
        <v>44599</v>
      </c>
      <c r="BT227" s="4">
        <v>0.43263888888888885</v>
      </c>
      <c r="BU227" t="s">
        <v>701</v>
      </c>
      <c r="BV227" t="s">
        <v>101</v>
      </c>
      <c r="BY227">
        <v>252575.4</v>
      </c>
      <c r="CA227" t="s">
        <v>396</v>
      </c>
      <c r="CC227" t="s">
        <v>110</v>
      </c>
      <c r="CD227">
        <v>157</v>
      </c>
      <c r="CE227" t="s">
        <v>130</v>
      </c>
      <c r="CF227" s="3">
        <v>44599</v>
      </c>
      <c r="CI227">
        <v>2</v>
      </c>
      <c r="CJ227">
        <v>2</v>
      </c>
      <c r="CK227">
        <v>41</v>
      </c>
      <c r="CL227" t="s">
        <v>84</v>
      </c>
    </row>
    <row r="228" spans="1:90" x14ac:dyDescent="0.25">
      <c r="A228" t="s">
        <v>72</v>
      </c>
      <c r="B228" t="s">
        <v>73</v>
      </c>
      <c r="C228" t="s">
        <v>74</v>
      </c>
      <c r="E228" t="str">
        <f>"009940857726"</f>
        <v>009940857726</v>
      </c>
      <c r="F228" s="3">
        <v>44595</v>
      </c>
      <c r="G228">
        <v>202208</v>
      </c>
      <c r="H228" t="s">
        <v>109</v>
      </c>
      <c r="I228" t="s">
        <v>110</v>
      </c>
      <c r="J228" t="s">
        <v>133</v>
      </c>
      <c r="K228" t="s">
        <v>78</v>
      </c>
      <c r="L228" t="s">
        <v>131</v>
      </c>
      <c r="M228" t="s">
        <v>132</v>
      </c>
      <c r="N228" t="s">
        <v>111</v>
      </c>
      <c r="O228" t="s">
        <v>125</v>
      </c>
      <c r="P228" t="str">
        <f>".                             "</f>
        <v xml:space="preserve">.     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32.42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8</v>
      </c>
      <c r="BJ228">
        <v>7.3</v>
      </c>
      <c r="BK228">
        <v>8</v>
      </c>
      <c r="BL228">
        <v>121.87</v>
      </c>
      <c r="BM228">
        <v>18.28</v>
      </c>
      <c r="BN228">
        <v>140.15</v>
      </c>
      <c r="BO228">
        <v>140.15</v>
      </c>
      <c r="BQ228" t="s">
        <v>842</v>
      </c>
      <c r="BR228" t="s">
        <v>843</v>
      </c>
      <c r="BS228" s="3">
        <v>44596</v>
      </c>
      <c r="BT228" s="4">
        <v>0.55972222222222223</v>
      </c>
      <c r="BU228" t="s">
        <v>844</v>
      </c>
      <c r="BV228" t="s">
        <v>101</v>
      </c>
      <c r="BY228">
        <v>36400.9</v>
      </c>
      <c r="BZ228" t="s">
        <v>137</v>
      </c>
      <c r="CC228" t="s">
        <v>132</v>
      </c>
      <c r="CD228">
        <v>4000</v>
      </c>
      <c r="CE228" t="s">
        <v>130</v>
      </c>
      <c r="CF228" s="3">
        <v>44596</v>
      </c>
      <c r="CI228">
        <v>2</v>
      </c>
      <c r="CJ228">
        <v>1</v>
      </c>
      <c r="CK228">
        <v>41</v>
      </c>
      <c r="CL228" t="s">
        <v>84</v>
      </c>
    </row>
    <row r="229" spans="1:90" x14ac:dyDescent="0.25">
      <c r="A229" t="s">
        <v>72</v>
      </c>
      <c r="B229" t="s">
        <v>73</v>
      </c>
      <c r="C229" t="s">
        <v>74</v>
      </c>
      <c r="E229" t="str">
        <f>"RGAB2007926"</f>
        <v>RGAB2007926</v>
      </c>
      <c r="F229" s="3">
        <v>44593</v>
      </c>
      <c r="G229">
        <v>202208</v>
      </c>
      <c r="H229" t="s">
        <v>75</v>
      </c>
      <c r="I229" t="s">
        <v>76</v>
      </c>
      <c r="J229" t="s">
        <v>98</v>
      </c>
      <c r="K229" t="s">
        <v>78</v>
      </c>
      <c r="L229" t="s">
        <v>75</v>
      </c>
      <c r="M229" t="s">
        <v>76</v>
      </c>
      <c r="N229" t="s">
        <v>77</v>
      </c>
      <c r="O229" t="s">
        <v>80</v>
      </c>
      <c r="P229" t="str">
        <f>"CT071104 CT071565 CT071564    "</f>
        <v xml:space="preserve">CT071104 CT071565 CT071564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12.07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0.5</v>
      </c>
      <c r="BJ229">
        <v>3</v>
      </c>
      <c r="BK229">
        <v>3</v>
      </c>
      <c r="BL229">
        <v>46.08</v>
      </c>
      <c r="BM229">
        <v>6.91</v>
      </c>
      <c r="BN229">
        <v>52.99</v>
      </c>
      <c r="BO229">
        <v>52.99</v>
      </c>
      <c r="BQ229" t="s">
        <v>82</v>
      </c>
      <c r="BR229" t="s">
        <v>99</v>
      </c>
      <c r="BS229" s="3">
        <v>44594</v>
      </c>
      <c r="BT229" s="4">
        <v>0.4548611111111111</v>
      </c>
      <c r="BU229" t="s">
        <v>480</v>
      </c>
      <c r="BV229" t="s">
        <v>84</v>
      </c>
      <c r="BW229" t="s">
        <v>85</v>
      </c>
      <c r="BX229" t="s">
        <v>86</v>
      </c>
      <c r="BY229">
        <v>15220.64</v>
      </c>
      <c r="BZ229" t="s">
        <v>87</v>
      </c>
      <c r="CA229" t="s">
        <v>274</v>
      </c>
      <c r="CC229" t="s">
        <v>76</v>
      </c>
      <c r="CD229">
        <v>7460</v>
      </c>
      <c r="CE229" t="s">
        <v>580</v>
      </c>
      <c r="CF229" s="3">
        <v>44595</v>
      </c>
      <c r="CI229">
        <v>1</v>
      </c>
      <c r="CJ229">
        <v>1</v>
      </c>
      <c r="CK229">
        <v>22</v>
      </c>
      <c r="CL229" t="s">
        <v>84</v>
      </c>
    </row>
    <row r="230" spans="1:90" x14ac:dyDescent="0.25">
      <c r="A230" t="s">
        <v>72</v>
      </c>
      <c r="B230" t="s">
        <v>73</v>
      </c>
      <c r="C230" t="s">
        <v>74</v>
      </c>
      <c r="E230" t="str">
        <f>"GAB2008011"</f>
        <v>GAB2008011</v>
      </c>
      <c r="F230" s="3">
        <v>44593</v>
      </c>
      <c r="G230">
        <v>202208</v>
      </c>
      <c r="H230" t="s">
        <v>75</v>
      </c>
      <c r="I230" t="s">
        <v>76</v>
      </c>
      <c r="J230" t="s">
        <v>77</v>
      </c>
      <c r="K230" t="s">
        <v>78</v>
      </c>
      <c r="L230" t="s">
        <v>590</v>
      </c>
      <c r="M230" t="s">
        <v>591</v>
      </c>
      <c r="N230" t="s">
        <v>845</v>
      </c>
      <c r="O230" t="s">
        <v>125</v>
      </c>
      <c r="P230" t="str">
        <f>"CT071625                      "</f>
        <v xml:space="preserve">CT071625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42.16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0.9</v>
      </c>
      <c r="BJ230">
        <v>6.1</v>
      </c>
      <c r="BK230">
        <v>7</v>
      </c>
      <c r="BL230">
        <v>166.16</v>
      </c>
      <c r="BM230">
        <v>24.92</v>
      </c>
      <c r="BN230">
        <v>191.08</v>
      </c>
      <c r="BO230">
        <v>191.08</v>
      </c>
      <c r="BQ230" t="s">
        <v>846</v>
      </c>
      <c r="BR230" t="s">
        <v>82</v>
      </c>
      <c r="BS230" s="3">
        <v>44595</v>
      </c>
      <c r="BT230" s="4">
        <v>0.4069444444444445</v>
      </c>
      <c r="BU230" t="s">
        <v>847</v>
      </c>
      <c r="BV230" t="s">
        <v>101</v>
      </c>
      <c r="BY230">
        <v>30525.200000000001</v>
      </c>
      <c r="CA230" t="s">
        <v>760</v>
      </c>
      <c r="CC230" t="s">
        <v>591</v>
      </c>
      <c r="CD230">
        <v>1739</v>
      </c>
      <c r="CE230" t="s">
        <v>505</v>
      </c>
      <c r="CF230" s="3">
        <v>44596</v>
      </c>
      <c r="CI230">
        <v>2</v>
      </c>
      <c r="CJ230">
        <v>2</v>
      </c>
      <c r="CK230">
        <v>43</v>
      </c>
      <c r="CL230" t="s">
        <v>84</v>
      </c>
    </row>
    <row r="231" spans="1:90" x14ac:dyDescent="0.25">
      <c r="A231" t="s">
        <v>72</v>
      </c>
      <c r="B231" t="s">
        <v>73</v>
      </c>
      <c r="C231" t="s">
        <v>74</v>
      </c>
      <c r="E231" t="str">
        <f>"009941631348"</f>
        <v>009941631348</v>
      </c>
      <c r="F231" s="3">
        <v>44593</v>
      </c>
      <c r="G231">
        <v>202208</v>
      </c>
      <c r="H231" t="s">
        <v>123</v>
      </c>
      <c r="I231" t="s">
        <v>124</v>
      </c>
      <c r="J231" t="s">
        <v>848</v>
      </c>
      <c r="K231" t="s">
        <v>78</v>
      </c>
      <c r="L231" t="s">
        <v>75</v>
      </c>
      <c r="M231" t="s">
        <v>76</v>
      </c>
      <c r="N231" t="s">
        <v>111</v>
      </c>
      <c r="O231" t="s">
        <v>80</v>
      </c>
      <c r="P231" t="str">
        <f>"                              "</f>
        <v xml:space="preserve">     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15.46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1</v>
      </c>
      <c r="BJ231">
        <v>0.2</v>
      </c>
      <c r="BK231">
        <v>1</v>
      </c>
      <c r="BL231">
        <v>59</v>
      </c>
      <c r="BM231">
        <v>8.85</v>
      </c>
      <c r="BN231">
        <v>67.849999999999994</v>
      </c>
      <c r="BO231">
        <v>67.849999999999994</v>
      </c>
      <c r="BQ231" t="s">
        <v>849</v>
      </c>
      <c r="BR231" t="s">
        <v>850</v>
      </c>
      <c r="BS231" s="3">
        <v>44594</v>
      </c>
      <c r="BT231" s="4">
        <v>0.4548611111111111</v>
      </c>
      <c r="BU231" t="s">
        <v>480</v>
      </c>
      <c r="BV231" t="s">
        <v>101</v>
      </c>
      <c r="BY231">
        <v>1200</v>
      </c>
      <c r="BZ231" t="s">
        <v>87</v>
      </c>
      <c r="CA231" t="s">
        <v>274</v>
      </c>
      <c r="CC231" t="s">
        <v>76</v>
      </c>
      <c r="CD231">
        <v>8000</v>
      </c>
      <c r="CE231" t="s">
        <v>130</v>
      </c>
      <c r="CF231" s="3">
        <v>44595</v>
      </c>
      <c r="CI231">
        <v>1</v>
      </c>
      <c r="CJ231">
        <v>1</v>
      </c>
      <c r="CK231">
        <v>21</v>
      </c>
      <c r="CL231" t="s">
        <v>84</v>
      </c>
    </row>
    <row r="232" spans="1:90" x14ac:dyDescent="0.25">
      <c r="A232" t="s">
        <v>72</v>
      </c>
      <c r="B232" t="s">
        <v>73</v>
      </c>
      <c r="C232" t="s">
        <v>74</v>
      </c>
      <c r="E232" t="str">
        <f>"GAB2008022"</f>
        <v>GAB2008022</v>
      </c>
      <c r="F232" s="3">
        <v>44593</v>
      </c>
      <c r="G232">
        <v>202208</v>
      </c>
      <c r="H232" t="s">
        <v>75</v>
      </c>
      <c r="I232" t="s">
        <v>76</v>
      </c>
      <c r="J232" t="s">
        <v>77</v>
      </c>
      <c r="K232" t="s">
        <v>78</v>
      </c>
      <c r="L232" t="s">
        <v>153</v>
      </c>
      <c r="M232" t="s">
        <v>154</v>
      </c>
      <c r="N232" t="s">
        <v>851</v>
      </c>
      <c r="O232" t="s">
        <v>125</v>
      </c>
      <c r="P232" t="str">
        <f>"CT071675                      "</f>
        <v xml:space="preserve">CT071675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29.89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0.4</v>
      </c>
      <c r="BJ232">
        <v>2</v>
      </c>
      <c r="BK232">
        <v>2</v>
      </c>
      <c r="BL232">
        <v>119.34</v>
      </c>
      <c r="BM232">
        <v>17.899999999999999</v>
      </c>
      <c r="BN232">
        <v>137.24</v>
      </c>
      <c r="BO232">
        <v>137.24</v>
      </c>
      <c r="BQ232" t="s">
        <v>852</v>
      </c>
      <c r="BR232" t="s">
        <v>82</v>
      </c>
      <c r="BS232" s="3">
        <v>44595</v>
      </c>
      <c r="BT232" s="4">
        <v>0.3888888888888889</v>
      </c>
      <c r="BU232" t="s">
        <v>853</v>
      </c>
      <c r="BV232" t="s">
        <v>101</v>
      </c>
      <c r="BY232">
        <v>9966.7199999999993</v>
      </c>
      <c r="CA232" t="s">
        <v>854</v>
      </c>
      <c r="CC232" t="s">
        <v>154</v>
      </c>
      <c r="CD232">
        <v>2196</v>
      </c>
      <c r="CE232" t="s">
        <v>108</v>
      </c>
      <c r="CF232" s="3">
        <v>44595</v>
      </c>
      <c r="CI232">
        <v>2</v>
      </c>
      <c r="CJ232">
        <v>2</v>
      </c>
      <c r="CK232">
        <v>41</v>
      </c>
      <c r="CL232" t="s">
        <v>84</v>
      </c>
    </row>
    <row r="233" spans="1:90" x14ac:dyDescent="0.25">
      <c r="A233" t="s">
        <v>72</v>
      </c>
      <c r="B233" t="s">
        <v>73</v>
      </c>
      <c r="C233" t="s">
        <v>74</v>
      </c>
      <c r="E233" t="str">
        <f>"GAB2008054"</f>
        <v>GAB2008054</v>
      </c>
      <c r="F233" s="3">
        <v>44594</v>
      </c>
      <c r="G233">
        <v>202208</v>
      </c>
      <c r="H233" t="s">
        <v>75</v>
      </c>
      <c r="I233" t="s">
        <v>76</v>
      </c>
      <c r="J233" t="s">
        <v>77</v>
      </c>
      <c r="K233" t="s">
        <v>78</v>
      </c>
      <c r="L233" t="s">
        <v>165</v>
      </c>
      <c r="M233" t="s">
        <v>166</v>
      </c>
      <c r="N233" t="s">
        <v>855</v>
      </c>
      <c r="O233" t="s">
        <v>125</v>
      </c>
      <c r="P233" t="str">
        <f>"CT071678                      "</f>
        <v xml:space="preserve">CT071678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32.42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0.2</v>
      </c>
      <c r="BJ233">
        <v>1.8</v>
      </c>
      <c r="BK233">
        <v>2</v>
      </c>
      <c r="BL233">
        <v>121.87</v>
      </c>
      <c r="BM233">
        <v>18.28</v>
      </c>
      <c r="BN233">
        <v>140.15</v>
      </c>
      <c r="BO233">
        <v>140.15</v>
      </c>
      <c r="BQ233" t="s">
        <v>856</v>
      </c>
      <c r="BR233" t="s">
        <v>82</v>
      </c>
      <c r="BS233" s="3">
        <v>44596</v>
      </c>
      <c r="BT233" s="4">
        <v>0.4145833333333333</v>
      </c>
      <c r="BU233" t="s">
        <v>857</v>
      </c>
      <c r="BV233" t="s">
        <v>101</v>
      </c>
      <c r="BY233">
        <v>8848.18</v>
      </c>
      <c r="CA233" t="s">
        <v>858</v>
      </c>
      <c r="CC233" t="s">
        <v>166</v>
      </c>
      <c r="CD233">
        <v>2</v>
      </c>
      <c r="CE233" t="s">
        <v>130</v>
      </c>
      <c r="CF233" s="3">
        <v>44596</v>
      </c>
      <c r="CI233">
        <v>2</v>
      </c>
      <c r="CJ233">
        <v>2</v>
      </c>
      <c r="CK233">
        <v>41</v>
      </c>
      <c r="CL233" t="s">
        <v>84</v>
      </c>
    </row>
    <row r="234" spans="1:90" x14ac:dyDescent="0.25">
      <c r="A234" t="s">
        <v>72</v>
      </c>
      <c r="B234" t="s">
        <v>73</v>
      </c>
      <c r="C234" t="s">
        <v>74</v>
      </c>
      <c r="E234" t="str">
        <f>"GAB2008028"</f>
        <v>GAB2008028</v>
      </c>
      <c r="F234" s="3">
        <v>44593</v>
      </c>
      <c r="G234">
        <v>202208</v>
      </c>
      <c r="H234" t="s">
        <v>75</v>
      </c>
      <c r="I234" t="s">
        <v>76</v>
      </c>
      <c r="J234" t="s">
        <v>77</v>
      </c>
      <c r="K234" t="s">
        <v>78</v>
      </c>
      <c r="L234" t="s">
        <v>131</v>
      </c>
      <c r="M234" t="s">
        <v>132</v>
      </c>
      <c r="N234" t="s">
        <v>859</v>
      </c>
      <c r="O234" t="s">
        <v>125</v>
      </c>
      <c r="P234" t="str">
        <f>"CT071686                      "</f>
        <v xml:space="preserve">CT071686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29.89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0.7</v>
      </c>
      <c r="BJ234">
        <v>1.8</v>
      </c>
      <c r="BK234">
        <v>2</v>
      </c>
      <c r="BL234">
        <v>119.34</v>
      </c>
      <c r="BM234">
        <v>17.899999999999999</v>
      </c>
      <c r="BN234">
        <v>137.24</v>
      </c>
      <c r="BO234">
        <v>137.24</v>
      </c>
      <c r="BQ234" t="s">
        <v>860</v>
      </c>
      <c r="BR234" t="s">
        <v>82</v>
      </c>
      <c r="BS234" s="3">
        <v>44595</v>
      </c>
      <c r="BT234" s="4">
        <v>0.7270833333333333</v>
      </c>
      <c r="BU234" t="s">
        <v>861</v>
      </c>
      <c r="BV234" t="s">
        <v>101</v>
      </c>
      <c r="BY234">
        <v>9062.4599999999991</v>
      </c>
      <c r="CA234" t="s">
        <v>862</v>
      </c>
      <c r="CC234" t="s">
        <v>132</v>
      </c>
      <c r="CD234">
        <v>4001</v>
      </c>
      <c r="CE234" t="s">
        <v>333</v>
      </c>
      <c r="CF234" s="3">
        <v>44596</v>
      </c>
      <c r="CI234">
        <v>3</v>
      </c>
      <c r="CJ234">
        <v>2</v>
      </c>
      <c r="CK234">
        <v>41</v>
      </c>
      <c r="CL234" t="s">
        <v>84</v>
      </c>
    </row>
    <row r="235" spans="1:90" x14ac:dyDescent="0.25">
      <c r="A235" t="s">
        <v>72</v>
      </c>
      <c r="B235" t="s">
        <v>73</v>
      </c>
      <c r="C235" t="s">
        <v>74</v>
      </c>
      <c r="E235" t="str">
        <f>"GAB2008040"</f>
        <v>GAB2008040</v>
      </c>
      <c r="F235" s="3">
        <v>44594</v>
      </c>
      <c r="G235">
        <v>202208</v>
      </c>
      <c r="H235" t="s">
        <v>75</v>
      </c>
      <c r="I235" t="s">
        <v>76</v>
      </c>
      <c r="J235" t="s">
        <v>77</v>
      </c>
      <c r="K235" t="s">
        <v>78</v>
      </c>
      <c r="L235" t="s">
        <v>131</v>
      </c>
      <c r="M235" t="s">
        <v>132</v>
      </c>
      <c r="N235" t="s">
        <v>863</v>
      </c>
      <c r="O235" t="s">
        <v>125</v>
      </c>
      <c r="P235" t="str">
        <f>"CT071552                      "</f>
        <v xml:space="preserve">CT071552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32.42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7.6</v>
      </c>
      <c r="BJ235">
        <v>8.1999999999999993</v>
      </c>
      <c r="BK235">
        <v>9</v>
      </c>
      <c r="BL235">
        <v>121.87</v>
      </c>
      <c r="BM235">
        <v>18.28</v>
      </c>
      <c r="BN235">
        <v>140.15</v>
      </c>
      <c r="BO235">
        <v>140.15</v>
      </c>
      <c r="BQ235" t="s">
        <v>864</v>
      </c>
      <c r="BR235" t="s">
        <v>82</v>
      </c>
      <c r="BS235" s="3">
        <v>44599</v>
      </c>
      <c r="BT235" s="4">
        <v>0.41041666666666665</v>
      </c>
      <c r="BU235" t="s">
        <v>865</v>
      </c>
      <c r="BV235" t="s">
        <v>101</v>
      </c>
      <c r="BY235">
        <v>41143.79</v>
      </c>
      <c r="CA235" t="s">
        <v>866</v>
      </c>
      <c r="CC235" t="s">
        <v>132</v>
      </c>
      <c r="CD235">
        <v>4001</v>
      </c>
      <c r="CE235" t="s">
        <v>130</v>
      </c>
      <c r="CF235" s="3">
        <v>44600</v>
      </c>
      <c r="CI235">
        <v>3</v>
      </c>
      <c r="CJ235">
        <v>3</v>
      </c>
      <c r="CK235">
        <v>41</v>
      </c>
      <c r="CL235" t="s">
        <v>84</v>
      </c>
    </row>
    <row r="236" spans="1:90" x14ac:dyDescent="0.25">
      <c r="A236" t="s">
        <v>72</v>
      </c>
      <c r="B236" t="s">
        <v>73</v>
      </c>
      <c r="C236" t="s">
        <v>74</v>
      </c>
      <c r="E236" t="str">
        <f>"GAB2008023"</f>
        <v>GAB2008023</v>
      </c>
      <c r="F236" s="3">
        <v>44593</v>
      </c>
      <c r="G236">
        <v>202208</v>
      </c>
      <c r="H236" t="s">
        <v>75</v>
      </c>
      <c r="I236" t="s">
        <v>76</v>
      </c>
      <c r="J236" t="s">
        <v>77</v>
      </c>
      <c r="K236" t="s">
        <v>78</v>
      </c>
      <c r="L236" t="s">
        <v>165</v>
      </c>
      <c r="M236" t="s">
        <v>166</v>
      </c>
      <c r="N236" t="s">
        <v>867</v>
      </c>
      <c r="O236" t="s">
        <v>125</v>
      </c>
      <c r="P236" t="str">
        <f>"CT071679                      "</f>
        <v xml:space="preserve">CT071679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29.89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1.3</v>
      </c>
      <c r="BJ236">
        <v>2.6</v>
      </c>
      <c r="BK236">
        <v>3</v>
      </c>
      <c r="BL236">
        <v>119.34</v>
      </c>
      <c r="BM236">
        <v>17.899999999999999</v>
      </c>
      <c r="BN236">
        <v>137.24</v>
      </c>
      <c r="BO236">
        <v>137.24</v>
      </c>
      <c r="BQ236" t="s">
        <v>868</v>
      </c>
      <c r="BR236" t="s">
        <v>82</v>
      </c>
      <c r="BS236" s="3">
        <v>44595</v>
      </c>
      <c r="BT236" s="4">
        <v>0.3833333333333333</v>
      </c>
      <c r="BU236" t="s">
        <v>869</v>
      </c>
      <c r="BV236" t="s">
        <v>101</v>
      </c>
      <c r="BY236">
        <v>12898.73</v>
      </c>
      <c r="CA236" t="s">
        <v>870</v>
      </c>
      <c r="CC236" t="s">
        <v>166</v>
      </c>
      <c r="CD236">
        <v>2</v>
      </c>
      <c r="CE236" t="s">
        <v>871</v>
      </c>
      <c r="CF236" s="3">
        <v>44596</v>
      </c>
      <c r="CI236">
        <v>2</v>
      </c>
      <c r="CJ236">
        <v>2</v>
      </c>
      <c r="CK236">
        <v>41</v>
      </c>
      <c r="CL236" t="s">
        <v>84</v>
      </c>
    </row>
    <row r="237" spans="1:90" x14ac:dyDescent="0.25">
      <c r="A237" t="s">
        <v>72</v>
      </c>
      <c r="B237" t="s">
        <v>73</v>
      </c>
      <c r="C237" t="s">
        <v>74</v>
      </c>
      <c r="E237" t="str">
        <f>"GAB2008051"</f>
        <v>GAB2008051</v>
      </c>
      <c r="F237" s="3">
        <v>44594</v>
      </c>
      <c r="G237">
        <v>202208</v>
      </c>
      <c r="H237" t="s">
        <v>75</v>
      </c>
      <c r="I237" t="s">
        <v>76</v>
      </c>
      <c r="J237" t="s">
        <v>77</v>
      </c>
      <c r="K237" t="s">
        <v>78</v>
      </c>
      <c r="L237" t="s">
        <v>165</v>
      </c>
      <c r="M237" t="s">
        <v>166</v>
      </c>
      <c r="N237" t="s">
        <v>872</v>
      </c>
      <c r="O237" t="s">
        <v>125</v>
      </c>
      <c r="P237" t="str">
        <f>"CT071712                      "</f>
        <v xml:space="preserve">CT071712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32.42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1.7</v>
      </c>
      <c r="BJ237">
        <v>4.8</v>
      </c>
      <c r="BK237">
        <v>5</v>
      </c>
      <c r="BL237">
        <v>121.87</v>
      </c>
      <c r="BM237">
        <v>18.28</v>
      </c>
      <c r="BN237">
        <v>140.15</v>
      </c>
      <c r="BO237">
        <v>140.15</v>
      </c>
      <c r="BQ237" t="s">
        <v>873</v>
      </c>
      <c r="BR237" t="s">
        <v>82</v>
      </c>
      <c r="BS237" s="3">
        <v>44596</v>
      </c>
      <c r="BT237" s="4">
        <v>0.67986111111111114</v>
      </c>
      <c r="BU237" t="s">
        <v>874</v>
      </c>
      <c r="BV237" t="s">
        <v>101</v>
      </c>
      <c r="BY237">
        <v>23859</v>
      </c>
      <c r="CA237" t="s">
        <v>875</v>
      </c>
      <c r="CC237" t="s">
        <v>166</v>
      </c>
      <c r="CD237">
        <v>2</v>
      </c>
      <c r="CE237" t="s">
        <v>130</v>
      </c>
      <c r="CF237" s="3">
        <v>44596</v>
      </c>
      <c r="CI237">
        <v>2</v>
      </c>
      <c r="CJ237">
        <v>2</v>
      </c>
      <c r="CK237">
        <v>41</v>
      </c>
      <c r="CL237" t="s">
        <v>84</v>
      </c>
    </row>
    <row r="238" spans="1:90" x14ac:dyDescent="0.25">
      <c r="A238" t="s">
        <v>72</v>
      </c>
      <c r="B238" t="s">
        <v>73</v>
      </c>
      <c r="C238" t="s">
        <v>74</v>
      </c>
      <c r="E238" t="str">
        <f>"GAB2008024"</f>
        <v>GAB2008024</v>
      </c>
      <c r="F238" s="3">
        <v>44593</v>
      </c>
      <c r="G238">
        <v>202208</v>
      </c>
      <c r="H238" t="s">
        <v>75</v>
      </c>
      <c r="I238" t="s">
        <v>76</v>
      </c>
      <c r="J238" t="s">
        <v>77</v>
      </c>
      <c r="K238" t="s">
        <v>78</v>
      </c>
      <c r="L238" t="s">
        <v>131</v>
      </c>
      <c r="M238" t="s">
        <v>132</v>
      </c>
      <c r="N238" t="s">
        <v>876</v>
      </c>
      <c r="O238" t="s">
        <v>125</v>
      </c>
      <c r="P238" t="str">
        <f>"CT071680                      "</f>
        <v xml:space="preserve">CT071680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190.03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4</v>
      </c>
      <c r="BI238">
        <v>30</v>
      </c>
      <c r="BJ238">
        <v>144.80000000000001</v>
      </c>
      <c r="BK238">
        <v>145</v>
      </c>
      <c r="BL238">
        <v>730.58</v>
      </c>
      <c r="BM238">
        <v>109.59</v>
      </c>
      <c r="BN238">
        <v>840.17</v>
      </c>
      <c r="BO238">
        <v>840.17</v>
      </c>
      <c r="BQ238" t="s">
        <v>877</v>
      </c>
      <c r="BR238" t="s">
        <v>82</v>
      </c>
      <c r="BS238" s="3">
        <v>44596</v>
      </c>
      <c r="BT238" s="4">
        <v>0.59513888888888888</v>
      </c>
      <c r="BU238" t="s">
        <v>878</v>
      </c>
      <c r="BV238" t="s">
        <v>101</v>
      </c>
      <c r="BY238">
        <v>724085.78</v>
      </c>
      <c r="CA238" t="s">
        <v>879</v>
      </c>
      <c r="CC238" t="s">
        <v>132</v>
      </c>
      <c r="CD238">
        <v>4091</v>
      </c>
      <c r="CE238" t="s">
        <v>880</v>
      </c>
      <c r="CF238" s="3">
        <v>44599</v>
      </c>
      <c r="CI238">
        <v>3</v>
      </c>
      <c r="CJ238">
        <v>3</v>
      </c>
      <c r="CK238">
        <v>41</v>
      </c>
      <c r="CL238" t="s">
        <v>84</v>
      </c>
    </row>
    <row r="239" spans="1:90" x14ac:dyDescent="0.25">
      <c r="A239" t="s">
        <v>72</v>
      </c>
      <c r="B239" t="s">
        <v>73</v>
      </c>
      <c r="C239" t="s">
        <v>74</v>
      </c>
      <c r="E239" t="str">
        <f>"GAB2008048"</f>
        <v>GAB2008048</v>
      </c>
      <c r="F239" s="3">
        <v>44594</v>
      </c>
      <c r="G239">
        <v>202208</v>
      </c>
      <c r="H239" t="s">
        <v>75</v>
      </c>
      <c r="I239" t="s">
        <v>76</v>
      </c>
      <c r="J239" t="s">
        <v>77</v>
      </c>
      <c r="K239" t="s">
        <v>78</v>
      </c>
      <c r="L239" t="s">
        <v>881</v>
      </c>
      <c r="M239" t="s">
        <v>881</v>
      </c>
      <c r="N239" t="s">
        <v>882</v>
      </c>
      <c r="O239" t="s">
        <v>125</v>
      </c>
      <c r="P239" t="str">
        <f>"CT071706                      "</f>
        <v xml:space="preserve">CT071706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45.72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1.2</v>
      </c>
      <c r="BJ239">
        <v>3.2</v>
      </c>
      <c r="BK239">
        <v>4</v>
      </c>
      <c r="BL239">
        <v>169.72</v>
      </c>
      <c r="BM239">
        <v>25.46</v>
      </c>
      <c r="BN239">
        <v>195.18</v>
      </c>
      <c r="BO239">
        <v>195.18</v>
      </c>
      <c r="BQ239" t="s">
        <v>311</v>
      </c>
      <c r="BR239" t="s">
        <v>82</v>
      </c>
      <c r="BS239" s="3">
        <v>44596</v>
      </c>
      <c r="BT239" s="4">
        <v>0.32013888888888892</v>
      </c>
      <c r="BU239" t="s">
        <v>883</v>
      </c>
      <c r="BV239" t="s">
        <v>101</v>
      </c>
      <c r="BY239">
        <v>15903</v>
      </c>
      <c r="CA239" t="s">
        <v>884</v>
      </c>
      <c r="CC239" t="s">
        <v>881</v>
      </c>
      <c r="CD239">
        <v>9810</v>
      </c>
      <c r="CE239" t="s">
        <v>130</v>
      </c>
      <c r="CF239" s="3">
        <v>44599</v>
      </c>
      <c r="CI239">
        <v>3</v>
      </c>
      <c r="CJ239">
        <v>2</v>
      </c>
      <c r="CK239">
        <v>43</v>
      </c>
      <c r="CL239" t="s">
        <v>84</v>
      </c>
    </row>
    <row r="240" spans="1:90" x14ac:dyDescent="0.25">
      <c r="A240" t="s">
        <v>72</v>
      </c>
      <c r="B240" t="s">
        <v>73</v>
      </c>
      <c r="C240" t="s">
        <v>74</v>
      </c>
      <c r="E240" t="str">
        <f>"GAB2008026"</f>
        <v>GAB2008026</v>
      </c>
      <c r="F240" s="3">
        <v>44593</v>
      </c>
      <c r="G240">
        <v>202208</v>
      </c>
      <c r="H240" t="s">
        <v>75</v>
      </c>
      <c r="I240" t="s">
        <v>76</v>
      </c>
      <c r="J240" t="s">
        <v>77</v>
      </c>
      <c r="K240" t="s">
        <v>78</v>
      </c>
      <c r="L240" t="s">
        <v>885</v>
      </c>
      <c r="M240" t="s">
        <v>886</v>
      </c>
      <c r="N240" t="s">
        <v>887</v>
      </c>
      <c r="O240" t="s">
        <v>125</v>
      </c>
      <c r="P240" t="str">
        <f>"ORD006829                     "</f>
        <v xml:space="preserve">ORD006829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42.16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3.3</v>
      </c>
      <c r="BJ240">
        <v>6.3</v>
      </c>
      <c r="BK240">
        <v>7</v>
      </c>
      <c r="BL240">
        <v>166.16</v>
      </c>
      <c r="BM240">
        <v>24.92</v>
      </c>
      <c r="BN240">
        <v>191.08</v>
      </c>
      <c r="BO240">
        <v>191.08</v>
      </c>
      <c r="BQ240" t="s">
        <v>888</v>
      </c>
      <c r="BR240" t="s">
        <v>82</v>
      </c>
      <c r="BS240" s="3">
        <v>44599</v>
      </c>
      <c r="BT240" s="4">
        <v>0.5805555555555556</v>
      </c>
      <c r="BU240" t="s">
        <v>889</v>
      </c>
      <c r="BV240" t="s">
        <v>84</v>
      </c>
      <c r="BW240" t="s">
        <v>239</v>
      </c>
      <c r="BX240" t="s">
        <v>392</v>
      </c>
      <c r="BY240">
        <v>31258.85</v>
      </c>
      <c r="CA240" t="s">
        <v>890</v>
      </c>
      <c r="CC240" t="s">
        <v>886</v>
      </c>
      <c r="CD240">
        <v>4180</v>
      </c>
      <c r="CE240" t="s">
        <v>891</v>
      </c>
      <c r="CF240" s="3">
        <v>44600</v>
      </c>
      <c r="CI240">
        <v>3</v>
      </c>
      <c r="CJ240">
        <v>4</v>
      </c>
      <c r="CK240">
        <v>43</v>
      </c>
      <c r="CL240" t="s">
        <v>84</v>
      </c>
    </row>
    <row r="241" spans="1:90" x14ac:dyDescent="0.25">
      <c r="A241" t="s">
        <v>72</v>
      </c>
      <c r="B241" t="s">
        <v>73</v>
      </c>
      <c r="C241" t="s">
        <v>74</v>
      </c>
      <c r="E241" t="str">
        <f>"GAB2008039"</f>
        <v>GAB2008039</v>
      </c>
      <c r="F241" s="3">
        <v>44594</v>
      </c>
      <c r="G241">
        <v>202208</v>
      </c>
      <c r="H241" t="s">
        <v>75</v>
      </c>
      <c r="I241" t="s">
        <v>76</v>
      </c>
      <c r="J241" t="s">
        <v>77</v>
      </c>
      <c r="K241" t="s">
        <v>78</v>
      </c>
      <c r="L241" t="s">
        <v>159</v>
      </c>
      <c r="M241" t="s">
        <v>160</v>
      </c>
      <c r="N241" t="s">
        <v>161</v>
      </c>
      <c r="O241" t="s">
        <v>80</v>
      </c>
      <c r="P241" t="str">
        <f>"CT071696                      "</f>
        <v xml:space="preserve">CT071696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39.81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0.2</v>
      </c>
      <c r="BJ241">
        <v>2.5</v>
      </c>
      <c r="BK241">
        <v>2.5</v>
      </c>
      <c r="BL241">
        <v>143.22</v>
      </c>
      <c r="BM241">
        <v>21.48</v>
      </c>
      <c r="BN241">
        <v>164.7</v>
      </c>
      <c r="BO241">
        <v>164.7</v>
      </c>
      <c r="BQ241" t="s">
        <v>892</v>
      </c>
      <c r="BR241" t="s">
        <v>82</v>
      </c>
      <c r="BS241" s="3">
        <v>44595</v>
      </c>
      <c r="BT241" s="4">
        <v>0.4916666666666667</v>
      </c>
      <c r="BU241" t="s">
        <v>365</v>
      </c>
      <c r="BV241" t="s">
        <v>84</v>
      </c>
      <c r="BW241" t="s">
        <v>801</v>
      </c>
      <c r="BX241" t="s">
        <v>802</v>
      </c>
      <c r="BY241">
        <v>12352.08</v>
      </c>
      <c r="BZ241" t="s">
        <v>87</v>
      </c>
      <c r="CA241" t="s">
        <v>422</v>
      </c>
      <c r="CC241" t="s">
        <v>160</v>
      </c>
      <c r="CD241">
        <v>9459</v>
      </c>
      <c r="CE241" t="s">
        <v>152</v>
      </c>
      <c r="CF241" s="3">
        <v>44596</v>
      </c>
      <c r="CI241">
        <v>1</v>
      </c>
      <c r="CJ241">
        <v>1</v>
      </c>
      <c r="CK241">
        <v>23</v>
      </c>
      <c r="CL241" t="s">
        <v>84</v>
      </c>
    </row>
    <row r="242" spans="1:90" x14ac:dyDescent="0.25">
      <c r="A242" t="s">
        <v>72</v>
      </c>
      <c r="B242" t="s">
        <v>73</v>
      </c>
      <c r="C242" t="s">
        <v>74</v>
      </c>
      <c r="E242" t="str">
        <f>"GAB2008027"</f>
        <v>GAB2008027</v>
      </c>
      <c r="F242" s="3">
        <v>44593</v>
      </c>
      <c r="G242">
        <v>202208</v>
      </c>
      <c r="H242" t="s">
        <v>75</v>
      </c>
      <c r="I242" t="s">
        <v>76</v>
      </c>
      <c r="J242" t="s">
        <v>77</v>
      </c>
      <c r="K242" t="s">
        <v>78</v>
      </c>
      <c r="L242" t="s">
        <v>109</v>
      </c>
      <c r="M242" t="s">
        <v>110</v>
      </c>
      <c r="N242" t="s">
        <v>216</v>
      </c>
      <c r="O242" t="s">
        <v>125</v>
      </c>
      <c r="P242" t="str">
        <f>"CT071683                      "</f>
        <v xml:space="preserve">CT071683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29.89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1.7</v>
      </c>
      <c r="BJ242">
        <v>6.3</v>
      </c>
      <c r="BK242">
        <v>7</v>
      </c>
      <c r="BL242">
        <v>119.34</v>
      </c>
      <c r="BM242">
        <v>17.899999999999999</v>
      </c>
      <c r="BN242">
        <v>137.24</v>
      </c>
      <c r="BO242">
        <v>137.24</v>
      </c>
      <c r="BQ242" t="s">
        <v>217</v>
      </c>
      <c r="BR242" t="s">
        <v>82</v>
      </c>
      <c r="BS242" s="3">
        <v>44595</v>
      </c>
      <c r="BT242" s="4">
        <v>0.4513888888888889</v>
      </c>
      <c r="BU242" t="s">
        <v>893</v>
      </c>
      <c r="BV242" t="s">
        <v>101</v>
      </c>
      <c r="BY242">
        <v>31468.560000000001</v>
      </c>
      <c r="CA242" t="s">
        <v>219</v>
      </c>
      <c r="CC242" t="s">
        <v>110</v>
      </c>
      <c r="CD242">
        <v>157</v>
      </c>
      <c r="CE242" t="s">
        <v>894</v>
      </c>
      <c r="CF242" s="3">
        <v>44595</v>
      </c>
      <c r="CI242">
        <v>2</v>
      </c>
      <c r="CJ242">
        <v>2</v>
      </c>
      <c r="CK242">
        <v>41</v>
      </c>
      <c r="CL242" t="s">
        <v>84</v>
      </c>
    </row>
    <row r="243" spans="1:90" x14ac:dyDescent="0.25">
      <c r="A243" t="s">
        <v>72</v>
      </c>
      <c r="B243" t="s">
        <v>73</v>
      </c>
      <c r="C243" t="s">
        <v>74</v>
      </c>
      <c r="E243" t="str">
        <f>"GAB2008053"</f>
        <v>GAB2008053</v>
      </c>
      <c r="F243" s="3">
        <v>44594</v>
      </c>
      <c r="G243">
        <v>202208</v>
      </c>
      <c r="H243" t="s">
        <v>75</v>
      </c>
      <c r="I243" t="s">
        <v>76</v>
      </c>
      <c r="J243" t="s">
        <v>77</v>
      </c>
      <c r="K243" t="s">
        <v>78</v>
      </c>
      <c r="L243" t="s">
        <v>116</v>
      </c>
      <c r="M243" t="s">
        <v>117</v>
      </c>
      <c r="N243" t="s">
        <v>334</v>
      </c>
      <c r="O243" t="s">
        <v>80</v>
      </c>
      <c r="P243" t="str">
        <f>"CT071716 CT071715             "</f>
        <v xml:space="preserve">CT071716 CT071715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16.760000000000002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15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0.6</v>
      </c>
      <c r="BJ243">
        <v>1.8</v>
      </c>
      <c r="BK243">
        <v>2</v>
      </c>
      <c r="BL243">
        <v>75.3</v>
      </c>
      <c r="BM243">
        <v>11.3</v>
      </c>
      <c r="BN243">
        <v>86.6</v>
      </c>
      <c r="BO243">
        <v>86.6</v>
      </c>
      <c r="BQ243" t="s">
        <v>119</v>
      </c>
      <c r="BR243" t="s">
        <v>82</v>
      </c>
      <c r="BS243" s="3">
        <v>44595</v>
      </c>
      <c r="BT243" s="4">
        <v>0.53402777777777777</v>
      </c>
      <c r="BU243" t="s">
        <v>895</v>
      </c>
      <c r="BV243" t="s">
        <v>101</v>
      </c>
      <c r="BY243">
        <v>9159.68</v>
      </c>
      <c r="BZ243" t="s">
        <v>121</v>
      </c>
      <c r="CA243" t="s">
        <v>692</v>
      </c>
      <c r="CC243" t="s">
        <v>117</v>
      </c>
      <c r="CD243">
        <v>1475</v>
      </c>
      <c r="CE243" t="s">
        <v>198</v>
      </c>
      <c r="CF243" s="3">
        <v>44595</v>
      </c>
      <c r="CI243">
        <v>1</v>
      </c>
      <c r="CJ243">
        <v>1</v>
      </c>
      <c r="CK243">
        <v>21</v>
      </c>
      <c r="CL243" t="s">
        <v>84</v>
      </c>
    </row>
    <row r="244" spans="1:90" x14ac:dyDescent="0.25">
      <c r="A244" t="s">
        <v>72</v>
      </c>
      <c r="B244" t="s">
        <v>73</v>
      </c>
      <c r="C244" t="s">
        <v>74</v>
      </c>
      <c r="E244" t="str">
        <f>"GAB2008043"</f>
        <v>GAB2008043</v>
      </c>
      <c r="F244" s="3">
        <v>44594</v>
      </c>
      <c r="G244">
        <v>202208</v>
      </c>
      <c r="H244" t="s">
        <v>75</v>
      </c>
      <c r="I244" t="s">
        <v>76</v>
      </c>
      <c r="J244" t="s">
        <v>77</v>
      </c>
      <c r="K244" t="s">
        <v>78</v>
      </c>
      <c r="L244" t="s">
        <v>109</v>
      </c>
      <c r="M244" t="s">
        <v>110</v>
      </c>
      <c r="N244" t="s">
        <v>394</v>
      </c>
      <c r="O244" t="s">
        <v>125</v>
      </c>
      <c r="P244" t="str">
        <f>"CT071698                      "</f>
        <v xml:space="preserve">CT071698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39.1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2</v>
      </c>
      <c r="BI244">
        <v>9.4</v>
      </c>
      <c r="BJ244">
        <v>19.100000000000001</v>
      </c>
      <c r="BK244">
        <v>20</v>
      </c>
      <c r="BL244">
        <v>145.9</v>
      </c>
      <c r="BM244">
        <v>21.89</v>
      </c>
      <c r="BN244">
        <v>167.79</v>
      </c>
      <c r="BO244">
        <v>167.79</v>
      </c>
      <c r="BQ244" t="s">
        <v>395</v>
      </c>
      <c r="BR244" t="s">
        <v>82</v>
      </c>
      <c r="BS244" s="3">
        <v>44596</v>
      </c>
      <c r="BT244" s="4">
        <v>0.46875</v>
      </c>
      <c r="BU244" t="s">
        <v>701</v>
      </c>
      <c r="BV244" t="s">
        <v>101</v>
      </c>
      <c r="BY244">
        <v>95443.87</v>
      </c>
      <c r="CA244" t="s">
        <v>219</v>
      </c>
      <c r="CC244" t="s">
        <v>110</v>
      </c>
      <c r="CD244">
        <v>157</v>
      </c>
      <c r="CE244" t="s">
        <v>130</v>
      </c>
      <c r="CF244" s="3">
        <v>44596</v>
      </c>
      <c r="CI244">
        <v>2</v>
      </c>
      <c r="CJ244">
        <v>2</v>
      </c>
      <c r="CK244">
        <v>41</v>
      </c>
      <c r="CL244" t="s">
        <v>84</v>
      </c>
    </row>
    <row r="245" spans="1:90" x14ac:dyDescent="0.25">
      <c r="A245" t="s">
        <v>72</v>
      </c>
      <c r="B245" t="s">
        <v>73</v>
      </c>
      <c r="C245" t="s">
        <v>74</v>
      </c>
      <c r="E245" t="str">
        <f>"GAB2008047"</f>
        <v>GAB2008047</v>
      </c>
      <c r="F245" s="3">
        <v>44594</v>
      </c>
      <c r="G245">
        <v>202208</v>
      </c>
      <c r="H245" t="s">
        <v>75</v>
      </c>
      <c r="I245" t="s">
        <v>76</v>
      </c>
      <c r="J245" t="s">
        <v>77</v>
      </c>
      <c r="K245" t="s">
        <v>78</v>
      </c>
      <c r="L245" t="s">
        <v>761</v>
      </c>
      <c r="M245" t="s">
        <v>762</v>
      </c>
      <c r="N245" t="s">
        <v>896</v>
      </c>
      <c r="O245" t="s">
        <v>125</v>
      </c>
      <c r="P245" t="str">
        <f>"CT071705                      "</f>
        <v xml:space="preserve">CT071705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32.42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1.1000000000000001</v>
      </c>
      <c r="BJ245">
        <v>2.6</v>
      </c>
      <c r="BK245">
        <v>3</v>
      </c>
      <c r="BL245">
        <v>121.87</v>
      </c>
      <c r="BM245">
        <v>18.28</v>
      </c>
      <c r="BN245">
        <v>140.15</v>
      </c>
      <c r="BO245">
        <v>140.15</v>
      </c>
      <c r="BQ245" t="s">
        <v>897</v>
      </c>
      <c r="BR245" t="s">
        <v>82</v>
      </c>
      <c r="BS245" s="3">
        <v>44600</v>
      </c>
      <c r="BT245" s="4">
        <v>0.43194444444444446</v>
      </c>
      <c r="BU245" t="s">
        <v>898</v>
      </c>
      <c r="BV245" t="s">
        <v>84</v>
      </c>
      <c r="BW245" t="s">
        <v>239</v>
      </c>
      <c r="BX245" t="s">
        <v>899</v>
      </c>
      <c r="BY245">
        <v>12835.68</v>
      </c>
      <c r="CA245" t="s">
        <v>900</v>
      </c>
      <c r="CC245" t="s">
        <v>762</v>
      </c>
      <c r="CD245">
        <v>9301</v>
      </c>
      <c r="CE245" t="s">
        <v>130</v>
      </c>
      <c r="CF245" s="3">
        <v>44601</v>
      </c>
      <c r="CI245">
        <v>3</v>
      </c>
      <c r="CJ245">
        <v>4</v>
      </c>
      <c r="CK245">
        <v>41</v>
      </c>
      <c r="CL245" t="s">
        <v>84</v>
      </c>
    </row>
    <row r="246" spans="1:90" x14ac:dyDescent="0.25">
      <c r="A246" t="s">
        <v>72</v>
      </c>
      <c r="B246" t="s">
        <v>73</v>
      </c>
      <c r="C246" t="s">
        <v>74</v>
      </c>
      <c r="E246" t="str">
        <f>"009941974259"</f>
        <v>009941974259</v>
      </c>
      <c r="F246" s="3">
        <v>44593</v>
      </c>
      <c r="G246">
        <v>202208</v>
      </c>
      <c r="H246" t="s">
        <v>131</v>
      </c>
      <c r="I246" t="s">
        <v>132</v>
      </c>
      <c r="J246" t="s">
        <v>111</v>
      </c>
      <c r="K246" t="s">
        <v>78</v>
      </c>
      <c r="L246" t="s">
        <v>109</v>
      </c>
      <c r="M246" t="s">
        <v>110</v>
      </c>
      <c r="N246" t="s">
        <v>901</v>
      </c>
      <c r="O246" t="s">
        <v>125</v>
      </c>
      <c r="P246" t="str">
        <f>"                              "</f>
        <v xml:space="preserve">      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56.99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2</v>
      </c>
      <c r="BI246">
        <v>6</v>
      </c>
      <c r="BJ246">
        <v>36.299999999999997</v>
      </c>
      <c r="BK246">
        <v>37</v>
      </c>
      <c r="BL246">
        <v>222.78</v>
      </c>
      <c r="BM246">
        <v>33.42</v>
      </c>
      <c r="BN246">
        <v>256.2</v>
      </c>
      <c r="BO246">
        <v>256.2</v>
      </c>
      <c r="BQ246" t="s">
        <v>179</v>
      </c>
      <c r="BR246" t="s">
        <v>135</v>
      </c>
      <c r="BS246" s="3">
        <v>44594</v>
      </c>
      <c r="BT246" s="4">
        <v>0.42152777777777778</v>
      </c>
      <c r="BU246" t="s">
        <v>128</v>
      </c>
      <c r="BV246" t="s">
        <v>101</v>
      </c>
      <c r="BY246">
        <v>181500</v>
      </c>
      <c r="BZ246" t="s">
        <v>137</v>
      </c>
      <c r="CA246" t="s">
        <v>129</v>
      </c>
      <c r="CC246" t="s">
        <v>110</v>
      </c>
      <c r="CD246">
        <v>46</v>
      </c>
      <c r="CE246" t="s">
        <v>130</v>
      </c>
      <c r="CF246" s="3">
        <v>44594</v>
      </c>
      <c r="CI246">
        <v>2</v>
      </c>
      <c r="CJ246">
        <v>1</v>
      </c>
      <c r="CK246">
        <v>41</v>
      </c>
      <c r="CL246" t="s">
        <v>84</v>
      </c>
    </row>
    <row r="247" spans="1:90" x14ac:dyDescent="0.25">
      <c r="A247" t="s">
        <v>72</v>
      </c>
      <c r="B247" t="s">
        <v>73</v>
      </c>
      <c r="C247" t="s">
        <v>74</v>
      </c>
      <c r="E247" t="str">
        <f>"GAB2008035"</f>
        <v>GAB2008035</v>
      </c>
      <c r="F247" s="3">
        <v>44593</v>
      </c>
      <c r="G247">
        <v>202208</v>
      </c>
      <c r="H247" t="s">
        <v>75</v>
      </c>
      <c r="I247" t="s">
        <v>76</v>
      </c>
      <c r="J247" t="s">
        <v>77</v>
      </c>
      <c r="K247" t="s">
        <v>78</v>
      </c>
      <c r="L247" t="s">
        <v>75</v>
      </c>
      <c r="M247" t="s">
        <v>76</v>
      </c>
      <c r="N247" t="s">
        <v>374</v>
      </c>
      <c r="O247" t="s">
        <v>80</v>
      </c>
      <c r="P247" t="str">
        <f>"CT071695                      "</f>
        <v xml:space="preserve">CT071695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12.07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0.5</v>
      </c>
      <c r="BJ247">
        <v>2.5</v>
      </c>
      <c r="BK247">
        <v>2.5</v>
      </c>
      <c r="BL247">
        <v>46.08</v>
      </c>
      <c r="BM247">
        <v>6.91</v>
      </c>
      <c r="BN247">
        <v>52.99</v>
      </c>
      <c r="BO247">
        <v>52.99</v>
      </c>
      <c r="BQ247" t="s">
        <v>375</v>
      </c>
      <c r="BR247" t="s">
        <v>82</v>
      </c>
      <c r="BS247" s="3">
        <v>44594</v>
      </c>
      <c r="BT247" s="4">
        <v>0.65069444444444446</v>
      </c>
      <c r="BU247" t="s">
        <v>902</v>
      </c>
      <c r="BV247" t="s">
        <v>84</v>
      </c>
      <c r="BW247" t="s">
        <v>85</v>
      </c>
      <c r="BX247" t="s">
        <v>233</v>
      </c>
      <c r="BY247">
        <v>12338.78</v>
      </c>
      <c r="BZ247" t="s">
        <v>87</v>
      </c>
      <c r="CA247" t="s">
        <v>377</v>
      </c>
      <c r="CC247" t="s">
        <v>76</v>
      </c>
      <c r="CD247">
        <v>7806</v>
      </c>
      <c r="CE247" t="s">
        <v>580</v>
      </c>
      <c r="CF247" s="3">
        <v>44595</v>
      </c>
      <c r="CI247">
        <v>1</v>
      </c>
      <c r="CJ247">
        <v>1</v>
      </c>
      <c r="CK247">
        <v>22</v>
      </c>
      <c r="CL247" t="s">
        <v>84</v>
      </c>
    </row>
    <row r="248" spans="1:90" x14ac:dyDescent="0.25">
      <c r="A248" t="s">
        <v>72</v>
      </c>
      <c r="B248" t="s">
        <v>73</v>
      </c>
      <c r="C248" t="s">
        <v>74</v>
      </c>
      <c r="E248" t="str">
        <f>"GAB2008036"</f>
        <v>GAB2008036</v>
      </c>
      <c r="F248" s="3">
        <v>44593</v>
      </c>
      <c r="G248">
        <v>202208</v>
      </c>
      <c r="H248" t="s">
        <v>75</v>
      </c>
      <c r="I248" t="s">
        <v>76</v>
      </c>
      <c r="J248" t="s">
        <v>77</v>
      </c>
      <c r="K248" t="s">
        <v>78</v>
      </c>
      <c r="L248" t="s">
        <v>441</v>
      </c>
      <c r="M248" t="s">
        <v>442</v>
      </c>
      <c r="N248" t="s">
        <v>443</v>
      </c>
      <c r="O248" t="s">
        <v>80</v>
      </c>
      <c r="P248" t="str">
        <f>"006830                        "</f>
        <v xml:space="preserve">006830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36.71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0.3</v>
      </c>
      <c r="BJ248">
        <v>2.2999999999999998</v>
      </c>
      <c r="BK248">
        <v>2.5</v>
      </c>
      <c r="BL248">
        <v>140.12</v>
      </c>
      <c r="BM248">
        <v>21.02</v>
      </c>
      <c r="BN248">
        <v>161.13999999999999</v>
      </c>
      <c r="BO248">
        <v>161.13999999999999</v>
      </c>
      <c r="BQ248" t="s">
        <v>808</v>
      </c>
      <c r="BR248" t="s">
        <v>82</v>
      </c>
      <c r="BS248" s="3">
        <v>44594</v>
      </c>
      <c r="BT248" s="4">
        <v>0.41736111111111113</v>
      </c>
      <c r="BU248" t="s">
        <v>445</v>
      </c>
      <c r="BV248" t="s">
        <v>101</v>
      </c>
      <c r="BY248">
        <v>11360.63</v>
      </c>
      <c r="BZ248" t="s">
        <v>87</v>
      </c>
      <c r="CA248" t="s">
        <v>446</v>
      </c>
      <c r="CC248" t="s">
        <v>442</v>
      </c>
      <c r="CD248">
        <v>1035</v>
      </c>
      <c r="CE248" t="s">
        <v>97</v>
      </c>
      <c r="CF248" s="3">
        <v>44594</v>
      </c>
      <c r="CI248">
        <v>1</v>
      </c>
      <c r="CJ248">
        <v>1</v>
      </c>
      <c r="CK248">
        <v>23</v>
      </c>
      <c r="CL248" t="s">
        <v>84</v>
      </c>
    </row>
    <row r="249" spans="1:90" x14ac:dyDescent="0.25">
      <c r="A249" t="s">
        <v>72</v>
      </c>
      <c r="B249" t="s">
        <v>73</v>
      </c>
      <c r="C249" t="s">
        <v>74</v>
      </c>
      <c r="E249" t="str">
        <f>"GAB2008037"</f>
        <v>GAB2008037</v>
      </c>
      <c r="F249" s="3">
        <v>44593</v>
      </c>
      <c r="G249">
        <v>202208</v>
      </c>
      <c r="H249" t="s">
        <v>75</v>
      </c>
      <c r="I249" t="s">
        <v>76</v>
      </c>
      <c r="J249" t="s">
        <v>77</v>
      </c>
      <c r="K249" t="s">
        <v>78</v>
      </c>
      <c r="L249" t="s">
        <v>131</v>
      </c>
      <c r="M249" t="s">
        <v>132</v>
      </c>
      <c r="N249" t="s">
        <v>903</v>
      </c>
      <c r="O249" t="s">
        <v>80</v>
      </c>
      <c r="P249" t="str">
        <f>"006828                        "</f>
        <v xml:space="preserve">006828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19.32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0.2</v>
      </c>
      <c r="BJ249">
        <v>2.2000000000000002</v>
      </c>
      <c r="BK249">
        <v>2.5</v>
      </c>
      <c r="BL249">
        <v>73.739999999999995</v>
      </c>
      <c r="BM249">
        <v>11.06</v>
      </c>
      <c r="BN249">
        <v>84.8</v>
      </c>
      <c r="BO249">
        <v>84.8</v>
      </c>
      <c r="BQ249" t="s">
        <v>904</v>
      </c>
      <c r="BR249" t="s">
        <v>82</v>
      </c>
      <c r="BS249" s="3">
        <v>44595</v>
      </c>
      <c r="BT249" s="4">
        <v>0.32777777777777778</v>
      </c>
      <c r="BU249" t="s">
        <v>905</v>
      </c>
      <c r="BV249" t="s">
        <v>84</v>
      </c>
      <c r="BW249" t="s">
        <v>85</v>
      </c>
      <c r="BX249" t="s">
        <v>809</v>
      </c>
      <c r="BY249">
        <v>11153.95</v>
      </c>
      <c r="BZ249" t="s">
        <v>87</v>
      </c>
      <c r="CA249" t="s">
        <v>270</v>
      </c>
      <c r="CC249" t="s">
        <v>132</v>
      </c>
      <c r="CD249">
        <v>3629</v>
      </c>
      <c r="CE249" t="s">
        <v>152</v>
      </c>
      <c r="CF249" s="3">
        <v>44596</v>
      </c>
      <c r="CI249">
        <v>1</v>
      </c>
      <c r="CJ249">
        <v>2</v>
      </c>
      <c r="CK249">
        <v>21</v>
      </c>
      <c r="CL249" t="s">
        <v>84</v>
      </c>
    </row>
    <row r="250" spans="1:90" x14ac:dyDescent="0.25">
      <c r="A250" t="s">
        <v>72</v>
      </c>
      <c r="B250" t="s">
        <v>73</v>
      </c>
      <c r="C250" t="s">
        <v>74</v>
      </c>
      <c r="E250" t="str">
        <f>"GAB2008034"</f>
        <v>GAB2008034</v>
      </c>
      <c r="F250" s="3">
        <v>44593</v>
      </c>
      <c r="G250">
        <v>202208</v>
      </c>
      <c r="H250" t="s">
        <v>75</v>
      </c>
      <c r="I250" t="s">
        <v>76</v>
      </c>
      <c r="J250" t="s">
        <v>77</v>
      </c>
      <c r="K250" t="s">
        <v>78</v>
      </c>
      <c r="L250" t="s">
        <v>346</v>
      </c>
      <c r="M250" t="s">
        <v>346</v>
      </c>
      <c r="N250" t="s">
        <v>906</v>
      </c>
      <c r="O250" t="s">
        <v>80</v>
      </c>
      <c r="P250" t="str">
        <f>"CT071692                      "</f>
        <v xml:space="preserve">CT071692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37.619999999999997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0.2</v>
      </c>
      <c r="BJ250">
        <v>3.1</v>
      </c>
      <c r="BK250">
        <v>3.5</v>
      </c>
      <c r="BL250">
        <v>143.59</v>
      </c>
      <c r="BM250">
        <v>21.54</v>
      </c>
      <c r="BN250">
        <v>165.13</v>
      </c>
      <c r="BO250">
        <v>165.13</v>
      </c>
      <c r="BQ250" t="s">
        <v>237</v>
      </c>
      <c r="BR250" t="s">
        <v>82</v>
      </c>
      <c r="BS250" s="3">
        <v>44594</v>
      </c>
      <c r="BT250" s="4">
        <v>0.51111111111111118</v>
      </c>
      <c r="BU250" t="s">
        <v>907</v>
      </c>
      <c r="BV250" t="s">
        <v>101</v>
      </c>
      <c r="BY250">
        <v>15342.6</v>
      </c>
      <c r="BZ250" t="s">
        <v>87</v>
      </c>
      <c r="CA250" t="s">
        <v>350</v>
      </c>
      <c r="CC250" t="s">
        <v>346</v>
      </c>
      <c r="CD250">
        <v>7646</v>
      </c>
      <c r="CE250" t="s">
        <v>89</v>
      </c>
      <c r="CF250" s="3">
        <v>44595</v>
      </c>
      <c r="CI250">
        <v>1</v>
      </c>
      <c r="CJ250">
        <v>1</v>
      </c>
      <c r="CK250">
        <v>24</v>
      </c>
      <c r="CL250" t="s">
        <v>84</v>
      </c>
    </row>
    <row r="251" spans="1:90" x14ac:dyDescent="0.25">
      <c r="A251" t="s">
        <v>72</v>
      </c>
      <c r="B251" t="s">
        <v>73</v>
      </c>
      <c r="C251" t="s">
        <v>74</v>
      </c>
      <c r="E251" t="str">
        <f>"GAB2008038"</f>
        <v>GAB2008038</v>
      </c>
      <c r="F251" s="3">
        <v>44593</v>
      </c>
      <c r="G251">
        <v>202208</v>
      </c>
      <c r="H251" t="s">
        <v>75</v>
      </c>
      <c r="I251" t="s">
        <v>76</v>
      </c>
      <c r="J251" t="s">
        <v>77</v>
      </c>
      <c r="K251" t="s">
        <v>78</v>
      </c>
      <c r="L251" t="s">
        <v>123</v>
      </c>
      <c r="M251" t="s">
        <v>124</v>
      </c>
      <c r="N251" t="s">
        <v>220</v>
      </c>
      <c r="O251" t="s">
        <v>80</v>
      </c>
      <c r="P251" t="str">
        <f>"ATT HALEY MARSDEN             "</f>
        <v xml:space="preserve">ATT HALEY MARSDEN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19.32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0.2</v>
      </c>
      <c r="BJ251">
        <v>2.2999999999999998</v>
      </c>
      <c r="BK251">
        <v>2.5</v>
      </c>
      <c r="BL251">
        <v>73.739999999999995</v>
      </c>
      <c r="BM251">
        <v>11.06</v>
      </c>
      <c r="BN251">
        <v>84.8</v>
      </c>
      <c r="BO251">
        <v>84.8</v>
      </c>
      <c r="BQ251" t="s">
        <v>685</v>
      </c>
      <c r="BR251" t="s">
        <v>82</v>
      </c>
      <c r="BS251" s="3">
        <v>44594</v>
      </c>
      <c r="BT251" s="4">
        <v>0.61527777777777781</v>
      </c>
      <c r="BU251" t="s">
        <v>908</v>
      </c>
      <c r="BV251" t="s">
        <v>84</v>
      </c>
      <c r="BW251" t="s">
        <v>85</v>
      </c>
      <c r="BX251" t="s">
        <v>392</v>
      </c>
      <c r="BY251">
        <v>11734.8</v>
      </c>
      <c r="BZ251" t="s">
        <v>87</v>
      </c>
      <c r="CA251" t="s">
        <v>223</v>
      </c>
      <c r="CC251" t="s">
        <v>124</v>
      </c>
      <c r="CD251">
        <v>6001</v>
      </c>
      <c r="CE251" t="s">
        <v>687</v>
      </c>
      <c r="CF251" s="3">
        <v>44596</v>
      </c>
      <c r="CI251">
        <v>1</v>
      </c>
      <c r="CJ251">
        <v>1</v>
      </c>
      <c r="CK251">
        <v>21</v>
      </c>
      <c r="CL251" t="s">
        <v>84</v>
      </c>
    </row>
    <row r="252" spans="1:90" x14ac:dyDescent="0.25">
      <c r="A252" t="s">
        <v>72</v>
      </c>
      <c r="B252" t="s">
        <v>73</v>
      </c>
      <c r="C252" t="s">
        <v>74</v>
      </c>
      <c r="E252" t="str">
        <f>"GAB2008010"</f>
        <v>GAB2008010</v>
      </c>
      <c r="F252" s="3">
        <v>44593</v>
      </c>
      <c r="G252">
        <v>202208</v>
      </c>
      <c r="H252" t="s">
        <v>75</v>
      </c>
      <c r="I252" t="s">
        <v>76</v>
      </c>
      <c r="J252" t="s">
        <v>77</v>
      </c>
      <c r="K252" t="s">
        <v>78</v>
      </c>
      <c r="L252" t="s">
        <v>378</v>
      </c>
      <c r="M252" t="s">
        <v>379</v>
      </c>
      <c r="N252" t="s">
        <v>380</v>
      </c>
      <c r="O252" t="s">
        <v>80</v>
      </c>
      <c r="P252" t="str">
        <f>"CT071662                      "</f>
        <v xml:space="preserve">CT071662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43.47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0.3</v>
      </c>
      <c r="BJ252">
        <v>2.6</v>
      </c>
      <c r="BK252">
        <v>3</v>
      </c>
      <c r="BL252">
        <v>165.93</v>
      </c>
      <c r="BM252">
        <v>24.89</v>
      </c>
      <c r="BN252">
        <v>190.82</v>
      </c>
      <c r="BO252">
        <v>190.82</v>
      </c>
      <c r="BQ252" t="s">
        <v>381</v>
      </c>
      <c r="BR252" t="s">
        <v>82</v>
      </c>
      <c r="BS252" s="3">
        <v>44594</v>
      </c>
      <c r="BT252" s="4">
        <v>0.40763888888888888</v>
      </c>
      <c r="BU252" t="s">
        <v>382</v>
      </c>
      <c r="BV252" t="s">
        <v>101</v>
      </c>
      <c r="BY252">
        <v>13157.1</v>
      </c>
      <c r="BZ252" t="s">
        <v>87</v>
      </c>
      <c r="CA252" t="s">
        <v>383</v>
      </c>
      <c r="CC252" t="s">
        <v>379</v>
      </c>
      <c r="CD252">
        <v>1900</v>
      </c>
      <c r="CE252" t="s">
        <v>97</v>
      </c>
      <c r="CF252" s="3">
        <v>44595</v>
      </c>
      <c r="CI252">
        <v>1</v>
      </c>
      <c r="CJ252">
        <v>1</v>
      </c>
      <c r="CK252">
        <v>23</v>
      </c>
      <c r="CL252" t="s">
        <v>84</v>
      </c>
    </row>
    <row r="253" spans="1:90" x14ac:dyDescent="0.25">
      <c r="A253" t="s">
        <v>72</v>
      </c>
      <c r="B253" t="s">
        <v>73</v>
      </c>
      <c r="C253" t="s">
        <v>74</v>
      </c>
      <c r="E253" t="str">
        <f>"009941974260"</f>
        <v>009941974260</v>
      </c>
      <c r="F253" s="3">
        <v>44593</v>
      </c>
      <c r="G253">
        <v>202208</v>
      </c>
      <c r="H253" t="s">
        <v>131</v>
      </c>
      <c r="I253" t="s">
        <v>132</v>
      </c>
      <c r="J253" t="s">
        <v>909</v>
      </c>
      <c r="K253" t="s">
        <v>78</v>
      </c>
      <c r="L253" t="s">
        <v>75</v>
      </c>
      <c r="M253" t="s">
        <v>76</v>
      </c>
      <c r="N253" t="s">
        <v>111</v>
      </c>
      <c r="O253" t="s">
        <v>125</v>
      </c>
      <c r="P253" t="str">
        <f>"                              "</f>
        <v xml:space="preserve">      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29.89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2</v>
      </c>
      <c r="BI253">
        <v>3</v>
      </c>
      <c r="BJ253">
        <v>10.7</v>
      </c>
      <c r="BK253">
        <v>11</v>
      </c>
      <c r="BL253">
        <v>119.34</v>
      </c>
      <c r="BM253">
        <v>17.899999999999999</v>
      </c>
      <c r="BN253">
        <v>137.24</v>
      </c>
      <c r="BO253">
        <v>137.24</v>
      </c>
      <c r="BQ253" t="s">
        <v>910</v>
      </c>
      <c r="BR253" t="s">
        <v>135</v>
      </c>
      <c r="BS253" s="3">
        <v>44596</v>
      </c>
      <c r="BT253" s="4">
        <v>0.43055555555555558</v>
      </c>
      <c r="BU253" t="s">
        <v>911</v>
      </c>
      <c r="BV253" t="s">
        <v>101</v>
      </c>
      <c r="BY253">
        <v>53700</v>
      </c>
      <c r="BZ253" t="s">
        <v>137</v>
      </c>
      <c r="CA253" t="s">
        <v>274</v>
      </c>
      <c r="CC253" t="s">
        <v>76</v>
      </c>
      <c r="CD253">
        <v>8000</v>
      </c>
      <c r="CE253" t="s">
        <v>130</v>
      </c>
      <c r="CF253" s="3">
        <v>44599</v>
      </c>
      <c r="CI253">
        <v>3</v>
      </c>
      <c r="CJ253">
        <v>2</v>
      </c>
      <c r="CK253">
        <v>41</v>
      </c>
      <c r="CL253" t="s">
        <v>84</v>
      </c>
    </row>
    <row r="254" spans="1:90" x14ac:dyDescent="0.25">
      <c r="A254" t="s">
        <v>72</v>
      </c>
      <c r="B254" t="s">
        <v>73</v>
      </c>
      <c r="C254" t="s">
        <v>74</v>
      </c>
      <c r="E254" t="str">
        <f>"GAB2008029"</f>
        <v>GAB2008029</v>
      </c>
      <c r="F254" s="3">
        <v>44593</v>
      </c>
      <c r="G254">
        <v>202208</v>
      </c>
      <c r="H254" t="s">
        <v>75</v>
      </c>
      <c r="I254" t="s">
        <v>76</v>
      </c>
      <c r="J254" t="s">
        <v>77</v>
      </c>
      <c r="K254" t="s">
        <v>78</v>
      </c>
      <c r="L254" t="s">
        <v>510</v>
      </c>
      <c r="M254" t="s">
        <v>511</v>
      </c>
      <c r="N254" t="s">
        <v>912</v>
      </c>
      <c r="O254" t="s">
        <v>125</v>
      </c>
      <c r="P254" t="str">
        <f>"CT071688                      "</f>
        <v xml:space="preserve">CT071688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29.89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4.4000000000000004</v>
      </c>
      <c r="BJ254">
        <v>13.9</v>
      </c>
      <c r="BK254">
        <v>14</v>
      </c>
      <c r="BL254">
        <v>119.34</v>
      </c>
      <c r="BM254">
        <v>17.899999999999999</v>
      </c>
      <c r="BN254">
        <v>137.24</v>
      </c>
      <c r="BO254">
        <v>137.24</v>
      </c>
      <c r="BQ254" t="s">
        <v>913</v>
      </c>
      <c r="BR254" t="s">
        <v>82</v>
      </c>
      <c r="BS254" s="3">
        <v>44595</v>
      </c>
      <c r="BT254" s="4">
        <v>0.43402777777777773</v>
      </c>
      <c r="BU254" t="s">
        <v>914</v>
      </c>
      <c r="BV254" t="s">
        <v>101</v>
      </c>
      <c r="BY254">
        <v>69463.679999999993</v>
      </c>
      <c r="CA254" t="s">
        <v>515</v>
      </c>
      <c r="CC254" t="s">
        <v>511</v>
      </c>
      <c r="CD254">
        <v>1200</v>
      </c>
      <c r="CE254" t="s">
        <v>915</v>
      </c>
      <c r="CF254" s="3">
        <v>44595</v>
      </c>
      <c r="CI254">
        <v>7</v>
      </c>
      <c r="CJ254">
        <v>2</v>
      </c>
      <c r="CK254">
        <v>41</v>
      </c>
      <c r="CL254" t="s">
        <v>84</v>
      </c>
    </row>
    <row r="255" spans="1:90" x14ac:dyDescent="0.25">
      <c r="A255" t="s">
        <v>72</v>
      </c>
      <c r="B255" t="s">
        <v>73</v>
      </c>
      <c r="C255" t="s">
        <v>74</v>
      </c>
      <c r="E255" t="str">
        <f>"GAB2008065"</f>
        <v>GAB2008065</v>
      </c>
      <c r="F255" s="3">
        <v>44595</v>
      </c>
      <c r="G255">
        <v>202208</v>
      </c>
      <c r="H255" t="s">
        <v>75</v>
      </c>
      <c r="I255" t="s">
        <v>76</v>
      </c>
      <c r="J255" t="s">
        <v>77</v>
      </c>
      <c r="K255" t="s">
        <v>78</v>
      </c>
      <c r="L255" t="s">
        <v>165</v>
      </c>
      <c r="M255" t="s">
        <v>166</v>
      </c>
      <c r="N255" t="s">
        <v>916</v>
      </c>
      <c r="O255" t="s">
        <v>80</v>
      </c>
      <c r="P255" t="str">
        <f>"006827                        "</f>
        <v xml:space="preserve">006827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20.95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0.1</v>
      </c>
      <c r="BJ255">
        <v>2.1</v>
      </c>
      <c r="BK255">
        <v>2.5</v>
      </c>
      <c r="BL255">
        <v>75.37</v>
      </c>
      <c r="BM255">
        <v>11.31</v>
      </c>
      <c r="BN255">
        <v>86.68</v>
      </c>
      <c r="BO255">
        <v>86.68</v>
      </c>
      <c r="BQ255" t="s">
        <v>917</v>
      </c>
      <c r="BR255" t="s">
        <v>82</v>
      </c>
      <c r="BS255" s="3">
        <v>44596</v>
      </c>
      <c r="BT255" s="4">
        <v>0.39652777777777781</v>
      </c>
      <c r="BU255" t="s">
        <v>918</v>
      </c>
      <c r="BV255" t="s">
        <v>101</v>
      </c>
      <c r="BY255">
        <v>10366.44</v>
      </c>
      <c r="BZ255" t="s">
        <v>87</v>
      </c>
      <c r="CA255" t="s">
        <v>919</v>
      </c>
      <c r="CC255" t="s">
        <v>166</v>
      </c>
      <c r="CD255">
        <v>2</v>
      </c>
      <c r="CE255" t="s">
        <v>89</v>
      </c>
      <c r="CF255" s="3">
        <v>44596</v>
      </c>
      <c r="CI255">
        <v>1</v>
      </c>
      <c r="CJ255">
        <v>1</v>
      </c>
      <c r="CK255">
        <v>21</v>
      </c>
      <c r="CL255" t="s">
        <v>84</v>
      </c>
    </row>
    <row r="256" spans="1:90" x14ac:dyDescent="0.25">
      <c r="A256" t="s">
        <v>72</v>
      </c>
      <c r="B256" t="s">
        <v>73</v>
      </c>
      <c r="C256" t="s">
        <v>74</v>
      </c>
      <c r="E256" t="str">
        <f>"GAB2008009"</f>
        <v>GAB2008009</v>
      </c>
      <c r="F256" s="3">
        <v>44593</v>
      </c>
      <c r="G256">
        <v>202208</v>
      </c>
      <c r="H256" t="s">
        <v>75</v>
      </c>
      <c r="I256" t="s">
        <v>76</v>
      </c>
      <c r="J256" t="s">
        <v>77</v>
      </c>
      <c r="K256" t="s">
        <v>78</v>
      </c>
      <c r="L256" t="s">
        <v>920</v>
      </c>
      <c r="M256" t="s">
        <v>921</v>
      </c>
      <c r="N256" t="s">
        <v>922</v>
      </c>
      <c r="O256" t="s">
        <v>80</v>
      </c>
      <c r="P256" t="str">
        <f>"CT071661                      "</f>
        <v xml:space="preserve">CT071661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36.71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0.3</v>
      </c>
      <c r="BJ256">
        <v>2.4</v>
      </c>
      <c r="BK256">
        <v>2.5</v>
      </c>
      <c r="BL256">
        <v>140.12</v>
      </c>
      <c r="BM256">
        <v>21.02</v>
      </c>
      <c r="BN256">
        <v>161.13999999999999</v>
      </c>
      <c r="BO256">
        <v>161.13999999999999</v>
      </c>
      <c r="BQ256" t="s">
        <v>237</v>
      </c>
      <c r="BR256" t="s">
        <v>82</v>
      </c>
      <c r="BS256" s="3">
        <v>44594</v>
      </c>
      <c r="BT256" s="4">
        <v>0.57847222222222217</v>
      </c>
      <c r="BU256" t="s">
        <v>923</v>
      </c>
      <c r="BV256" t="s">
        <v>101</v>
      </c>
      <c r="BY256">
        <v>12023.04</v>
      </c>
      <c r="BZ256" t="s">
        <v>87</v>
      </c>
      <c r="CA256" t="s">
        <v>924</v>
      </c>
      <c r="CC256" t="s">
        <v>921</v>
      </c>
      <c r="CD256">
        <v>3100</v>
      </c>
      <c r="CE256" t="s">
        <v>288</v>
      </c>
      <c r="CF256" s="3">
        <v>44595</v>
      </c>
      <c r="CI256">
        <v>1</v>
      </c>
      <c r="CJ256">
        <v>1</v>
      </c>
      <c r="CK256">
        <v>23</v>
      </c>
      <c r="CL256" t="s">
        <v>84</v>
      </c>
    </row>
    <row r="257" spans="1:90" x14ac:dyDescent="0.25">
      <c r="A257" t="s">
        <v>72</v>
      </c>
      <c r="B257" t="s">
        <v>73</v>
      </c>
      <c r="C257" t="s">
        <v>74</v>
      </c>
      <c r="E257" t="str">
        <f>"GAB2008055"</f>
        <v>GAB2008055</v>
      </c>
      <c r="F257" s="3">
        <v>44595</v>
      </c>
      <c r="G257">
        <v>202208</v>
      </c>
      <c r="H257" t="s">
        <v>75</v>
      </c>
      <c r="I257" t="s">
        <v>76</v>
      </c>
      <c r="J257" t="s">
        <v>77</v>
      </c>
      <c r="K257" t="s">
        <v>78</v>
      </c>
      <c r="L257" t="s">
        <v>153</v>
      </c>
      <c r="M257" t="s">
        <v>154</v>
      </c>
      <c r="N257" t="s">
        <v>925</v>
      </c>
      <c r="O257" t="s">
        <v>125</v>
      </c>
      <c r="P257" t="str">
        <f>"CT071549                      "</f>
        <v xml:space="preserve">CT071549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65.819999999999993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23.7</v>
      </c>
      <c r="BJ257">
        <v>40</v>
      </c>
      <c r="BK257">
        <v>40</v>
      </c>
      <c r="BL257">
        <v>242.02</v>
      </c>
      <c r="BM257">
        <v>36.299999999999997</v>
      </c>
      <c r="BN257">
        <v>278.32</v>
      </c>
      <c r="BO257">
        <v>278.32</v>
      </c>
      <c r="BQ257" t="s">
        <v>926</v>
      </c>
      <c r="BR257" t="s">
        <v>82</v>
      </c>
      <c r="BS257" s="3">
        <v>44599</v>
      </c>
      <c r="BT257" s="4">
        <v>0.36319444444444443</v>
      </c>
      <c r="BU257" t="s">
        <v>927</v>
      </c>
      <c r="BV257" t="s">
        <v>101</v>
      </c>
      <c r="BY257">
        <v>199953.72</v>
      </c>
      <c r="CA257" t="s">
        <v>928</v>
      </c>
      <c r="CC257" t="s">
        <v>154</v>
      </c>
      <c r="CD257">
        <v>2192</v>
      </c>
      <c r="CE257" t="s">
        <v>130</v>
      </c>
      <c r="CF257" s="3">
        <v>44600</v>
      </c>
      <c r="CI257">
        <v>2</v>
      </c>
      <c r="CJ257">
        <v>2</v>
      </c>
      <c r="CK257">
        <v>41</v>
      </c>
      <c r="CL257" t="s">
        <v>84</v>
      </c>
    </row>
    <row r="258" spans="1:90" x14ac:dyDescent="0.25">
      <c r="A258" t="s">
        <v>72</v>
      </c>
      <c r="B258" t="s">
        <v>73</v>
      </c>
      <c r="C258" t="s">
        <v>74</v>
      </c>
      <c r="E258" t="str">
        <f>"GAB2008012"</f>
        <v>GAB2008012</v>
      </c>
      <c r="F258" s="3">
        <v>44593</v>
      </c>
      <c r="G258">
        <v>202208</v>
      </c>
      <c r="H258" t="s">
        <v>75</v>
      </c>
      <c r="I258" t="s">
        <v>76</v>
      </c>
      <c r="J258" t="s">
        <v>77</v>
      </c>
      <c r="K258" t="s">
        <v>78</v>
      </c>
      <c r="L258" t="s">
        <v>75</v>
      </c>
      <c r="M258" t="s">
        <v>76</v>
      </c>
      <c r="N258" t="s">
        <v>929</v>
      </c>
      <c r="O258" t="s">
        <v>80</v>
      </c>
      <c r="P258" t="str">
        <f>"CT071664                      "</f>
        <v xml:space="preserve">CT071664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12.07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0.3</v>
      </c>
      <c r="BJ258">
        <v>2.2000000000000002</v>
      </c>
      <c r="BK258">
        <v>2.5</v>
      </c>
      <c r="BL258">
        <v>46.08</v>
      </c>
      <c r="BM258">
        <v>6.91</v>
      </c>
      <c r="BN258">
        <v>52.99</v>
      </c>
      <c r="BO258">
        <v>52.99</v>
      </c>
      <c r="BQ258" t="s">
        <v>930</v>
      </c>
      <c r="BR258" t="s">
        <v>82</v>
      </c>
      <c r="BS258" s="3">
        <v>44594</v>
      </c>
      <c r="BT258" s="4">
        <v>0.53611111111111109</v>
      </c>
      <c r="BU258" t="s">
        <v>931</v>
      </c>
      <c r="BV258" t="s">
        <v>84</v>
      </c>
      <c r="BW258" t="s">
        <v>95</v>
      </c>
      <c r="BX258" t="s">
        <v>86</v>
      </c>
      <c r="BY258">
        <v>11012.4</v>
      </c>
      <c r="BZ258" t="s">
        <v>87</v>
      </c>
      <c r="CA258" t="s">
        <v>932</v>
      </c>
      <c r="CC258" t="s">
        <v>76</v>
      </c>
      <c r="CD258">
        <v>8001</v>
      </c>
      <c r="CE258" t="s">
        <v>103</v>
      </c>
      <c r="CF258" s="3">
        <v>44595</v>
      </c>
      <c r="CI258">
        <v>1</v>
      </c>
      <c r="CJ258">
        <v>1</v>
      </c>
      <c r="CK258">
        <v>22</v>
      </c>
      <c r="CL258" t="s">
        <v>84</v>
      </c>
    </row>
    <row r="259" spans="1:90" x14ac:dyDescent="0.25">
      <c r="A259" t="s">
        <v>72</v>
      </c>
      <c r="B259" t="s">
        <v>73</v>
      </c>
      <c r="C259" t="s">
        <v>74</v>
      </c>
      <c r="E259" t="str">
        <f>"GAB2008077"</f>
        <v>GAB2008077</v>
      </c>
      <c r="F259" s="3">
        <v>44595</v>
      </c>
      <c r="G259">
        <v>202208</v>
      </c>
      <c r="H259" t="s">
        <v>75</v>
      </c>
      <c r="I259" t="s">
        <v>76</v>
      </c>
      <c r="J259" t="s">
        <v>77</v>
      </c>
      <c r="K259" t="s">
        <v>78</v>
      </c>
      <c r="L259" t="s">
        <v>75</v>
      </c>
      <c r="M259" t="s">
        <v>76</v>
      </c>
      <c r="N259" t="s">
        <v>933</v>
      </c>
      <c r="O259" t="s">
        <v>125</v>
      </c>
      <c r="P259" t="str">
        <f>"CT071742 CT071743             "</f>
        <v xml:space="preserve">CT071742 CT071743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25.01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2.2999999999999998</v>
      </c>
      <c r="BJ259">
        <v>6.4</v>
      </c>
      <c r="BK259">
        <v>7</v>
      </c>
      <c r="BL259">
        <v>95.23</v>
      </c>
      <c r="BM259">
        <v>14.28</v>
      </c>
      <c r="BN259">
        <v>109.51</v>
      </c>
      <c r="BO259">
        <v>109.51</v>
      </c>
      <c r="BQ259" t="s">
        <v>934</v>
      </c>
      <c r="BR259" t="s">
        <v>82</v>
      </c>
      <c r="BS259" s="3">
        <v>44599</v>
      </c>
      <c r="BT259" s="4">
        <v>0.40208333333333335</v>
      </c>
      <c r="BU259" t="s">
        <v>935</v>
      </c>
      <c r="BV259" t="s">
        <v>84</v>
      </c>
      <c r="BW259" t="s">
        <v>95</v>
      </c>
      <c r="BX259" t="s">
        <v>86</v>
      </c>
      <c r="BY259">
        <v>31776.43</v>
      </c>
      <c r="CA259" t="s">
        <v>102</v>
      </c>
      <c r="CC259" t="s">
        <v>76</v>
      </c>
      <c r="CD259">
        <v>7824</v>
      </c>
      <c r="CE259" t="s">
        <v>130</v>
      </c>
      <c r="CF259" s="3">
        <v>44600</v>
      </c>
      <c r="CI259">
        <v>1</v>
      </c>
      <c r="CJ259">
        <v>2</v>
      </c>
      <c r="CK259">
        <v>42</v>
      </c>
      <c r="CL259" t="s">
        <v>84</v>
      </c>
    </row>
    <row r="260" spans="1:90" x14ac:dyDescent="0.25">
      <c r="A260" t="s">
        <v>72</v>
      </c>
      <c r="B260" t="s">
        <v>73</v>
      </c>
      <c r="C260" t="s">
        <v>74</v>
      </c>
      <c r="E260" t="str">
        <f>"GAB2008088"</f>
        <v>GAB2008088</v>
      </c>
      <c r="F260" s="3">
        <v>44596</v>
      </c>
      <c r="G260">
        <v>202208</v>
      </c>
      <c r="H260" t="s">
        <v>75</v>
      </c>
      <c r="I260" t="s">
        <v>76</v>
      </c>
      <c r="J260" t="s">
        <v>77</v>
      </c>
      <c r="K260" t="s">
        <v>78</v>
      </c>
      <c r="L260" t="s">
        <v>90</v>
      </c>
      <c r="M260" t="s">
        <v>91</v>
      </c>
      <c r="N260" t="s">
        <v>92</v>
      </c>
      <c r="O260" t="s">
        <v>80</v>
      </c>
      <c r="P260" t="str">
        <f>"CT071757                      "</f>
        <v xml:space="preserve">CT071757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13.09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0.2</v>
      </c>
      <c r="BJ260">
        <v>2.8</v>
      </c>
      <c r="BK260">
        <v>3</v>
      </c>
      <c r="BL260">
        <v>47.1</v>
      </c>
      <c r="BM260">
        <v>7.07</v>
      </c>
      <c r="BN260">
        <v>54.17</v>
      </c>
      <c r="BO260">
        <v>54.17</v>
      </c>
      <c r="BQ260" t="s">
        <v>93</v>
      </c>
      <c r="BR260" t="s">
        <v>82</v>
      </c>
      <c r="BS260" s="3">
        <v>44599</v>
      </c>
      <c r="BT260" s="4">
        <v>0.45277777777777778</v>
      </c>
      <c r="BU260" t="s">
        <v>936</v>
      </c>
      <c r="BV260" t="s">
        <v>101</v>
      </c>
      <c r="BY260">
        <v>13940.01</v>
      </c>
      <c r="BZ260" t="s">
        <v>87</v>
      </c>
      <c r="CA260" t="s">
        <v>96</v>
      </c>
      <c r="CC260" t="s">
        <v>91</v>
      </c>
      <c r="CD260">
        <v>7600</v>
      </c>
      <c r="CE260" t="s">
        <v>97</v>
      </c>
      <c r="CF260" s="3">
        <v>44600</v>
      </c>
      <c r="CI260">
        <v>1</v>
      </c>
      <c r="CJ260">
        <v>1</v>
      </c>
      <c r="CK260">
        <v>22</v>
      </c>
      <c r="CL260" t="s">
        <v>84</v>
      </c>
    </row>
    <row r="261" spans="1:90" x14ac:dyDescent="0.25">
      <c r="A261" t="s">
        <v>72</v>
      </c>
      <c r="B261" t="s">
        <v>73</v>
      </c>
      <c r="C261" t="s">
        <v>74</v>
      </c>
      <c r="E261" t="str">
        <f>"GAB2008101"</f>
        <v>GAB2008101</v>
      </c>
      <c r="F261" s="3">
        <v>44596</v>
      </c>
      <c r="G261">
        <v>202208</v>
      </c>
      <c r="H261" t="s">
        <v>75</v>
      </c>
      <c r="I261" t="s">
        <v>76</v>
      </c>
      <c r="J261" t="s">
        <v>77</v>
      </c>
      <c r="K261" t="s">
        <v>78</v>
      </c>
      <c r="L261" t="s">
        <v>165</v>
      </c>
      <c r="M261" t="s">
        <v>166</v>
      </c>
      <c r="N261" t="s">
        <v>937</v>
      </c>
      <c r="O261" t="s">
        <v>125</v>
      </c>
      <c r="P261" t="str">
        <f>"CT071777                      "</f>
        <v xml:space="preserve">CT071777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32.42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0.8</v>
      </c>
      <c r="BJ261">
        <v>2.5</v>
      </c>
      <c r="BK261">
        <v>3</v>
      </c>
      <c r="BL261">
        <v>121.87</v>
      </c>
      <c r="BM261">
        <v>18.28</v>
      </c>
      <c r="BN261">
        <v>140.15</v>
      </c>
      <c r="BO261">
        <v>140.15</v>
      </c>
      <c r="BQ261" t="s">
        <v>938</v>
      </c>
      <c r="BR261" t="s">
        <v>82</v>
      </c>
      <c r="BS261" s="3">
        <v>44599</v>
      </c>
      <c r="BT261" s="4">
        <v>0.48888888888888887</v>
      </c>
      <c r="BU261" t="s">
        <v>939</v>
      </c>
      <c r="BV261" t="s">
        <v>101</v>
      </c>
      <c r="BY261">
        <v>12745.92</v>
      </c>
      <c r="CA261" t="s">
        <v>940</v>
      </c>
      <c r="CC261" t="s">
        <v>166</v>
      </c>
      <c r="CD261">
        <v>2</v>
      </c>
      <c r="CE261" t="s">
        <v>130</v>
      </c>
      <c r="CF261" s="3">
        <v>44599</v>
      </c>
      <c r="CI261">
        <v>2</v>
      </c>
      <c r="CJ261">
        <v>1</v>
      </c>
      <c r="CK261">
        <v>41</v>
      </c>
      <c r="CL261" t="s">
        <v>84</v>
      </c>
    </row>
    <row r="262" spans="1:90" x14ac:dyDescent="0.25">
      <c r="A262" t="s">
        <v>72</v>
      </c>
      <c r="B262" t="s">
        <v>73</v>
      </c>
      <c r="C262" t="s">
        <v>74</v>
      </c>
      <c r="E262" t="str">
        <f>"GAB2008086"</f>
        <v>GAB2008086</v>
      </c>
      <c r="F262" s="3">
        <v>44596</v>
      </c>
      <c r="G262">
        <v>202208</v>
      </c>
      <c r="H262" t="s">
        <v>75</v>
      </c>
      <c r="I262" t="s">
        <v>76</v>
      </c>
      <c r="J262" t="s">
        <v>77</v>
      </c>
      <c r="K262" t="s">
        <v>78</v>
      </c>
      <c r="L262" t="s">
        <v>282</v>
      </c>
      <c r="M262" t="s">
        <v>283</v>
      </c>
      <c r="N262" t="s">
        <v>941</v>
      </c>
      <c r="O262" t="s">
        <v>80</v>
      </c>
      <c r="P262" t="str">
        <f>"CT071756                      "</f>
        <v xml:space="preserve">CT071756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47.15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0.2</v>
      </c>
      <c r="BJ262">
        <v>2.6</v>
      </c>
      <c r="BK262">
        <v>3</v>
      </c>
      <c r="BL262">
        <v>169.61</v>
      </c>
      <c r="BM262">
        <v>25.44</v>
      </c>
      <c r="BN262">
        <v>195.05</v>
      </c>
      <c r="BO262">
        <v>195.05</v>
      </c>
      <c r="BQ262" t="s">
        <v>942</v>
      </c>
      <c r="BR262" t="s">
        <v>82</v>
      </c>
      <c r="BS262" s="3">
        <v>44599</v>
      </c>
      <c r="BT262" s="4">
        <v>0.41388888888888892</v>
      </c>
      <c r="BU262" t="s">
        <v>943</v>
      </c>
      <c r="BV262" t="s">
        <v>101</v>
      </c>
      <c r="BY262">
        <v>12909.96</v>
      </c>
      <c r="BZ262" t="s">
        <v>87</v>
      </c>
      <c r="CA262" t="s">
        <v>287</v>
      </c>
      <c r="CC262" t="s">
        <v>283</v>
      </c>
      <c r="CD262">
        <v>300</v>
      </c>
      <c r="CE262" t="s">
        <v>97</v>
      </c>
      <c r="CF262" s="3">
        <v>44599</v>
      </c>
      <c r="CI262">
        <v>1</v>
      </c>
      <c r="CJ262">
        <v>1</v>
      </c>
      <c r="CK262">
        <v>23</v>
      </c>
      <c r="CL262" t="s">
        <v>84</v>
      </c>
    </row>
    <row r="263" spans="1:90" x14ac:dyDescent="0.25">
      <c r="A263" t="s">
        <v>72</v>
      </c>
      <c r="B263" t="s">
        <v>73</v>
      </c>
      <c r="C263" t="s">
        <v>74</v>
      </c>
      <c r="E263" t="str">
        <f>"GAB2008090"</f>
        <v>GAB2008090</v>
      </c>
      <c r="F263" s="3">
        <v>44596</v>
      </c>
      <c r="G263">
        <v>202208</v>
      </c>
      <c r="H263" t="s">
        <v>75</v>
      </c>
      <c r="I263" t="s">
        <v>76</v>
      </c>
      <c r="J263" t="s">
        <v>77</v>
      </c>
      <c r="K263" t="s">
        <v>78</v>
      </c>
      <c r="L263" t="s">
        <v>176</v>
      </c>
      <c r="M263" t="s">
        <v>177</v>
      </c>
      <c r="N263" t="s">
        <v>658</v>
      </c>
      <c r="O263" t="s">
        <v>125</v>
      </c>
      <c r="P263" t="str">
        <f>"CT071760                      "</f>
        <v xml:space="preserve">CT071760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32.42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2</v>
      </c>
      <c r="BI263">
        <v>5.8</v>
      </c>
      <c r="BJ263">
        <v>14.1</v>
      </c>
      <c r="BK263">
        <v>15</v>
      </c>
      <c r="BL263">
        <v>121.87</v>
      </c>
      <c r="BM263">
        <v>18.28</v>
      </c>
      <c r="BN263">
        <v>140.15</v>
      </c>
      <c r="BO263">
        <v>140.15</v>
      </c>
      <c r="BQ263" t="s">
        <v>659</v>
      </c>
      <c r="BR263" t="s">
        <v>82</v>
      </c>
      <c r="BS263" s="3">
        <v>44600</v>
      </c>
      <c r="BT263" s="4">
        <v>0.46388888888888885</v>
      </c>
      <c r="BU263" t="s">
        <v>660</v>
      </c>
      <c r="BV263" t="s">
        <v>101</v>
      </c>
      <c r="BY263">
        <v>70512</v>
      </c>
      <c r="CA263" t="s">
        <v>661</v>
      </c>
      <c r="CC263" t="s">
        <v>177</v>
      </c>
      <c r="CD263">
        <v>3610</v>
      </c>
      <c r="CE263" t="s">
        <v>130</v>
      </c>
      <c r="CF263" s="3">
        <v>44601</v>
      </c>
      <c r="CI263">
        <v>3</v>
      </c>
      <c r="CJ263">
        <v>2</v>
      </c>
      <c r="CK263">
        <v>41</v>
      </c>
      <c r="CL263" t="s">
        <v>84</v>
      </c>
    </row>
    <row r="264" spans="1:90" x14ac:dyDescent="0.25">
      <c r="A264" t="s">
        <v>72</v>
      </c>
      <c r="B264" t="s">
        <v>73</v>
      </c>
      <c r="C264" t="s">
        <v>74</v>
      </c>
      <c r="E264" t="str">
        <f>"GAB2008092"</f>
        <v>GAB2008092</v>
      </c>
      <c r="F264" s="3">
        <v>44596</v>
      </c>
      <c r="G264">
        <v>202208</v>
      </c>
      <c r="H264" t="s">
        <v>75</v>
      </c>
      <c r="I264" t="s">
        <v>76</v>
      </c>
      <c r="J264" t="s">
        <v>77</v>
      </c>
      <c r="K264" t="s">
        <v>78</v>
      </c>
      <c r="L264" t="s">
        <v>75</v>
      </c>
      <c r="M264" t="s">
        <v>76</v>
      </c>
      <c r="N264" t="s">
        <v>944</v>
      </c>
      <c r="O264" t="s">
        <v>125</v>
      </c>
      <c r="P264" t="str">
        <f>"CT071767                      "</f>
        <v xml:space="preserve">CT071767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25.01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0.4</v>
      </c>
      <c r="BJ264">
        <v>2.9</v>
      </c>
      <c r="BK264">
        <v>3</v>
      </c>
      <c r="BL264">
        <v>95.23</v>
      </c>
      <c r="BM264">
        <v>14.28</v>
      </c>
      <c r="BN264">
        <v>109.51</v>
      </c>
      <c r="BO264">
        <v>109.51</v>
      </c>
      <c r="BQ264" t="s">
        <v>713</v>
      </c>
      <c r="BR264" t="s">
        <v>82</v>
      </c>
      <c r="BS264" s="3">
        <v>44600</v>
      </c>
      <c r="BT264" s="4">
        <v>0.41666666666666669</v>
      </c>
      <c r="BU264" t="s">
        <v>945</v>
      </c>
      <c r="BV264" t="s">
        <v>84</v>
      </c>
      <c r="BW264" t="s">
        <v>838</v>
      </c>
      <c r="BX264" t="s">
        <v>86</v>
      </c>
      <c r="BY264">
        <v>14302.2</v>
      </c>
      <c r="CC264" t="s">
        <v>76</v>
      </c>
      <c r="CD264">
        <v>7708</v>
      </c>
      <c r="CE264" t="s">
        <v>130</v>
      </c>
      <c r="CF264" s="3">
        <v>44601</v>
      </c>
      <c r="CI264">
        <v>1</v>
      </c>
      <c r="CJ264">
        <v>2</v>
      </c>
      <c r="CK264">
        <v>42</v>
      </c>
      <c r="CL264" t="s">
        <v>84</v>
      </c>
    </row>
    <row r="265" spans="1:90" x14ac:dyDescent="0.25">
      <c r="A265" t="s">
        <v>72</v>
      </c>
      <c r="B265" t="s">
        <v>73</v>
      </c>
      <c r="C265" t="s">
        <v>74</v>
      </c>
      <c r="E265" t="str">
        <f>"GAB2008094"</f>
        <v>GAB2008094</v>
      </c>
      <c r="F265" s="3">
        <v>44596</v>
      </c>
      <c r="G265">
        <v>202208</v>
      </c>
      <c r="H265" t="s">
        <v>75</v>
      </c>
      <c r="I265" t="s">
        <v>76</v>
      </c>
      <c r="J265" t="s">
        <v>77</v>
      </c>
      <c r="K265" t="s">
        <v>78</v>
      </c>
      <c r="L265" t="s">
        <v>447</v>
      </c>
      <c r="M265" t="s">
        <v>448</v>
      </c>
      <c r="N265" t="s">
        <v>946</v>
      </c>
      <c r="O265" t="s">
        <v>125</v>
      </c>
      <c r="P265" t="str">
        <f>"CT071768                      "</f>
        <v xml:space="preserve">CT071768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32.42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0.1</v>
      </c>
      <c r="BJ265">
        <v>2.5</v>
      </c>
      <c r="BK265">
        <v>3</v>
      </c>
      <c r="BL265">
        <v>121.87</v>
      </c>
      <c r="BM265">
        <v>18.28</v>
      </c>
      <c r="BN265">
        <v>140.15</v>
      </c>
      <c r="BO265">
        <v>140.15</v>
      </c>
      <c r="BQ265" t="s">
        <v>947</v>
      </c>
      <c r="BR265" t="s">
        <v>82</v>
      </c>
      <c r="BS265" s="3">
        <v>44599</v>
      </c>
      <c r="BT265" s="4">
        <v>0.50347222222222221</v>
      </c>
      <c r="BU265" t="s">
        <v>948</v>
      </c>
      <c r="BV265" t="s">
        <v>101</v>
      </c>
      <c r="BY265">
        <v>12626.25</v>
      </c>
      <c r="CA265" t="s">
        <v>949</v>
      </c>
      <c r="CC265" t="s">
        <v>448</v>
      </c>
      <c r="CD265">
        <v>1682</v>
      </c>
      <c r="CE265" t="s">
        <v>130</v>
      </c>
      <c r="CF265" s="3">
        <v>44600</v>
      </c>
      <c r="CI265">
        <v>2</v>
      </c>
      <c r="CJ265">
        <v>1</v>
      </c>
      <c r="CK265">
        <v>41</v>
      </c>
      <c r="CL265" t="s">
        <v>84</v>
      </c>
    </row>
    <row r="266" spans="1:90" x14ac:dyDescent="0.25">
      <c r="A266" t="s">
        <v>72</v>
      </c>
      <c r="B266" t="s">
        <v>73</v>
      </c>
      <c r="C266" t="s">
        <v>74</v>
      </c>
      <c r="E266" t="str">
        <f>"GAB2008100"</f>
        <v>GAB2008100</v>
      </c>
      <c r="F266" s="3">
        <v>44596</v>
      </c>
      <c r="G266">
        <v>202208</v>
      </c>
      <c r="H266" t="s">
        <v>75</v>
      </c>
      <c r="I266" t="s">
        <v>76</v>
      </c>
      <c r="J266" t="s">
        <v>77</v>
      </c>
      <c r="K266" t="s">
        <v>78</v>
      </c>
      <c r="L266" t="s">
        <v>384</v>
      </c>
      <c r="M266" t="s">
        <v>385</v>
      </c>
      <c r="N266" t="s">
        <v>386</v>
      </c>
      <c r="O266" t="s">
        <v>125</v>
      </c>
      <c r="P266" t="str">
        <f>"CT071773                      "</f>
        <v xml:space="preserve">CT071773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33.75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4</v>
      </c>
      <c r="BJ266">
        <v>15.4</v>
      </c>
      <c r="BK266">
        <v>16</v>
      </c>
      <c r="BL266">
        <v>126.67</v>
      </c>
      <c r="BM266">
        <v>19</v>
      </c>
      <c r="BN266">
        <v>145.66999999999999</v>
      </c>
      <c r="BO266">
        <v>145.66999999999999</v>
      </c>
      <c r="BQ266" t="s">
        <v>387</v>
      </c>
      <c r="BR266" t="s">
        <v>82</v>
      </c>
      <c r="BS266" s="3">
        <v>44599</v>
      </c>
      <c r="BT266" s="4">
        <v>0.40347222222222223</v>
      </c>
      <c r="BU266" t="s">
        <v>950</v>
      </c>
      <c r="BV266" t="s">
        <v>101</v>
      </c>
      <c r="BY266">
        <v>76817.13</v>
      </c>
      <c r="CA266" t="s">
        <v>389</v>
      </c>
      <c r="CC266" t="s">
        <v>385</v>
      </c>
      <c r="CD266">
        <v>2194</v>
      </c>
      <c r="CE266" t="s">
        <v>130</v>
      </c>
      <c r="CF266" s="3">
        <v>44600</v>
      </c>
      <c r="CI266">
        <v>2</v>
      </c>
      <c r="CJ266">
        <v>1</v>
      </c>
      <c r="CK266">
        <v>41</v>
      </c>
      <c r="CL266" t="s">
        <v>84</v>
      </c>
    </row>
    <row r="267" spans="1:90" x14ac:dyDescent="0.25">
      <c r="A267" t="s">
        <v>72</v>
      </c>
      <c r="B267" t="s">
        <v>73</v>
      </c>
      <c r="C267" t="s">
        <v>74</v>
      </c>
      <c r="E267" t="str">
        <f>"GAB2008107"</f>
        <v>GAB2008107</v>
      </c>
      <c r="F267" s="3">
        <v>44596</v>
      </c>
      <c r="G267">
        <v>202208</v>
      </c>
      <c r="H267" t="s">
        <v>75</v>
      </c>
      <c r="I267" t="s">
        <v>76</v>
      </c>
      <c r="J267" t="s">
        <v>77</v>
      </c>
      <c r="K267" t="s">
        <v>78</v>
      </c>
      <c r="L267" t="s">
        <v>75</v>
      </c>
      <c r="M267" t="s">
        <v>76</v>
      </c>
      <c r="N267" t="s">
        <v>104</v>
      </c>
      <c r="O267" t="s">
        <v>80</v>
      </c>
      <c r="P267" t="str">
        <f>"CT071758 CT071759             "</f>
        <v xml:space="preserve">CT071758 CT071759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13.09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1.5</v>
      </c>
      <c r="BJ267">
        <v>6.2</v>
      </c>
      <c r="BK267">
        <v>6.5</v>
      </c>
      <c r="BL267">
        <v>47.1</v>
      </c>
      <c r="BM267">
        <v>7.07</v>
      </c>
      <c r="BN267">
        <v>54.17</v>
      </c>
      <c r="BO267">
        <v>54.17</v>
      </c>
      <c r="BQ267" t="s">
        <v>105</v>
      </c>
      <c r="BR267" t="s">
        <v>82</v>
      </c>
      <c r="BS267" s="3">
        <v>44599</v>
      </c>
      <c r="BT267" s="4">
        <v>0.40069444444444446</v>
      </c>
      <c r="BU267" t="s">
        <v>106</v>
      </c>
      <c r="BV267" t="s">
        <v>101</v>
      </c>
      <c r="BY267">
        <v>31037.08</v>
      </c>
      <c r="BZ267" t="s">
        <v>87</v>
      </c>
      <c r="CA267" t="s">
        <v>107</v>
      </c>
      <c r="CC267" t="s">
        <v>76</v>
      </c>
      <c r="CD267">
        <v>7441</v>
      </c>
      <c r="CE267" t="s">
        <v>951</v>
      </c>
      <c r="CF267" s="3">
        <v>44600</v>
      </c>
      <c r="CI267">
        <v>1</v>
      </c>
      <c r="CJ267">
        <v>1</v>
      </c>
      <c r="CK267">
        <v>22</v>
      </c>
      <c r="CL267" t="s">
        <v>84</v>
      </c>
    </row>
    <row r="268" spans="1:90" x14ac:dyDescent="0.25">
      <c r="A268" t="s">
        <v>72</v>
      </c>
      <c r="B268" t="s">
        <v>73</v>
      </c>
      <c r="C268" t="s">
        <v>74</v>
      </c>
      <c r="E268" t="str">
        <f>"GAB2008108"</f>
        <v>GAB2008108</v>
      </c>
      <c r="F268" s="3">
        <v>44596</v>
      </c>
      <c r="G268">
        <v>202208</v>
      </c>
      <c r="H268" t="s">
        <v>75</v>
      </c>
      <c r="I268" t="s">
        <v>76</v>
      </c>
      <c r="J268" t="s">
        <v>77</v>
      </c>
      <c r="K268" t="s">
        <v>78</v>
      </c>
      <c r="L268" t="s">
        <v>109</v>
      </c>
      <c r="M268" t="s">
        <v>110</v>
      </c>
      <c r="N268" t="s">
        <v>111</v>
      </c>
      <c r="O268" t="s">
        <v>80</v>
      </c>
      <c r="P268" t="str">
        <f>"CT071782                      "</f>
        <v xml:space="preserve">CT071782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25.14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0.3</v>
      </c>
      <c r="BJ268">
        <v>2.7</v>
      </c>
      <c r="BK268">
        <v>3</v>
      </c>
      <c r="BL268">
        <v>90.44</v>
      </c>
      <c r="BM268">
        <v>13.57</v>
      </c>
      <c r="BN268">
        <v>104.01</v>
      </c>
      <c r="BO268">
        <v>104.01</v>
      </c>
      <c r="BQ268" t="s">
        <v>209</v>
      </c>
      <c r="BR268" t="s">
        <v>82</v>
      </c>
      <c r="BS268" s="3">
        <v>44599</v>
      </c>
      <c r="BT268" s="4">
        <v>0.4291666666666667</v>
      </c>
      <c r="BU268" t="s">
        <v>175</v>
      </c>
      <c r="BV268" t="s">
        <v>101</v>
      </c>
      <c r="BY268">
        <v>13392.6</v>
      </c>
      <c r="BZ268" t="s">
        <v>87</v>
      </c>
      <c r="CA268" t="s">
        <v>114</v>
      </c>
      <c r="CC268" t="s">
        <v>110</v>
      </c>
      <c r="CD268">
        <v>157</v>
      </c>
      <c r="CE268" t="s">
        <v>191</v>
      </c>
      <c r="CF268" s="3">
        <v>44599</v>
      </c>
      <c r="CI268">
        <v>1</v>
      </c>
      <c r="CJ268">
        <v>1</v>
      </c>
      <c r="CK268">
        <v>21</v>
      </c>
      <c r="CL268" t="s">
        <v>84</v>
      </c>
    </row>
    <row r="269" spans="1:90" x14ac:dyDescent="0.25">
      <c r="A269" t="s">
        <v>72</v>
      </c>
      <c r="B269" t="s">
        <v>73</v>
      </c>
      <c r="C269" t="s">
        <v>74</v>
      </c>
      <c r="E269" t="str">
        <f>"009941631353"</f>
        <v>009941631353</v>
      </c>
      <c r="F269" s="3">
        <v>44596</v>
      </c>
      <c r="G269">
        <v>202208</v>
      </c>
      <c r="H269" t="s">
        <v>123</v>
      </c>
      <c r="I269" t="s">
        <v>124</v>
      </c>
      <c r="J269" t="s">
        <v>952</v>
      </c>
      <c r="K269" t="s">
        <v>78</v>
      </c>
      <c r="L269" t="s">
        <v>109</v>
      </c>
      <c r="M269" t="s">
        <v>110</v>
      </c>
      <c r="N269" t="s">
        <v>111</v>
      </c>
      <c r="O269" t="s">
        <v>80</v>
      </c>
      <c r="P269" t="str">
        <f>"                              "</f>
        <v xml:space="preserve">        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54.46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3</v>
      </c>
      <c r="BJ269">
        <v>6.3</v>
      </c>
      <c r="BK269">
        <v>6.5</v>
      </c>
      <c r="BL269">
        <v>195.92</v>
      </c>
      <c r="BM269">
        <v>29.39</v>
      </c>
      <c r="BN269">
        <v>225.31</v>
      </c>
      <c r="BO269">
        <v>225.31</v>
      </c>
      <c r="BQ269" t="s">
        <v>953</v>
      </c>
      <c r="BR269" t="s">
        <v>726</v>
      </c>
      <c r="BS269" s="3">
        <v>44599</v>
      </c>
      <c r="BT269" s="4">
        <v>0.4291666666666667</v>
      </c>
      <c r="BU269" t="s">
        <v>128</v>
      </c>
      <c r="BV269" t="s">
        <v>101</v>
      </c>
      <c r="BY269">
        <v>31680</v>
      </c>
      <c r="BZ269" t="s">
        <v>87</v>
      </c>
      <c r="CA269" t="s">
        <v>129</v>
      </c>
      <c r="CC269" t="s">
        <v>110</v>
      </c>
      <c r="CD269">
        <v>46</v>
      </c>
      <c r="CE269" t="s">
        <v>130</v>
      </c>
      <c r="CF269" s="3">
        <v>44599</v>
      </c>
      <c r="CI269">
        <v>1</v>
      </c>
      <c r="CJ269">
        <v>1</v>
      </c>
      <c r="CK269">
        <v>21</v>
      </c>
      <c r="CL269" t="s">
        <v>84</v>
      </c>
    </row>
    <row r="270" spans="1:90" x14ac:dyDescent="0.25">
      <c r="A270" t="s">
        <v>72</v>
      </c>
      <c r="B270" t="s">
        <v>73</v>
      </c>
      <c r="C270" t="s">
        <v>74</v>
      </c>
      <c r="E270" t="str">
        <f>"009940256274"</f>
        <v>009940256274</v>
      </c>
      <c r="F270" s="3">
        <v>44596</v>
      </c>
      <c r="G270">
        <v>202208</v>
      </c>
      <c r="H270" t="s">
        <v>75</v>
      </c>
      <c r="I270" t="s">
        <v>76</v>
      </c>
      <c r="J270" t="s">
        <v>111</v>
      </c>
      <c r="K270" t="s">
        <v>78</v>
      </c>
      <c r="L270" t="s">
        <v>336</v>
      </c>
      <c r="M270" t="s">
        <v>337</v>
      </c>
      <c r="N270" t="s">
        <v>954</v>
      </c>
      <c r="O270" t="s">
        <v>339</v>
      </c>
      <c r="P270" t="str">
        <f>"CT                            "</f>
        <v xml:space="preserve">CT      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975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192.14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6</v>
      </c>
      <c r="BI270">
        <v>67.8</v>
      </c>
      <c r="BJ270">
        <v>159.6</v>
      </c>
      <c r="BK270">
        <v>160</v>
      </c>
      <c r="BL270">
        <v>4012.31</v>
      </c>
      <c r="BM270">
        <v>0</v>
      </c>
      <c r="BN270">
        <v>4012.31</v>
      </c>
      <c r="BO270">
        <v>4012.31</v>
      </c>
      <c r="BQ270" t="s">
        <v>955</v>
      </c>
      <c r="BR270" t="s">
        <v>341</v>
      </c>
      <c r="BS270" s="3">
        <v>44603</v>
      </c>
      <c r="BT270" s="4">
        <v>0.46666666666666662</v>
      </c>
      <c r="BU270" t="s">
        <v>956</v>
      </c>
      <c r="BY270">
        <v>797752.08</v>
      </c>
      <c r="BZ270" t="s">
        <v>343</v>
      </c>
      <c r="CA270" t="s">
        <v>344</v>
      </c>
      <c r="CC270" t="s">
        <v>337</v>
      </c>
      <c r="CD270" t="s">
        <v>345</v>
      </c>
      <c r="CE270" t="s">
        <v>130</v>
      </c>
      <c r="CI270">
        <v>0</v>
      </c>
      <c r="CJ270">
        <v>0</v>
      </c>
      <c r="CK270">
        <v>301</v>
      </c>
      <c r="CL270" t="s">
        <v>84</v>
      </c>
    </row>
    <row r="271" spans="1:90" x14ac:dyDescent="0.25">
      <c r="A271" t="s">
        <v>72</v>
      </c>
      <c r="B271" t="s">
        <v>73</v>
      </c>
      <c r="C271" t="s">
        <v>74</v>
      </c>
      <c r="E271" t="str">
        <f>"GAB2008103"</f>
        <v>GAB2008103</v>
      </c>
      <c r="F271" s="3">
        <v>44596</v>
      </c>
      <c r="G271">
        <v>202208</v>
      </c>
      <c r="H271" t="s">
        <v>75</v>
      </c>
      <c r="I271" t="s">
        <v>76</v>
      </c>
      <c r="J271" t="s">
        <v>77</v>
      </c>
      <c r="K271" t="s">
        <v>78</v>
      </c>
      <c r="L271" t="s">
        <v>401</v>
      </c>
      <c r="M271" t="s">
        <v>402</v>
      </c>
      <c r="N271" t="s">
        <v>957</v>
      </c>
      <c r="O271" t="s">
        <v>125</v>
      </c>
      <c r="P271" t="str">
        <f>"CT071781                      "</f>
        <v xml:space="preserve">CT071781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48.45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2</v>
      </c>
      <c r="BI271">
        <v>7.5</v>
      </c>
      <c r="BJ271">
        <v>26.4</v>
      </c>
      <c r="BK271">
        <v>27</v>
      </c>
      <c r="BL271">
        <v>179.54</v>
      </c>
      <c r="BM271">
        <v>26.93</v>
      </c>
      <c r="BN271">
        <v>206.47</v>
      </c>
      <c r="BO271">
        <v>206.47</v>
      </c>
      <c r="BQ271" t="s">
        <v>958</v>
      </c>
      <c r="BR271" t="s">
        <v>82</v>
      </c>
      <c r="BS271" s="3">
        <v>44599</v>
      </c>
      <c r="BT271" s="4">
        <v>0.47847222222222219</v>
      </c>
      <c r="BU271" t="s">
        <v>959</v>
      </c>
      <c r="BV271" t="s">
        <v>101</v>
      </c>
      <c r="BY271">
        <v>131989.94</v>
      </c>
      <c r="CA271" t="s">
        <v>960</v>
      </c>
      <c r="CC271" t="s">
        <v>402</v>
      </c>
      <c r="CD271">
        <v>700</v>
      </c>
      <c r="CE271" t="s">
        <v>130</v>
      </c>
      <c r="CF271" s="3">
        <v>44599</v>
      </c>
      <c r="CI271">
        <v>3</v>
      </c>
      <c r="CJ271">
        <v>1</v>
      </c>
      <c r="CK271">
        <v>41</v>
      </c>
      <c r="CL271" t="s">
        <v>84</v>
      </c>
    </row>
    <row r="272" spans="1:90" x14ac:dyDescent="0.25">
      <c r="A272" t="s">
        <v>72</v>
      </c>
      <c r="B272" t="s">
        <v>73</v>
      </c>
      <c r="C272" t="s">
        <v>74</v>
      </c>
      <c r="E272" t="str">
        <f>"GAB2008102"</f>
        <v>GAB2008102</v>
      </c>
      <c r="F272" s="3">
        <v>44596</v>
      </c>
      <c r="G272">
        <v>202208</v>
      </c>
      <c r="H272" t="s">
        <v>75</v>
      </c>
      <c r="I272" t="s">
        <v>76</v>
      </c>
      <c r="J272" t="s">
        <v>77</v>
      </c>
      <c r="K272" t="s">
        <v>78</v>
      </c>
      <c r="L272" t="s">
        <v>153</v>
      </c>
      <c r="M272" t="s">
        <v>154</v>
      </c>
      <c r="N272" t="s">
        <v>243</v>
      </c>
      <c r="O272" t="s">
        <v>80</v>
      </c>
      <c r="P272" t="str">
        <f>"CT071780                      "</f>
        <v xml:space="preserve">CT071780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20.95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0.1</v>
      </c>
      <c r="BJ272">
        <v>2.5</v>
      </c>
      <c r="BK272">
        <v>2.5</v>
      </c>
      <c r="BL272">
        <v>75.37</v>
      </c>
      <c r="BM272">
        <v>11.31</v>
      </c>
      <c r="BN272">
        <v>86.68</v>
      </c>
      <c r="BO272">
        <v>86.68</v>
      </c>
      <c r="BQ272" t="s">
        <v>112</v>
      </c>
      <c r="BR272" t="s">
        <v>82</v>
      </c>
      <c r="BS272" s="3">
        <v>44599</v>
      </c>
      <c r="BT272" s="4">
        <v>0.31875000000000003</v>
      </c>
      <c r="BU272" t="s">
        <v>961</v>
      </c>
      <c r="BV272" t="s">
        <v>101</v>
      </c>
      <c r="BY272">
        <v>12255.39</v>
      </c>
      <c r="BZ272" t="s">
        <v>87</v>
      </c>
      <c r="CA272" t="s">
        <v>962</v>
      </c>
      <c r="CC272" t="s">
        <v>154</v>
      </c>
      <c r="CD272">
        <v>2196</v>
      </c>
      <c r="CE272" t="s">
        <v>89</v>
      </c>
      <c r="CF272" s="3">
        <v>44600</v>
      </c>
      <c r="CI272">
        <v>1</v>
      </c>
      <c r="CJ272">
        <v>1</v>
      </c>
      <c r="CK272">
        <v>21</v>
      </c>
      <c r="CL272" t="s">
        <v>84</v>
      </c>
    </row>
    <row r="273" spans="1:90" x14ac:dyDescent="0.25">
      <c r="A273" t="s">
        <v>72</v>
      </c>
      <c r="B273" t="s">
        <v>73</v>
      </c>
      <c r="C273" t="s">
        <v>74</v>
      </c>
      <c r="E273" t="str">
        <f>"GAB2008098"</f>
        <v>GAB2008098</v>
      </c>
      <c r="F273" s="3">
        <v>44596</v>
      </c>
      <c r="G273">
        <v>202208</v>
      </c>
      <c r="H273" t="s">
        <v>75</v>
      </c>
      <c r="I273" t="s">
        <v>76</v>
      </c>
      <c r="J273" t="s">
        <v>77</v>
      </c>
      <c r="K273" t="s">
        <v>78</v>
      </c>
      <c r="L273" t="s">
        <v>159</v>
      </c>
      <c r="M273" t="s">
        <v>160</v>
      </c>
      <c r="N273" t="s">
        <v>161</v>
      </c>
      <c r="O273" t="s">
        <v>80</v>
      </c>
      <c r="P273" t="str">
        <f>"CT071775                      "</f>
        <v xml:space="preserve">CT071775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47.15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0.2</v>
      </c>
      <c r="BJ273">
        <v>2.7</v>
      </c>
      <c r="BK273">
        <v>3</v>
      </c>
      <c r="BL273">
        <v>169.61</v>
      </c>
      <c r="BM273">
        <v>25.44</v>
      </c>
      <c r="BN273">
        <v>195.05</v>
      </c>
      <c r="BO273">
        <v>195.05</v>
      </c>
      <c r="BQ273" t="s">
        <v>162</v>
      </c>
      <c r="BR273" t="s">
        <v>82</v>
      </c>
      <c r="BS273" s="3">
        <v>44599</v>
      </c>
      <c r="BT273" s="4">
        <v>0.49374999999999997</v>
      </c>
      <c r="BU273" t="s">
        <v>963</v>
      </c>
      <c r="BV273" t="s">
        <v>84</v>
      </c>
      <c r="BW273" t="s">
        <v>964</v>
      </c>
      <c r="BX273" t="s">
        <v>965</v>
      </c>
      <c r="BY273">
        <v>13741.7</v>
      </c>
      <c r="BZ273" t="s">
        <v>87</v>
      </c>
      <c r="CA273" t="s">
        <v>422</v>
      </c>
      <c r="CC273" t="s">
        <v>160</v>
      </c>
      <c r="CD273">
        <v>9459</v>
      </c>
      <c r="CE273" t="s">
        <v>288</v>
      </c>
      <c r="CF273" s="3">
        <v>44599</v>
      </c>
      <c r="CI273">
        <v>1</v>
      </c>
      <c r="CJ273">
        <v>1</v>
      </c>
      <c r="CK273">
        <v>23</v>
      </c>
      <c r="CL273" t="s">
        <v>84</v>
      </c>
    </row>
    <row r="274" spans="1:90" x14ac:dyDescent="0.25">
      <c r="A274" t="s">
        <v>72</v>
      </c>
      <c r="B274" t="s">
        <v>73</v>
      </c>
      <c r="C274" t="s">
        <v>74</v>
      </c>
      <c r="E274" t="str">
        <f>"GAB2008097"</f>
        <v>GAB2008097</v>
      </c>
      <c r="F274" s="3">
        <v>44596</v>
      </c>
      <c r="G274">
        <v>202208</v>
      </c>
      <c r="H274" t="s">
        <v>75</v>
      </c>
      <c r="I274" t="s">
        <v>76</v>
      </c>
      <c r="J274" t="s">
        <v>77</v>
      </c>
      <c r="K274" t="s">
        <v>78</v>
      </c>
      <c r="L274" t="s">
        <v>202</v>
      </c>
      <c r="M274" t="s">
        <v>203</v>
      </c>
      <c r="N274" t="s">
        <v>294</v>
      </c>
      <c r="O274" t="s">
        <v>80</v>
      </c>
      <c r="P274" t="str">
        <f>"ORD006872                     "</f>
        <v xml:space="preserve">ORD006872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16.760000000000002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0.1</v>
      </c>
      <c r="BJ274">
        <v>2</v>
      </c>
      <c r="BK274">
        <v>2</v>
      </c>
      <c r="BL274">
        <v>60.3</v>
      </c>
      <c r="BM274">
        <v>9.0500000000000007</v>
      </c>
      <c r="BN274">
        <v>69.349999999999994</v>
      </c>
      <c r="BO274">
        <v>69.349999999999994</v>
      </c>
      <c r="BQ274" t="s">
        <v>295</v>
      </c>
      <c r="BR274" t="s">
        <v>82</v>
      </c>
      <c r="BS274" s="3">
        <v>44599</v>
      </c>
      <c r="BT274" s="4">
        <v>0.37777777777777777</v>
      </c>
      <c r="BU274" t="s">
        <v>966</v>
      </c>
      <c r="BV274" t="s">
        <v>101</v>
      </c>
      <c r="BY274">
        <v>10166</v>
      </c>
      <c r="BZ274" t="s">
        <v>87</v>
      </c>
      <c r="CA274" t="s">
        <v>297</v>
      </c>
      <c r="CC274" t="s">
        <v>203</v>
      </c>
      <c r="CD274">
        <v>1709</v>
      </c>
      <c r="CE274" t="s">
        <v>152</v>
      </c>
      <c r="CF274" s="3">
        <v>44600</v>
      </c>
      <c r="CI274">
        <v>1</v>
      </c>
      <c r="CJ274">
        <v>1</v>
      </c>
      <c r="CK274">
        <v>21</v>
      </c>
      <c r="CL274" t="s">
        <v>84</v>
      </c>
    </row>
    <row r="275" spans="1:90" x14ac:dyDescent="0.25">
      <c r="A275" t="s">
        <v>72</v>
      </c>
      <c r="B275" t="s">
        <v>73</v>
      </c>
      <c r="C275" t="s">
        <v>74</v>
      </c>
      <c r="E275" t="str">
        <f>"GAB2008096"</f>
        <v>GAB2008096</v>
      </c>
      <c r="F275" s="3">
        <v>44596</v>
      </c>
      <c r="G275">
        <v>202208</v>
      </c>
      <c r="H275" t="s">
        <v>75</v>
      </c>
      <c r="I275" t="s">
        <v>76</v>
      </c>
      <c r="J275" t="s">
        <v>77</v>
      </c>
      <c r="K275" t="s">
        <v>78</v>
      </c>
      <c r="L275" t="s">
        <v>142</v>
      </c>
      <c r="M275" t="s">
        <v>143</v>
      </c>
      <c r="N275" t="s">
        <v>967</v>
      </c>
      <c r="O275" t="s">
        <v>80</v>
      </c>
      <c r="P275" t="str">
        <f>"ORD006889                     "</f>
        <v xml:space="preserve">ORD006889 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29.33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0.4</v>
      </c>
      <c r="BJ275">
        <v>3.1</v>
      </c>
      <c r="BK275">
        <v>3.5</v>
      </c>
      <c r="BL275">
        <v>105.51</v>
      </c>
      <c r="BM275">
        <v>15.83</v>
      </c>
      <c r="BN275">
        <v>121.34</v>
      </c>
      <c r="BO275">
        <v>121.34</v>
      </c>
      <c r="BQ275" t="s">
        <v>968</v>
      </c>
      <c r="BR275" t="s">
        <v>82</v>
      </c>
      <c r="BS275" s="3">
        <v>44599</v>
      </c>
      <c r="BT275" s="4">
        <v>0.36736111111111108</v>
      </c>
      <c r="BU275" t="s">
        <v>969</v>
      </c>
      <c r="BV275" t="s">
        <v>101</v>
      </c>
      <c r="BY275">
        <v>15517.98</v>
      </c>
      <c r="BZ275" t="s">
        <v>87</v>
      </c>
      <c r="CA275" t="s">
        <v>970</v>
      </c>
      <c r="CC275" t="s">
        <v>143</v>
      </c>
      <c r="CD275">
        <v>1416</v>
      </c>
      <c r="CE275" t="s">
        <v>191</v>
      </c>
      <c r="CF275" s="3">
        <v>44599</v>
      </c>
      <c r="CI275">
        <v>1</v>
      </c>
      <c r="CJ275">
        <v>1</v>
      </c>
      <c r="CK275">
        <v>21</v>
      </c>
      <c r="CL275" t="s">
        <v>84</v>
      </c>
    </row>
    <row r="276" spans="1:90" x14ac:dyDescent="0.25">
      <c r="A276" t="s">
        <v>72</v>
      </c>
      <c r="B276" t="s">
        <v>73</v>
      </c>
      <c r="C276" t="s">
        <v>74</v>
      </c>
      <c r="E276" t="str">
        <f>"GAB2008095"</f>
        <v>GAB2008095</v>
      </c>
      <c r="F276" s="3">
        <v>44596</v>
      </c>
      <c r="G276">
        <v>202208</v>
      </c>
      <c r="H276" t="s">
        <v>75</v>
      </c>
      <c r="I276" t="s">
        <v>76</v>
      </c>
      <c r="J276" t="s">
        <v>77</v>
      </c>
      <c r="K276" t="s">
        <v>78</v>
      </c>
      <c r="L276" t="s">
        <v>971</v>
      </c>
      <c r="M276" t="s">
        <v>972</v>
      </c>
      <c r="N276" t="s">
        <v>973</v>
      </c>
      <c r="O276" t="s">
        <v>80</v>
      </c>
      <c r="P276" t="str">
        <f>"ORD006880                     "</f>
        <v xml:space="preserve">ORD006880 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39.81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0.1</v>
      </c>
      <c r="BJ276">
        <v>2.2000000000000002</v>
      </c>
      <c r="BK276">
        <v>2.5</v>
      </c>
      <c r="BL276">
        <v>143.22</v>
      </c>
      <c r="BM276">
        <v>21.48</v>
      </c>
      <c r="BN276">
        <v>164.7</v>
      </c>
      <c r="BO276">
        <v>164.7</v>
      </c>
      <c r="BQ276" t="s">
        <v>974</v>
      </c>
      <c r="BR276" t="s">
        <v>82</v>
      </c>
      <c r="BS276" s="3">
        <v>44602</v>
      </c>
      <c r="BT276" s="4">
        <v>0.45902777777777781</v>
      </c>
      <c r="BU276" t="s">
        <v>975</v>
      </c>
      <c r="BV276" t="s">
        <v>101</v>
      </c>
      <c r="BY276">
        <v>10987.8</v>
      </c>
      <c r="BZ276" t="s">
        <v>87</v>
      </c>
      <c r="CA276" t="s">
        <v>976</v>
      </c>
      <c r="CC276" t="s">
        <v>972</v>
      </c>
      <c r="CD276">
        <v>5320</v>
      </c>
      <c r="CE276" t="s">
        <v>152</v>
      </c>
      <c r="CF276" s="3">
        <v>44606</v>
      </c>
      <c r="CI276">
        <v>5</v>
      </c>
      <c r="CJ276">
        <v>4</v>
      </c>
      <c r="CK276">
        <v>23</v>
      </c>
      <c r="CL276" t="s">
        <v>84</v>
      </c>
    </row>
    <row r="277" spans="1:90" x14ac:dyDescent="0.25">
      <c r="A277" t="s">
        <v>72</v>
      </c>
      <c r="B277" t="s">
        <v>73</v>
      </c>
      <c r="C277" t="s">
        <v>74</v>
      </c>
      <c r="E277" t="str">
        <f>"GAB2008099"</f>
        <v>GAB2008099</v>
      </c>
      <c r="F277" s="3">
        <v>44596</v>
      </c>
      <c r="G277">
        <v>202208</v>
      </c>
      <c r="H277" t="s">
        <v>75</v>
      </c>
      <c r="I277" t="s">
        <v>76</v>
      </c>
      <c r="J277" t="s">
        <v>77</v>
      </c>
      <c r="K277" t="s">
        <v>78</v>
      </c>
      <c r="L277" t="s">
        <v>75</v>
      </c>
      <c r="M277" t="s">
        <v>76</v>
      </c>
      <c r="N277" t="s">
        <v>374</v>
      </c>
      <c r="O277" t="s">
        <v>80</v>
      </c>
      <c r="P277" t="str">
        <f>"CT071776                      "</f>
        <v xml:space="preserve">CT071776    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13.09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0.6</v>
      </c>
      <c r="BJ277">
        <v>1.9</v>
      </c>
      <c r="BK277">
        <v>2</v>
      </c>
      <c r="BL277">
        <v>47.1</v>
      </c>
      <c r="BM277">
        <v>7.07</v>
      </c>
      <c r="BN277">
        <v>54.17</v>
      </c>
      <c r="BO277">
        <v>54.17</v>
      </c>
      <c r="BQ277" t="s">
        <v>375</v>
      </c>
      <c r="BR277" t="s">
        <v>82</v>
      </c>
      <c r="BS277" s="3">
        <v>44599</v>
      </c>
      <c r="BT277" s="4">
        <v>0.58958333333333335</v>
      </c>
      <c r="BU277" t="s">
        <v>902</v>
      </c>
      <c r="BV277" t="s">
        <v>84</v>
      </c>
      <c r="BW277" t="s">
        <v>95</v>
      </c>
      <c r="BX277" t="s">
        <v>233</v>
      </c>
      <c r="BY277">
        <v>9255.93</v>
      </c>
      <c r="BZ277" t="s">
        <v>87</v>
      </c>
      <c r="CA277" t="s">
        <v>377</v>
      </c>
      <c r="CC277" t="s">
        <v>76</v>
      </c>
      <c r="CD277">
        <v>7806</v>
      </c>
      <c r="CE277" t="s">
        <v>977</v>
      </c>
      <c r="CF277" s="3">
        <v>44600</v>
      </c>
      <c r="CI277">
        <v>1</v>
      </c>
      <c r="CJ277">
        <v>1</v>
      </c>
      <c r="CK277">
        <v>22</v>
      </c>
      <c r="CL277" t="s">
        <v>84</v>
      </c>
    </row>
    <row r="278" spans="1:90" x14ac:dyDescent="0.25">
      <c r="A278" t="s">
        <v>72</v>
      </c>
      <c r="B278" t="s">
        <v>73</v>
      </c>
      <c r="C278" t="s">
        <v>74</v>
      </c>
      <c r="E278" t="str">
        <f>"GAB2008093"</f>
        <v>GAB2008093</v>
      </c>
      <c r="F278" s="3">
        <v>44596</v>
      </c>
      <c r="G278">
        <v>202208</v>
      </c>
      <c r="H278" t="s">
        <v>75</v>
      </c>
      <c r="I278" t="s">
        <v>76</v>
      </c>
      <c r="J278" t="s">
        <v>77</v>
      </c>
      <c r="K278" t="s">
        <v>78</v>
      </c>
      <c r="L278" t="s">
        <v>202</v>
      </c>
      <c r="M278" t="s">
        <v>203</v>
      </c>
      <c r="N278" t="s">
        <v>978</v>
      </c>
      <c r="O278" t="s">
        <v>979</v>
      </c>
      <c r="P278" t="str">
        <f>"ORD006858                     "</f>
        <v xml:space="preserve">ORD006858 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31.43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0.4</v>
      </c>
      <c r="BJ278">
        <v>3</v>
      </c>
      <c r="BK278">
        <v>3</v>
      </c>
      <c r="BL278">
        <v>113.07</v>
      </c>
      <c r="BM278">
        <v>16.96</v>
      </c>
      <c r="BN278">
        <v>130.03</v>
      </c>
      <c r="BO278">
        <v>130.03</v>
      </c>
      <c r="BQ278" t="s">
        <v>205</v>
      </c>
      <c r="BR278" t="s">
        <v>82</v>
      </c>
      <c r="BS278" s="3">
        <v>44599</v>
      </c>
      <c r="BT278" s="4">
        <v>0.37847222222222227</v>
      </c>
      <c r="BU278" t="s">
        <v>630</v>
      </c>
      <c r="BV278" t="s">
        <v>101</v>
      </c>
      <c r="BY278">
        <v>15204.15</v>
      </c>
      <c r="BZ278" t="s">
        <v>137</v>
      </c>
      <c r="CA278" t="s">
        <v>207</v>
      </c>
      <c r="CC278" t="s">
        <v>203</v>
      </c>
      <c r="CD278">
        <v>1724</v>
      </c>
      <c r="CE278" t="s">
        <v>580</v>
      </c>
      <c r="CF278" s="3">
        <v>44600</v>
      </c>
      <c r="CI278">
        <v>1</v>
      </c>
      <c r="CJ278">
        <v>1</v>
      </c>
      <c r="CK278">
        <v>31</v>
      </c>
      <c r="CL278" t="s">
        <v>84</v>
      </c>
    </row>
    <row r="279" spans="1:90" x14ac:dyDescent="0.25">
      <c r="A279" t="s">
        <v>72</v>
      </c>
      <c r="B279" t="s">
        <v>73</v>
      </c>
      <c r="C279" t="s">
        <v>74</v>
      </c>
      <c r="E279" t="str">
        <f>"GAB2008104"</f>
        <v>GAB2008104</v>
      </c>
      <c r="F279" s="3">
        <v>44596</v>
      </c>
      <c r="G279">
        <v>202208</v>
      </c>
      <c r="H279" t="s">
        <v>75</v>
      </c>
      <c r="I279" t="s">
        <v>76</v>
      </c>
      <c r="J279" t="s">
        <v>77</v>
      </c>
      <c r="K279" t="s">
        <v>78</v>
      </c>
      <c r="L279" t="s">
        <v>980</v>
      </c>
      <c r="M279" t="s">
        <v>981</v>
      </c>
      <c r="N279" t="s">
        <v>982</v>
      </c>
      <c r="O279" t="s">
        <v>80</v>
      </c>
      <c r="P279" t="str">
        <f>"006896                        "</f>
        <v xml:space="preserve">006896    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54.48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0.1</v>
      </c>
      <c r="BJ279">
        <v>3.1</v>
      </c>
      <c r="BK279">
        <v>3.5</v>
      </c>
      <c r="BL279">
        <v>195.99</v>
      </c>
      <c r="BM279">
        <v>29.4</v>
      </c>
      <c r="BN279">
        <v>225.39</v>
      </c>
      <c r="BO279">
        <v>225.39</v>
      </c>
      <c r="BQ279" t="s">
        <v>983</v>
      </c>
      <c r="BR279" t="s">
        <v>82</v>
      </c>
      <c r="BS279" s="3">
        <v>44599</v>
      </c>
      <c r="BT279" s="4">
        <v>0.41180555555555554</v>
      </c>
      <c r="BU279" t="s">
        <v>503</v>
      </c>
      <c r="BV279" t="s">
        <v>101</v>
      </c>
      <c r="BY279">
        <v>15268</v>
      </c>
      <c r="BZ279" t="s">
        <v>87</v>
      </c>
      <c r="CA279" t="s">
        <v>984</v>
      </c>
      <c r="CC279" t="s">
        <v>981</v>
      </c>
      <c r="CD279">
        <v>1438</v>
      </c>
      <c r="CE279" t="s">
        <v>152</v>
      </c>
      <c r="CF279" s="3">
        <v>44599</v>
      </c>
      <c r="CI279">
        <v>1</v>
      </c>
      <c r="CJ279">
        <v>1</v>
      </c>
      <c r="CK279">
        <v>23</v>
      </c>
      <c r="CL279" t="s">
        <v>84</v>
      </c>
    </row>
    <row r="280" spans="1:90" x14ac:dyDescent="0.25">
      <c r="A280" t="s">
        <v>72</v>
      </c>
      <c r="B280" t="s">
        <v>73</v>
      </c>
      <c r="C280" t="s">
        <v>74</v>
      </c>
      <c r="E280" t="str">
        <f>"GAB2008105"</f>
        <v>GAB2008105</v>
      </c>
      <c r="F280" s="3">
        <v>44596</v>
      </c>
      <c r="G280">
        <v>202208</v>
      </c>
      <c r="H280" t="s">
        <v>75</v>
      </c>
      <c r="I280" t="s">
        <v>76</v>
      </c>
      <c r="J280" t="s">
        <v>77</v>
      </c>
      <c r="K280" t="s">
        <v>78</v>
      </c>
      <c r="L280" t="s">
        <v>441</v>
      </c>
      <c r="M280" t="s">
        <v>442</v>
      </c>
      <c r="N280" t="s">
        <v>985</v>
      </c>
      <c r="O280" t="s">
        <v>80</v>
      </c>
      <c r="P280" t="str">
        <f>"006781                        "</f>
        <v xml:space="preserve">006781    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39.81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0.2</v>
      </c>
      <c r="BJ280">
        <v>2.5</v>
      </c>
      <c r="BK280">
        <v>2.5</v>
      </c>
      <c r="BL280">
        <v>143.22</v>
      </c>
      <c r="BM280">
        <v>21.48</v>
      </c>
      <c r="BN280">
        <v>164.7</v>
      </c>
      <c r="BO280">
        <v>164.7</v>
      </c>
      <c r="BQ280" t="s">
        <v>808</v>
      </c>
      <c r="BR280" t="s">
        <v>82</v>
      </c>
      <c r="BS280" s="3">
        <v>44599</v>
      </c>
      <c r="BT280" s="4">
        <v>0.4375</v>
      </c>
      <c r="BU280" t="s">
        <v>986</v>
      </c>
      <c r="BV280" t="s">
        <v>101</v>
      </c>
      <c r="BY280">
        <v>12409.32</v>
      </c>
      <c r="BZ280" t="s">
        <v>87</v>
      </c>
      <c r="CA280" t="s">
        <v>446</v>
      </c>
      <c r="CC280" t="s">
        <v>442</v>
      </c>
      <c r="CD280">
        <v>1034</v>
      </c>
      <c r="CE280" t="s">
        <v>288</v>
      </c>
      <c r="CF280" s="3">
        <v>44599</v>
      </c>
      <c r="CI280">
        <v>1</v>
      </c>
      <c r="CJ280">
        <v>1</v>
      </c>
      <c r="CK280">
        <v>23</v>
      </c>
      <c r="CL280" t="s">
        <v>84</v>
      </c>
    </row>
    <row r="281" spans="1:90" x14ac:dyDescent="0.25">
      <c r="A281" t="s">
        <v>72</v>
      </c>
      <c r="B281" t="s">
        <v>73</v>
      </c>
      <c r="C281" t="s">
        <v>74</v>
      </c>
      <c r="E281" t="str">
        <f>"GAB2008106"</f>
        <v>GAB2008106</v>
      </c>
      <c r="F281" s="3">
        <v>44596</v>
      </c>
      <c r="G281">
        <v>202208</v>
      </c>
      <c r="H281" t="s">
        <v>75</v>
      </c>
      <c r="I281" t="s">
        <v>76</v>
      </c>
      <c r="J281" t="s">
        <v>77</v>
      </c>
      <c r="K281" t="s">
        <v>78</v>
      </c>
      <c r="L281" t="s">
        <v>75</v>
      </c>
      <c r="M281" t="s">
        <v>76</v>
      </c>
      <c r="N281" t="s">
        <v>98</v>
      </c>
      <c r="O281" t="s">
        <v>80</v>
      </c>
      <c r="P281" t="str">
        <f>"CT071104 CT071565             "</f>
        <v xml:space="preserve">CT071104 CT071565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13.09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0.2</v>
      </c>
      <c r="BJ281">
        <v>2.5</v>
      </c>
      <c r="BK281">
        <v>2.5</v>
      </c>
      <c r="BL281">
        <v>47.1</v>
      </c>
      <c r="BM281">
        <v>7.07</v>
      </c>
      <c r="BN281">
        <v>54.17</v>
      </c>
      <c r="BO281">
        <v>54.17</v>
      </c>
      <c r="BQ281" t="s">
        <v>99</v>
      </c>
      <c r="BR281" t="s">
        <v>82</v>
      </c>
      <c r="BS281" s="3">
        <v>44599</v>
      </c>
      <c r="BT281" s="4">
        <v>0.36249999999999999</v>
      </c>
      <c r="BU281" t="s">
        <v>362</v>
      </c>
      <c r="BV281" t="s">
        <v>101</v>
      </c>
      <c r="BY281">
        <v>12350.52</v>
      </c>
      <c r="BZ281" t="s">
        <v>87</v>
      </c>
      <c r="CA281" t="s">
        <v>102</v>
      </c>
      <c r="CC281" t="s">
        <v>76</v>
      </c>
      <c r="CD281">
        <v>7800</v>
      </c>
      <c r="CE281" t="s">
        <v>103</v>
      </c>
      <c r="CF281" s="3">
        <v>44600</v>
      </c>
      <c r="CI281">
        <v>1</v>
      </c>
      <c r="CJ281">
        <v>1</v>
      </c>
      <c r="CK281">
        <v>22</v>
      </c>
      <c r="CL281" t="s">
        <v>84</v>
      </c>
    </row>
    <row r="282" spans="1:90" x14ac:dyDescent="0.25">
      <c r="A282" t="s">
        <v>72</v>
      </c>
      <c r="B282" t="s">
        <v>73</v>
      </c>
      <c r="C282" t="s">
        <v>74</v>
      </c>
      <c r="E282" t="str">
        <f>"GAB2008091"</f>
        <v>GAB2008091</v>
      </c>
      <c r="F282" s="3">
        <v>44596</v>
      </c>
      <c r="G282">
        <v>202208</v>
      </c>
      <c r="H282" t="s">
        <v>75</v>
      </c>
      <c r="I282" t="s">
        <v>76</v>
      </c>
      <c r="J282" t="s">
        <v>77</v>
      </c>
      <c r="K282" t="s">
        <v>78</v>
      </c>
      <c r="L282" t="s">
        <v>153</v>
      </c>
      <c r="M282" t="s">
        <v>154</v>
      </c>
      <c r="N282" t="s">
        <v>987</v>
      </c>
      <c r="O282" t="s">
        <v>80</v>
      </c>
      <c r="P282" t="str">
        <f>"CT071764                      "</f>
        <v xml:space="preserve">CT071764    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20.95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15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0.1</v>
      </c>
      <c r="BJ282">
        <v>2.1</v>
      </c>
      <c r="BK282">
        <v>2.5</v>
      </c>
      <c r="BL282">
        <v>90.37</v>
      </c>
      <c r="BM282">
        <v>13.56</v>
      </c>
      <c r="BN282">
        <v>103.93</v>
      </c>
      <c r="BO282">
        <v>103.93</v>
      </c>
      <c r="BQ282" t="s">
        <v>988</v>
      </c>
      <c r="BR282" t="s">
        <v>82</v>
      </c>
      <c r="BS282" s="3">
        <v>44599</v>
      </c>
      <c r="BT282" s="4">
        <v>0.42638888888888887</v>
      </c>
      <c r="BU282" t="s">
        <v>989</v>
      </c>
      <c r="BV282" t="s">
        <v>101</v>
      </c>
      <c r="BY282">
        <v>10552.5</v>
      </c>
      <c r="BZ282" t="s">
        <v>121</v>
      </c>
      <c r="CA282" t="s">
        <v>990</v>
      </c>
      <c r="CC282" t="s">
        <v>154</v>
      </c>
      <c r="CD282">
        <v>2000</v>
      </c>
      <c r="CE282" t="s">
        <v>89</v>
      </c>
      <c r="CF282" s="3">
        <v>44600</v>
      </c>
      <c r="CI282">
        <v>1</v>
      </c>
      <c r="CJ282">
        <v>1</v>
      </c>
      <c r="CK282">
        <v>21</v>
      </c>
      <c r="CL282" t="s">
        <v>84</v>
      </c>
    </row>
    <row r="283" spans="1:90" x14ac:dyDescent="0.25">
      <c r="A283" t="s">
        <v>72</v>
      </c>
      <c r="B283" t="s">
        <v>73</v>
      </c>
      <c r="C283" t="s">
        <v>74</v>
      </c>
      <c r="E283" t="str">
        <f>"GAB2008087"</f>
        <v>GAB2008087</v>
      </c>
      <c r="F283" s="3">
        <v>44596</v>
      </c>
      <c r="G283">
        <v>202208</v>
      </c>
      <c r="H283" t="s">
        <v>75</v>
      </c>
      <c r="I283" t="s">
        <v>76</v>
      </c>
      <c r="J283" t="s">
        <v>77</v>
      </c>
      <c r="K283" t="s">
        <v>78</v>
      </c>
      <c r="L283" t="s">
        <v>185</v>
      </c>
      <c r="M283" t="s">
        <v>186</v>
      </c>
      <c r="N283" t="s">
        <v>410</v>
      </c>
      <c r="O283" t="s">
        <v>125</v>
      </c>
      <c r="P283" t="str">
        <f>"CT071755                      "</f>
        <v xml:space="preserve">CT071755    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45.72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1.4</v>
      </c>
      <c r="BJ283">
        <v>2.5</v>
      </c>
      <c r="BK283">
        <v>3</v>
      </c>
      <c r="BL283">
        <v>169.72</v>
      </c>
      <c r="BM283">
        <v>25.46</v>
      </c>
      <c r="BN283">
        <v>195.18</v>
      </c>
      <c r="BO283">
        <v>195.18</v>
      </c>
      <c r="BQ283" t="s">
        <v>411</v>
      </c>
      <c r="BR283" t="s">
        <v>82</v>
      </c>
      <c r="BS283" s="3">
        <v>44599</v>
      </c>
      <c r="BT283" s="4">
        <v>0.6479166666666667</v>
      </c>
      <c r="BU283" t="s">
        <v>991</v>
      </c>
      <c r="BV283" t="s">
        <v>101</v>
      </c>
      <c r="BY283">
        <v>12614</v>
      </c>
      <c r="CA283" t="s">
        <v>992</v>
      </c>
      <c r="CC283" t="s">
        <v>186</v>
      </c>
      <c r="CD283">
        <v>2745</v>
      </c>
      <c r="CE283" t="s">
        <v>130</v>
      </c>
      <c r="CF283" s="3">
        <v>44600</v>
      </c>
      <c r="CI283">
        <v>2</v>
      </c>
      <c r="CJ283">
        <v>1</v>
      </c>
      <c r="CK283">
        <v>43</v>
      </c>
      <c r="CL283" t="s">
        <v>84</v>
      </c>
    </row>
    <row r="284" spans="1:90" x14ac:dyDescent="0.25">
      <c r="A284" t="s">
        <v>72</v>
      </c>
      <c r="B284" t="s">
        <v>73</v>
      </c>
      <c r="C284" t="s">
        <v>74</v>
      </c>
      <c r="E284" t="str">
        <f>"GAB2008017"</f>
        <v>GAB2008017</v>
      </c>
      <c r="F284" s="3">
        <v>44593</v>
      </c>
      <c r="G284">
        <v>202208</v>
      </c>
      <c r="H284" t="s">
        <v>75</v>
      </c>
      <c r="I284" t="s">
        <v>76</v>
      </c>
      <c r="J284" t="s">
        <v>77</v>
      </c>
      <c r="K284" t="s">
        <v>78</v>
      </c>
      <c r="L284" t="s">
        <v>185</v>
      </c>
      <c r="M284" t="s">
        <v>186</v>
      </c>
      <c r="N284" t="s">
        <v>993</v>
      </c>
      <c r="O284" t="s">
        <v>80</v>
      </c>
      <c r="P284" t="str">
        <f>"CT071670                      "</f>
        <v xml:space="preserve">CT071670   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36.71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15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0.3</v>
      </c>
      <c r="BJ284">
        <v>2.4</v>
      </c>
      <c r="BK284">
        <v>2.5</v>
      </c>
      <c r="BL284">
        <v>155.12</v>
      </c>
      <c r="BM284">
        <v>23.27</v>
      </c>
      <c r="BN284">
        <v>178.39</v>
      </c>
      <c r="BO284">
        <v>178.39</v>
      </c>
      <c r="BQ284" t="s">
        <v>188</v>
      </c>
      <c r="BR284" t="s">
        <v>82</v>
      </c>
      <c r="BS284" s="3">
        <v>44594</v>
      </c>
      <c r="BT284" s="4">
        <v>0.40138888888888885</v>
      </c>
      <c r="BU284" t="s">
        <v>994</v>
      </c>
      <c r="BV284" t="s">
        <v>101</v>
      </c>
      <c r="BY284">
        <v>12118.7</v>
      </c>
      <c r="BZ284" t="s">
        <v>121</v>
      </c>
      <c r="CA284" t="s">
        <v>705</v>
      </c>
      <c r="CC284" t="s">
        <v>186</v>
      </c>
      <c r="CD284">
        <v>2745</v>
      </c>
      <c r="CE284" t="s">
        <v>103</v>
      </c>
      <c r="CF284" s="3">
        <v>44595</v>
      </c>
      <c r="CI284">
        <v>1</v>
      </c>
      <c r="CJ284">
        <v>1</v>
      </c>
      <c r="CK284">
        <v>23</v>
      </c>
      <c r="CL284" t="s">
        <v>84</v>
      </c>
    </row>
    <row r="285" spans="1:90" x14ac:dyDescent="0.25">
      <c r="A285" t="s">
        <v>72</v>
      </c>
      <c r="B285" t="s">
        <v>73</v>
      </c>
      <c r="C285" t="s">
        <v>74</v>
      </c>
      <c r="E285" t="str">
        <f>"GAB2008072"</f>
        <v>GAB2008072</v>
      </c>
      <c r="F285" s="3">
        <v>44595</v>
      </c>
      <c r="G285">
        <v>202208</v>
      </c>
      <c r="H285" t="s">
        <v>75</v>
      </c>
      <c r="I285" t="s">
        <v>76</v>
      </c>
      <c r="J285" t="s">
        <v>77</v>
      </c>
      <c r="K285" t="s">
        <v>78</v>
      </c>
      <c r="L285" t="s">
        <v>165</v>
      </c>
      <c r="M285" t="s">
        <v>166</v>
      </c>
      <c r="N285" t="s">
        <v>995</v>
      </c>
      <c r="O285" t="s">
        <v>125</v>
      </c>
      <c r="P285" t="str">
        <f>"CT071128                      "</f>
        <v xml:space="preserve">CT071128    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32.42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0.3</v>
      </c>
      <c r="BJ285">
        <v>2.5</v>
      </c>
      <c r="BK285">
        <v>3</v>
      </c>
      <c r="BL285">
        <v>121.87</v>
      </c>
      <c r="BM285">
        <v>18.28</v>
      </c>
      <c r="BN285">
        <v>140.15</v>
      </c>
      <c r="BO285">
        <v>140.15</v>
      </c>
      <c r="BR285" t="s">
        <v>82</v>
      </c>
      <c r="BS285" s="3">
        <v>44599</v>
      </c>
      <c r="BT285" s="4">
        <v>0.55555555555555558</v>
      </c>
      <c r="BU285" t="s">
        <v>996</v>
      </c>
      <c r="BV285" t="s">
        <v>101</v>
      </c>
      <c r="BY285">
        <v>12540</v>
      </c>
      <c r="CA285" t="s">
        <v>997</v>
      </c>
      <c r="CC285" t="s">
        <v>166</v>
      </c>
      <c r="CD285">
        <v>182</v>
      </c>
      <c r="CE285" t="s">
        <v>130</v>
      </c>
      <c r="CF285" s="3">
        <v>44599</v>
      </c>
      <c r="CI285">
        <v>2</v>
      </c>
      <c r="CJ285">
        <v>2</v>
      </c>
      <c r="CK285">
        <v>41</v>
      </c>
      <c r="CL285" t="s">
        <v>84</v>
      </c>
    </row>
    <row r="286" spans="1:90" x14ac:dyDescent="0.25">
      <c r="A286" t="s">
        <v>72</v>
      </c>
      <c r="B286" t="s">
        <v>73</v>
      </c>
      <c r="C286" t="s">
        <v>74</v>
      </c>
      <c r="E286" t="str">
        <f>"GAB2008016"</f>
        <v>GAB2008016</v>
      </c>
      <c r="F286" s="3">
        <v>44593</v>
      </c>
      <c r="G286">
        <v>202208</v>
      </c>
      <c r="H286" t="s">
        <v>75</v>
      </c>
      <c r="I286" t="s">
        <v>76</v>
      </c>
      <c r="J286" t="s">
        <v>77</v>
      </c>
      <c r="K286" t="s">
        <v>78</v>
      </c>
      <c r="L286" t="s">
        <v>210</v>
      </c>
      <c r="M286" t="s">
        <v>211</v>
      </c>
      <c r="N286" t="s">
        <v>212</v>
      </c>
      <c r="O286" t="s">
        <v>80</v>
      </c>
      <c r="P286" t="str">
        <f>"ORD006747                     "</f>
        <v xml:space="preserve">ORD006747   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27.03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0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0.2</v>
      </c>
      <c r="BJ286">
        <v>2.4</v>
      </c>
      <c r="BK286">
        <v>2.5</v>
      </c>
      <c r="BL286">
        <v>103.18</v>
      </c>
      <c r="BM286">
        <v>15.48</v>
      </c>
      <c r="BN286">
        <v>118.66</v>
      </c>
      <c r="BO286">
        <v>118.66</v>
      </c>
      <c r="BQ286" t="s">
        <v>213</v>
      </c>
      <c r="BR286" t="s">
        <v>82</v>
      </c>
      <c r="BS286" s="3">
        <v>44594</v>
      </c>
      <c r="BT286" s="4">
        <v>0.69930555555555562</v>
      </c>
      <c r="BU286" t="s">
        <v>998</v>
      </c>
      <c r="BV286" t="s">
        <v>101</v>
      </c>
      <c r="BY286">
        <v>11793.6</v>
      </c>
      <c r="BZ286" t="s">
        <v>87</v>
      </c>
      <c r="CA286" t="s">
        <v>215</v>
      </c>
      <c r="CC286" t="s">
        <v>211</v>
      </c>
      <c r="CD286">
        <v>7380</v>
      </c>
      <c r="CE286" t="s">
        <v>152</v>
      </c>
      <c r="CF286" s="3">
        <v>44595</v>
      </c>
      <c r="CI286">
        <v>5</v>
      </c>
      <c r="CJ286">
        <v>1</v>
      </c>
      <c r="CK286">
        <v>24</v>
      </c>
      <c r="CL286" t="s">
        <v>84</v>
      </c>
    </row>
    <row r="287" spans="1:90" x14ac:dyDescent="0.25">
      <c r="A287" t="s">
        <v>72</v>
      </c>
      <c r="B287" t="s">
        <v>73</v>
      </c>
      <c r="C287" t="s">
        <v>74</v>
      </c>
      <c r="E287" t="str">
        <f>"GAB2008071"</f>
        <v>GAB2008071</v>
      </c>
      <c r="F287" s="3">
        <v>44595</v>
      </c>
      <c r="G287">
        <v>202208</v>
      </c>
      <c r="H287" t="s">
        <v>75</v>
      </c>
      <c r="I287" t="s">
        <v>76</v>
      </c>
      <c r="J287" t="s">
        <v>77</v>
      </c>
      <c r="K287" t="s">
        <v>78</v>
      </c>
      <c r="L287" t="s">
        <v>165</v>
      </c>
      <c r="M287" t="s">
        <v>166</v>
      </c>
      <c r="N287" t="s">
        <v>631</v>
      </c>
      <c r="O287" t="s">
        <v>125</v>
      </c>
      <c r="P287" t="str">
        <f>"006836                        "</f>
        <v xml:space="preserve">006836      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32.42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0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0.8</v>
      </c>
      <c r="BJ287">
        <v>2.6</v>
      </c>
      <c r="BK287">
        <v>3</v>
      </c>
      <c r="BL287">
        <v>121.87</v>
      </c>
      <c r="BM287">
        <v>18.28</v>
      </c>
      <c r="BN287">
        <v>140.15</v>
      </c>
      <c r="BO287">
        <v>140.15</v>
      </c>
      <c r="BQ287" t="s">
        <v>632</v>
      </c>
      <c r="BR287" t="s">
        <v>82</v>
      </c>
      <c r="BS287" s="3">
        <v>44599</v>
      </c>
      <c r="BT287" s="4">
        <v>0.3888888888888889</v>
      </c>
      <c r="BU287" t="s">
        <v>999</v>
      </c>
      <c r="BV287" t="s">
        <v>101</v>
      </c>
      <c r="BY287">
        <v>13189.45</v>
      </c>
      <c r="CA287" t="s">
        <v>634</v>
      </c>
      <c r="CC287" t="s">
        <v>166</v>
      </c>
      <c r="CD287">
        <v>110</v>
      </c>
      <c r="CE287" t="s">
        <v>130</v>
      </c>
      <c r="CF287" s="3">
        <v>44599</v>
      </c>
      <c r="CI287">
        <v>2</v>
      </c>
      <c r="CJ287">
        <v>2</v>
      </c>
      <c r="CK287">
        <v>41</v>
      </c>
      <c r="CL287" t="s">
        <v>84</v>
      </c>
    </row>
    <row r="288" spans="1:90" x14ac:dyDescent="0.25">
      <c r="A288" t="s">
        <v>72</v>
      </c>
      <c r="B288" t="s">
        <v>73</v>
      </c>
      <c r="C288" t="s">
        <v>74</v>
      </c>
      <c r="E288" t="str">
        <f>"GAB2008015"</f>
        <v>GAB2008015</v>
      </c>
      <c r="F288" s="3">
        <v>44593</v>
      </c>
      <c r="G288">
        <v>202208</v>
      </c>
      <c r="H288" t="s">
        <v>75</v>
      </c>
      <c r="I288" t="s">
        <v>76</v>
      </c>
      <c r="J288" t="s">
        <v>77</v>
      </c>
      <c r="K288" t="s">
        <v>78</v>
      </c>
      <c r="L288" t="s">
        <v>153</v>
      </c>
      <c r="M288" t="s">
        <v>154</v>
      </c>
      <c r="N288" t="s">
        <v>1000</v>
      </c>
      <c r="O288" t="s">
        <v>80</v>
      </c>
      <c r="P288" t="str">
        <f>"CT071667                      "</f>
        <v xml:space="preserve">CT071667    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19.32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15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0.3</v>
      </c>
      <c r="BJ288">
        <v>2.4</v>
      </c>
      <c r="BK288">
        <v>2.5</v>
      </c>
      <c r="BL288">
        <v>88.74</v>
      </c>
      <c r="BM288">
        <v>13.31</v>
      </c>
      <c r="BN288">
        <v>102.05</v>
      </c>
      <c r="BO288">
        <v>102.05</v>
      </c>
      <c r="BQ288" t="s">
        <v>811</v>
      </c>
      <c r="BR288" t="s">
        <v>82</v>
      </c>
      <c r="BS288" s="3">
        <v>44594</v>
      </c>
      <c r="BT288" s="4">
        <v>0.35902777777777778</v>
      </c>
      <c r="BU288" t="s">
        <v>812</v>
      </c>
      <c r="BV288" t="s">
        <v>101</v>
      </c>
      <c r="BY288">
        <v>12142.08</v>
      </c>
      <c r="BZ288" t="s">
        <v>121</v>
      </c>
      <c r="CA288" t="s">
        <v>788</v>
      </c>
      <c r="CC288" t="s">
        <v>154</v>
      </c>
      <c r="CD288">
        <v>1862</v>
      </c>
      <c r="CE288" t="s">
        <v>208</v>
      </c>
      <c r="CF288" s="3">
        <v>44594</v>
      </c>
      <c r="CI288">
        <v>1</v>
      </c>
      <c r="CJ288">
        <v>1</v>
      </c>
      <c r="CK288">
        <v>21</v>
      </c>
      <c r="CL288" t="s">
        <v>84</v>
      </c>
    </row>
    <row r="289" spans="1:90" x14ac:dyDescent="0.25">
      <c r="A289" t="s">
        <v>72</v>
      </c>
      <c r="B289" t="s">
        <v>73</v>
      </c>
      <c r="C289" t="s">
        <v>74</v>
      </c>
      <c r="E289" t="str">
        <f>"GAB2008070"</f>
        <v>GAB2008070</v>
      </c>
      <c r="F289" s="3">
        <v>44595</v>
      </c>
      <c r="G289">
        <v>202208</v>
      </c>
      <c r="H289" t="s">
        <v>75</v>
      </c>
      <c r="I289" t="s">
        <v>76</v>
      </c>
      <c r="J289" t="s">
        <v>77</v>
      </c>
      <c r="K289" t="s">
        <v>78</v>
      </c>
      <c r="L289" t="s">
        <v>75</v>
      </c>
      <c r="M289" t="s">
        <v>76</v>
      </c>
      <c r="N289" t="s">
        <v>330</v>
      </c>
      <c r="O289" t="s">
        <v>125</v>
      </c>
      <c r="P289" t="str">
        <f>"CT071500                      "</f>
        <v xml:space="preserve">CT071500     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25.01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1.5</v>
      </c>
      <c r="BJ289">
        <v>6.2</v>
      </c>
      <c r="BK289">
        <v>7</v>
      </c>
      <c r="BL289">
        <v>95.23</v>
      </c>
      <c r="BM289">
        <v>14.28</v>
      </c>
      <c r="BN289">
        <v>109.51</v>
      </c>
      <c r="BO289">
        <v>109.51</v>
      </c>
      <c r="BQ289" t="s">
        <v>331</v>
      </c>
      <c r="BR289" t="s">
        <v>82</v>
      </c>
      <c r="BS289" s="3">
        <v>44596</v>
      </c>
      <c r="BT289" s="4">
        <v>0.49374999999999997</v>
      </c>
      <c r="BU289" t="s">
        <v>1001</v>
      </c>
      <c r="BV289" t="s">
        <v>101</v>
      </c>
      <c r="BY289">
        <v>31054.5</v>
      </c>
      <c r="CA289" t="s">
        <v>88</v>
      </c>
      <c r="CC289" t="s">
        <v>76</v>
      </c>
      <c r="CD289">
        <v>7550</v>
      </c>
      <c r="CE289" t="s">
        <v>130</v>
      </c>
      <c r="CF289" s="3">
        <v>44599</v>
      </c>
      <c r="CI289">
        <v>1</v>
      </c>
      <c r="CJ289">
        <v>1</v>
      </c>
      <c r="CK289">
        <v>42</v>
      </c>
      <c r="CL289" t="s">
        <v>84</v>
      </c>
    </row>
    <row r="290" spans="1:90" x14ac:dyDescent="0.25">
      <c r="A290" t="s">
        <v>72</v>
      </c>
      <c r="B290" t="s">
        <v>73</v>
      </c>
      <c r="C290" t="s">
        <v>74</v>
      </c>
      <c r="E290" t="str">
        <f>"GAB2008014"</f>
        <v>GAB2008014</v>
      </c>
      <c r="F290" s="3">
        <v>44593</v>
      </c>
      <c r="G290">
        <v>202208</v>
      </c>
      <c r="H290" t="s">
        <v>75</v>
      </c>
      <c r="I290" t="s">
        <v>76</v>
      </c>
      <c r="J290" t="s">
        <v>77</v>
      </c>
      <c r="K290" t="s">
        <v>78</v>
      </c>
      <c r="L290" t="s">
        <v>90</v>
      </c>
      <c r="M290" t="s">
        <v>91</v>
      </c>
      <c r="N290" t="s">
        <v>92</v>
      </c>
      <c r="O290" t="s">
        <v>80</v>
      </c>
      <c r="P290" t="str">
        <f>"CT071665                      "</f>
        <v xml:space="preserve">CT071665     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12.07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0.2</v>
      </c>
      <c r="BJ290">
        <v>2.4</v>
      </c>
      <c r="BK290">
        <v>2.5</v>
      </c>
      <c r="BL290">
        <v>46.08</v>
      </c>
      <c r="BM290">
        <v>6.91</v>
      </c>
      <c r="BN290">
        <v>52.99</v>
      </c>
      <c r="BO290">
        <v>52.99</v>
      </c>
      <c r="BQ290" t="s">
        <v>93</v>
      </c>
      <c r="BR290" t="s">
        <v>82</v>
      </c>
      <c r="BS290" s="3">
        <v>44594</v>
      </c>
      <c r="BT290" s="4">
        <v>0.48958333333333331</v>
      </c>
      <c r="BU290" t="s">
        <v>1002</v>
      </c>
      <c r="BV290" t="s">
        <v>101</v>
      </c>
      <c r="BY290">
        <v>12041.64</v>
      </c>
      <c r="BZ290" t="s">
        <v>87</v>
      </c>
      <c r="CA290" t="s">
        <v>1003</v>
      </c>
      <c r="CC290" t="s">
        <v>91</v>
      </c>
      <c r="CD290">
        <v>7600</v>
      </c>
      <c r="CE290" t="s">
        <v>103</v>
      </c>
      <c r="CF290" s="3">
        <v>44595</v>
      </c>
      <c r="CI290">
        <v>1</v>
      </c>
      <c r="CJ290">
        <v>1</v>
      </c>
      <c r="CK290">
        <v>22</v>
      </c>
      <c r="CL290" t="s">
        <v>84</v>
      </c>
    </row>
    <row r="291" spans="1:90" x14ac:dyDescent="0.25">
      <c r="A291" t="s">
        <v>72</v>
      </c>
      <c r="B291" t="s">
        <v>73</v>
      </c>
      <c r="C291" t="s">
        <v>74</v>
      </c>
      <c r="E291" t="str">
        <f>"GAB2008056"</f>
        <v>GAB2008056</v>
      </c>
      <c r="F291" s="3">
        <v>44595</v>
      </c>
      <c r="G291">
        <v>202208</v>
      </c>
      <c r="H291" t="s">
        <v>75</v>
      </c>
      <c r="I291" t="s">
        <v>76</v>
      </c>
      <c r="J291" t="s">
        <v>77</v>
      </c>
      <c r="K291" t="s">
        <v>78</v>
      </c>
      <c r="L291" t="s">
        <v>153</v>
      </c>
      <c r="M291" t="s">
        <v>154</v>
      </c>
      <c r="N291" t="s">
        <v>524</v>
      </c>
      <c r="O291" t="s">
        <v>125</v>
      </c>
      <c r="P291" t="str">
        <f>"CT071676                      "</f>
        <v xml:space="preserve">CT071676     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32.42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0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1.3</v>
      </c>
      <c r="BJ291">
        <v>6.5</v>
      </c>
      <c r="BK291">
        <v>7</v>
      </c>
      <c r="BL291">
        <v>121.87</v>
      </c>
      <c r="BM291">
        <v>18.28</v>
      </c>
      <c r="BN291">
        <v>140.15</v>
      </c>
      <c r="BO291">
        <v>140.15</v>
      </c>
      <c r="BQ291" t="s">
        <v>525</v>
      </c>
      <c r="BR291" t="s">
        <v>82</v>
      </c>
      <c r="BS291" s="3">
        <v>44601</v>
      </c>
      <c r="BT291" s="4">
        <v>0.37361111111111112</v>
      </c>
      <c r="BU291" t="s">
        <v>1004</v>
      </c>
      <c r="BV291" t="s">
        <v>84</v>
      </c>
      <c r="BW291" t="s">
        <v>1005</v>
      </c>
      <c r="BX291" t="s">
        <v>1006</v>
      </c>
      <c r="BY291">
        <v>32491.65</v>
      </c>
      <c r="CA291" t="s">
        <v>526</v>
      </c>
      <c r="CC291" t="s">
        <v>154</v>
      </c>
      <c r="CD291">
        <v>2196</v>
      </c>
      <c r="CE291" t="s">
        <v>130</v>
      </c>
      <c r="CF291" s="3">
        <v>44602</v>
      </c>
      <c r="CI291">
        <v>2</v>
      </c>
      <c r="CJ291">
        <v>4</v>
      </c>
      <c r="CK291">
        <v>41</v>
      </c>
      <c r="CL291" t="s">
        <v>84</v>
      </c>
    </row>
    <row r="292" spans="1:90" x14ac:dyDescent="0.25">
      <c r="A292" t="s">
        <v>72</v>
      </c>
      <c r="B292" t="s">
        <v>73</v>
      </c>
      <c r="C292" t="s">
        <v>74</v>
      </c>
      <c r="E292" t="str">
        <f>"GAB2008013"</f>
        <v>GAB2008013</v>
      </c>
      <c r="F292" s="3">
        <v>44593</v>
      </c>
      <c r="G292">
        <v>202208</v>
      </c>
      <c r="H292" t="s">
        <v>75</v>
      </c>
      <c r="I292" t="s">
        <v>76</v>
      </c>
      <c r="J292" t="s">
        <v>77</v>
      </c>
      <c r="K292" t="s">
        <v>78</v>
      </c>
      <c r="L292" t="s">
        <v>75</v>
      </c>
      <c r="M292" t="s">
        <v>76</v>
      </c>
      <c r="N292" t="s">
        <v>530</v>
      </c>
      <c r="O292" t="s">
        <v>80</v>
      </c>
      <c r="P292" t="str">
        <f>"CT071666                      "</f>
        <v xml:space="preserve">CT071666     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12.07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0.3</v>
      </c>
      <c r="BJ292">
        <v>2.2999999999999998</v>
      </c>
      <c r="BK292">
        <v>2.5</v>
      </c>
      <c r="BL292">
        <v>46.08</v>
      </c>
      <c r="BM292">
        <v>6.91</v>
      </c>
      <c r="BN292">
        <v>52.99</v>
      </c>
      <c r="BO292">
        <v>52.99</v>
      </c>
      <c r="BQ292" t="s">
        <v>531</v>
      </c>
      <c r="BR292" t="s">
        <v>82</v>
      </c>
      <c r="BS292" s="3">
        <v>44594</v>
      </c>
      <c r="BT292" s="4">
        <v>0.44166666666666665</v>
      </c>
      <c r="BU292" t="s">
        <v>1007</v>
      </c>
      <c r="BV292" t="s">
        <v>84</v>
      </c>
      <c r="BW292" t="s">
        <v>95</v>
      </c>
      <c r="BX292" t="s">
        <v>233</v>
      </c>
      <c r="BY292">
        <v>11709.2</v>
      </c>
      <c r="BZ292" t="s">
        <v>87</v>
      </c>
      <c r="CA292" t="s">
        <v>533</v>
      </c>
      <c r="CC292" t="s">
        <v>76</v>
      </c>
      <c r="CD292">
        <v>7441</v>
      </c>
      <c r="CE292" t="s">
        <v>103</v>
      </c>
      <c r="CF292" s="3">
        <v>44595</v>
      </c>
      <c r="CI292">
        <v>1</v>
      </c>
      <c r="CJ292">
        <v>1</v>
      </c>
      <c r="CK292">
        <v>22</v>
      </c>
      <c r="CL292" t="s">
        <v>84</v>
      </c>
    </row>
    <row r="293" spans="1:90" x14ac:dyDescent="0.25">
      <c r="A293" t="s">
        <v>72</v>
      </c>
      <c r="B293" t="s">
        <v>73</v>
      </c>
      <c r="C293" t="s">
        <v>74</v>
      </c>
      <c r="E293" t="str">
        <f>"GAB2008057"</f>
        <v>GAB2008057</v>
      </c>
      <c r="F293" s="3">
        <v>44595</v>
      </c>
      <c r="G293">
        <v>202208</v>
      </c>
      <c r="H293" t="s">
        <v>75</v>
      </c>
      <c r="I293" t="s">
        <v>76</v>
      </c>
      <c r="J293" t="s">
        <v>77</v>
      </c>
      <c r="K293" t="s">
        <v>78</v>
      </c>
      <c r="L293" t="s">
        <v>159</v>
      </c>
      <c r="M293" t="s">
        <v>160</v>
      </c>
      <c r="N293" t="s">
        <v>364</v>
      </c>
      <c r="O293" t="s">
        <v>125</v>
      </c>
      <c r="P293" t="str">
        <f>"CT071728                      "</f>
        <v xml:space="preserve">CT071728       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45.72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0.7</v>
      </c>
      <c r="BJ293">
        <v>2.7</v>
      </c>
      <c r="BK293">
        <v>3</v>
      </c>
      <c r="BL293">
        <v>169.72</v>
      </c>
      <c r="BM293">
        <v>25.46</v>
      </c>
      <c r="BN293">
        <v>195.18</v>
      </c>
      <c r="BO293">
        <v>195.18</v>
      </c>
      <c r="BQ293" t="s">
        <v>1008</v>
      </c>
      <c r="BR293" t="s">
        <v>82</v>
      </c>
      <c r="BS293" s="3">
        <v>44600</v>
      </c>
      <c r="BT293" s="4">
        <v>0.51527777777777783</v>
      </c>
      <c r="BU293" t="s">
        <v>365</v>
      </c>
      <c r="BV293" t="s">
        <v>101</v>
      </c>
      <c r="BY293">
        <v>13664.7</v>
      </c>
      <c r="CC293" t="s">
        <v>160</v>
      </c>
      <c r="CD293">
        <v>9460</v>
      </c>
      <c r="CE293" t="s">
        <v>130</v>
      </c>
      <c r="CF293" s="3">
        <v>44600</v>
      </c>
      <c r="CI293">
        <v>3</v>
      </c>
      <c r="CJ293">
        <v>3</v>
      </c>
      <c r="CK293">
        <v>43</v>
      </c>
      <c r="CL293" t="s">
        <v>84</v>
      </c>
    </row>
    <row r="294" spans="1:90" x14ac:dyDescent="0.25">
      <c r="A294" t="s">
        <v>72</v>
      </c>
      <c r="B294" t="s">
        <v>73</v>
      </c>
      <c r="C294" t="s">
        <v>74</v>
      </c>
      <c r="E294" t="str">
        <f>"GAB2008033"</f>
        <v>GAB2008033</v>
      </c>
      <c r="F294" s="3">
        <v>44593</v>
      </c>
      <c r="G294">
        <v>202208</v>
      </c>
      <c r="H294" t="s">
        <v>75</v>
      </c>
      <c r="I294" t="s">
        <v>76</v>
      </c>
      <c r="J294" t="s">
        <v>77</v>
      </c>
      <c r="K294" t="s">
        <v>78</v>
      </c>
      <c r="L294" t="s">
        <v>153</v>
      </c>
      <c r="M294" t="s">
        <v>154</v>
      </c>
      <c r="N294" t="s">
        <v>1009</v>
      </c>
      <c r="O294" t="s">
        <v>125</v>
      </c>
      <c r="P294" t="str">
        <f>"CT071551                      "</f>
        <v xml:space="preserve">CT071551       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45.91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18.2</v>
      </c>
      <c r="BJ294">
        <v>27.1</v>
      </c>
      <c r="BK294">
        <v>28</v>
      </c>
      <c r="BL294">
        <v>180.47</v>
      </c>
      <c r="BM294">
        <v>27.07</v>
      </c>
      <c r="BN294">
        <v>207.54</v>
      </c>
      <c r="BO294">
        <v>207.54</v>
      </c>
      <c r="BQ294" t="s">
        <v>1010</v>
      </c>
      <c r="BR294" t="s">
        <v>82</v>
      </c>
      <c r="BS294" s="3">
        <v>44595</v>
      </c>
      <c r="BT294" s="4">
        <v>0.39097222222222222</v>
      </c>
      <c r="BU294" t="s">
        <v>1011</v>
      </c>
      <c r="BV294" t="s">
        <v>101</v>
      </c>
      <c r="BY294">
        <v>135678.03</v>
      </c>
      <c r="CA294" t="s">
        <v>1012</v>
      </c>
      <c r="CC294" t="s">
        <v>154</v>
      </c>
      <c r="CD294">
        <v>2119</v>
      </c>
      <c r="CE294" t="s">
        <v>1013</v>
      </c>
      <c r="CF294" s="3">
        <v>44595</v>
      </c>
      <c r="CI294">
        <v>2</v>
      </c>
      <c r="CJ294">
        <v>2</v>
      </c>
      <c r="CK294">
        <v>41</v>
      </c>
      <c r="CL294" t="s">
        <v>84</v>
      </c>
    </row>
    <row r="295" spans="1:90" x14ac:dyDescent="0.25">
      <c r="A295" t="s">
        <v>72</v>
      </c>
      <c r="B295" t="s">
        <v>73</v>
      </c>
      <c r="C295" t="s">
        <v>74</v>
      </c>
      <c r="E295" t="str">
        <f>"GAB2008058"</f>
        <v>GAB2008058</v>
      </c>
      <c r="F295" s="3">
        <v>44595</v>
      </c>
      <c r="G295">
        <v>202208</v>
      </c>
      <c r="H295" t="s">
        <v>75</v>
      </c>
      <c r="I295" t="s">
        <v>76</v>
      </c>
      <c r="J295" t="s">
        <v>77</v>
      </c>
      <c r="K295" t="s">
        <v>78</v>
      </c>
      <c r="L295" t="s">
        <v>75</v>
      </c>
      <c r="M295" t="s">
        <v>76</v>
      </c>
      <c r="N295" t="s">
        <v>1014</v>
      </c>
      <c r="O295" t="s">
        <v>80</v>
      </c>
      <c r="P295" t="str">
        <f>"CT071731                      "</f>
        <v xml:space="preserve">CT071731     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13.09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0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0.7</v>
      </c>
      <c r="BJ295">
        <v>1.9</v>
      </c>
      <c r="BK295">
        <v>2</v>
      </c>
      <c r="BL295">
        <v>47.1</v>
      </c>
      <c r="BM295">
        <v>7.07</v>
      </c>
      <c r="BN295">
        <v>54.17</v>
      </c>
      <c r="BO295">
        <v>54.17</v>
      </c>
      <c r="BQ295" t="s">
        <v>1015</v>
      </c>
      <c r="BR295" t="s">
        <v>82</v>
      </c>
      <c r="BS295" s="3">
        <v>44596</v>
      </c>
      <c r="BT295" s="4">
        <v>0.56736111111111109</v>
      </c>
      <c r="BU295" t="s">
        <v>1016</v>
      </c>
      <c r="BV295" t="s">
        <v>84</v>
      </c>
      <c r="BW295" t="s">
        <v>95</v>
      </c>
      <c r="BX295" t="s">
        <v>86</v>
      </c>
      <c r="BY295">
        <v>9278.64</v>
      </c>
      <c r="BZ295" t="s">
        <v>87</v>
      </c>
      <c r="CA295" t="s">
        <v>88</v>
      </c>
      <c r="CC295" t="s">
        <v>76</v>
      </c>
      <c r="CD295">
        <v>7550</v>
      </c>
      <c r="CE295" t="s">
        <v>333</v>
      </c>
      <c r="CF295" s="3">
        <v>44599</v>
      </c>
      <c r="CI295">
        <v>1</v>
      </c>
      <c r="CJ295">
        <v>1</v>
      </c>
      <c r="CK295">
        <v>22</v>
      </c>
      <c r="CL295" t="s">
        <v>84</v>
      </c>
    </row>
    <row r="296" spans="1:90" x14ac:dyDescent="0.25">
      <c r="A296" t="s">
        <v>72</v>
      </c>
      <c r="B296" t="s">
        <v>73</v>
      </c>
      <c r="C296" t="s">
        <v>74</v>
      </c>
      <c r="E296" t="str">
        <f>"GAB2008042"</f>
        <v>GAB2008042</v>
      </c>
      <c r="F296" s="3">
        <v>44594</v>
      </c>
      <c r="G296">
        <v>202208</v>
      </c>
      <c r="H296" t="s">
        <v>75</v>
      </c>
      <c r="I296" t="s">
        <v>76</v>
      </c>
      <c r="J296" t="s">
        <v>77</v>
      </c>
      <c r="K296" t="s">
        <v>78</v>
      </c>
      <c r="L296" t="s">
        <v>384</v>
      </c>
      <c r="M296" t="s">
        <v>385</v>
      </c>
      <c r="N296" t="s">
        <v>386</v>
      </c>
      <c r="O296" t="s">
        <v>80</v>
      </c>
      <c r="P296" t="str">
        <f>"CT071700                      "</f>
        <v xml:space="preserve">CT071700           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25.14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0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1</v>
      </c>
      <c r="BI296">
        <v>0.1</v>
      </c>
      <c r="BJ296">
        <v>2.8</v>
      </c>
      <c r="BK296">
        <v>3</v>
      </c>
      <c r="BL296">
        <v>90.44</v>
      </c>
      <c r="BM296">
        <v>13.57</v>
      </c>
      <c r="BN296">
        <v>104.01</v>
      </c>
      <c r="BO296">
        <v>104.01</v>
      </c>
      <c r="BQ296" t="s">
        <v>387</v>
      </c>
      <c r="BR296" t="s">
        <v>82</v>
      </c>
      <c r="BS296" s="3">
        <v>44595</v>
      </c>
      <c r="BT296" s="4">
        <v>0.33333333333333331</v>
      </c>
      <c r="BU296" t="s">
        <v>1017</v>
      </c>
      <c r="BV296" t="s">
        <v>101</v>
      </c>
      <c r="BY296">
        <v>14054.85</v>
      </c>
      <c r="BZ296" t="s">
        <v>87</v>
      </c>
      <c r="CC296" t="s">
        <v>385</v>
      </c>
      <c r="CD296">
        <v>2194</v>
      </c>
      <c r="CE296" t="s">
        <v>89</v>
      </c>
      <c r="CF296" s="3">
        <v>44596</v>
      </c>
      <c r="CI296">
        <v>1</v>
      </c>
      <c r="CJ296">
        <v>1</v>
      </c>
      <c r="CK296">
        <v>21</v>
      </c>
      <c r="CL296" t="s">
        <v>84</v>
      </c>
    </row>
    <row r="297" spans="1:90" x14ac:dyDescent="0.25">
      <c r="A297" t="s">
        <v>72</v>
      </c>
      <c r="B297" t="s">
        <v>73</v>
      </c>
      <c r="C297" t="s">
        <v>74</v>
      </c>
      <c r="E297" t="str">
        <f>"009940142808"</f>
        <v>009940142808</v>
      </c>
      <c r="F297" s="3">
        <v>44595</v>
      </c>
      <c r="G297">
        <v>202208</v>
      </c>
      <c r="H297" t="s">
        <v>761</v>
      </c>
      <c r="I297" t="s">
        <v>762</v>
      </c>
      <c r="J297" t="s">
        <v>111</v>
      </c>
      <c r="K297" t="s">
        <v>78</v>
      </c>
      <c r="L297" t="s">
        <v>165</v>
      </c>
      <c r="M297" t="s">
        <v>166</v>
      </c>
      <c r="N297" t="s">
        <v>111</v>
      </c>
      <c r="O297" t="s">
        <v>80</v>
      </c>
      <c r="P297" t="str">
        <f>"                              "</f>
        <v xml:space="preserve">                   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16.760000000000002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0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1</v>
      </c>
      <c r="BJ297">
        <v>0.2</v>
      </c>
      <c r="BK297">
        <v>1</v>
      </c>
      <c r="BL297">
        <v>60.3</v>
      </c>
      <c r="BM297">
        <v>9.0500000000000007</v>
      </c>
      <c r="BN297">
        <v>69.349999999999994</v>
      </c>
      <c r="BO297">
        <v>69.349999999999994</v>
      </c>
      <c r="BQ297" t="s">
        <v>1018</v>
      </c>
      <c r="BR297" t="s">
        <v>1019</v>
      </c>
      <c r="BS297" s="3">
        <v>44596</v>
      </c>
      <c r="BT297" s="4">
        <v>0.37222222222222223</v>
      </c>
      <c r="BU297" t="s">
        <v>1020</v>
      </c>
      <c r="BV297" t="s">
        <v>101</v>
      </c>
      <c r="BY297">
        <v>1200</v>
      </c>
      <c r="BZ297" t="s">
        <v>87</v>
      </c>
      <c r="CA297" t="s">
        <v>129</v>
      </c>
      <c r="CC297" t="s">
        <v>166</v>
      </c>
      <c r="CD297">
        <v>169</v>
      </c>
      <c r="CE297" t="s">
        <v>130</v>
      </c>
      <c r="CF297" s="3">
        <v>44596</v>
      </c>
      <c r="CI297">
        <v>1</v>
      </c>
      <c r="CJ297">
        <v>1</v>
      </c>
      <c r="CK297">
        <v>21</v>
      </c>
      <c r="CL297" t="s">
        <v>84</v>
      </c>
    </row>
    <row r="298" spans="1:90" x14ac:dyDescent="0.25">
      <c r="A298" t="s">
        <v>72</v>
      </c>
      <c r="B298" t="s">
        <v>73</v>
      </c>
      <c r="C298" t="s">
        <v>74</v>
      </c>
      <c r="E298" t="str">
        <f>"GAB2008118"</f>
        <v>GAB2008118</v>
      </c>
      <c r="F298" s="3">
        <v>44599</v>
      </c>
      <c r="G298">
        <v>202208</v>
      </c>
      <c r="H298" t="s">
        <v>75</v>
      </c>
      <c r="I298" t="s">
        <v>76</v>
      </c>
      <c r="J298" t="s">
        <v>77</v>
      </c>
      <c r="K298" t="s">
        <v>78</v>
      </c>
      <c r="L298" t="s">
        <v>165</v>
      </c>
      <c r="M298" t="s">
        <v>166</v>
      </c>
      <c r="N298" t="s">
        <v>428</v>
      </c>
      <c r="O298" t="s">
        <v>80</v>
      </c>
      <c r="P298" t="str">
        <f>"006905                        "</f>
        <v xml:space="preserve">006905               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16.760000000000002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0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0.2</v>
      </c>
      <c r="BJ298">
        <v>1.9</v>
      </c>
      <c r="BK298">
        <v>2</v>
      </c>
      <c r="BL298">
        <v>60.3</v>
      </c>
      <c r="BM298">
        <v>9.0500000000000007</v>
      </c>
      <c r="BN298">
        <v>69.349999999999994</v>
      </c>
      <c r="BO298">
        <v>69.349999999999994</v>
      </c>
      <c r="BQ298" t="s">
        <v>429</v>
      </c>
      <c r="BR298" t="s">
        <v>82</v>
      </c>
      <c r="BS298" s="3">
        <v>44600</v>
      </c>
      <c r="BT298" s="4">
        <v>0.3527777777777778</v>
      </c>
      <c r="BU298" t="s">
        <v>1021</v>
      </c>
      <c r="BV298" t="s">
        <v>101</v>
      </c>
      <c r="BY298">
        <v>9688.32</v>
      </c>
      <c r="BZ298" t="s">
        <v>87</v>
      </c>
      <c r="CA298" t="s">
        <v>431</v>
      </c>
      <c r="CC298" t="s">
        <v>166</v>
      </c>
      <c r="CD298">
        <v>2</v>
      </c>
      <c r="CE298" t="s">
        <v>432</v>
      </c>
      <c r="CF298" s="3">
        <v>44600</v>
      </c>
      <c r="CI298">
        <v>1</v>
      </c>
      <c r="CJ298">
        <v>1</v>
      </c>
      <c r="CK298">
        <v>21</v>
      </c>
      <c r="CL298" t="s">
        <v>84</v>
      </c>
    </row>
    <row r="299" spans="1:90" x14ac:dyDescent="0.25">
      <c r="A299" t="s">
        <v>72</v>
      </c>
      <c r="B299" t="s">
        <v>73</v>
      </c>
      <c r="C299" t="s">
        <v>74</v>
      </c>
      <c r="E299" t="str">
        <f>"GAB2008130"</f>
        <v>GAB2008130</v>
      </c>
      <c r="F299" s="3">
        <v>44599</v>
      </c>
      <c r="G299">
        <v>202208</v>
      </c>
      <c r="H299" t="s">
        <v>75</v>
      </c>
      <c r="I299" t="s">
        <v>76</v>
      </c>
      <c r="J299" t="s">
        <v>77</v>
      </c>
      <c r="K299" t="s">
        <v>78</v>
      </c>
      <c r="L299" t="s">
        <v>496</v>
      </c>
      <c r="M299" t="s">
        <v>497</v>
      </c>
      <c r="N299" t="s">
        <v>498</v>
      </c>
      <c r="O299" t="s">
        <v>80</v>
      </c>
      <c r="P299" t="str">
        <f>"CT071822                      "</f>
        <v xml:space="preserve">CT071822             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20.95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0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0.1</v>
      </c>
      <c r="BJ299">
        <v>2.4</v>
      </c>
      <c r="BK299">
        <v>2.5</v>
      </c>
      <c r="BL299">
        <v>75.37</v>
      </c>
      <c r="BM299">
        <v>11.31</v>
      </c>
      <c r="BN299">
        <v>86.68</v>
      </c>
      <c r="BO299">
        <v>86.68</v>
      </c>
      <c r="BQ299" t="s">
        <v>499</v>
      </c>
      <c r="BR299" t="s">
        <v>82</v>
      </c>
      <c r="BS299" s="3">
        <v>44600</v>
      </c>
      <c r="BT299" s="4">
        <v>0.40138888888888885</v>
      </c>
      <c r="BU299" t="s">
        <v>1022</v>
      </c>
      <c r="BV299" t="s">
        <v>101</v>
      </c>
      <c r="BY299">
        <v>11787.93</v>
      </c>
      <c r="BZ299" t="s">
        <v>87</v>
      </c>
      <c r="CC299" t="s">
        <v>497</v>
      </c>
      <c r="CD299">
        <v>6529</v>
      </c>
      <c r="CE299" t="s">
        <v>89</v>
      </c>
      <c r="CF299" s="3">
        <v>44600</v>
      </c>
      <c r="CI299">
        <v>1</v>
      </c>
      <c r="CJ299">
        <v>1</v>
      </c>
      <c r="CK299">
        <v>21</v>
      </c>
      <c r="CL299" t="s">
        <v>84</v>
      </c>
    </row>
    <row r="300" spans="1:90" x14ac:dyDescent="0.25">
      <c r="A300" t="s">
        <v>72</v>
      </c>
      <c r="B300" t="s">
        <v>73</v>
      </c>
      <c r="C300" t="s">
        <v>74</v>
      </c>
      <c r="E300" t="str">
        <f>"GAB2008120"</f>
        <v>GAB2008120</v>
      </c>
      <c r="F300" s="3">
        <v>44599</v>
      </c>
      <c r="G300">
        <v>202208</v>
      </c>
      <c r="H300" t="s">
        <v>75</v>
      </c>
      <c r="I300" t="s">
        <v>76</v>
      </c>
      <c r="J300" t="s">
        <v>77</v>
      </c>
      <c r="K300" t="s">
        <v>78</v>
      </c>
      <c r="L300" t="s">
        <v>131</v>
      </c>
      <c r="M300" t="s">
        <v>132</v>
      </c>
      <c r="N300" t="s">
        <v>1023</v>
      </c>
      <c r="O300" t="s">
        <v>80</v>
      </c>
      <c r="P300" t="str">
        <f>"CT071799                      "</f>
        <v xml:space="preserve">CT071799             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20.95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0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0.2</v>
      </c>
      <c r="BJ300">
        <v>2.1</v>
      </c>
      <c r="BK300">
        <v>2.5</v>
      </c>
      <c r="BL300">
        <v>75.37</v>
      </c>
      <c r="BM300">
        <v>11.31</v>
      </c>
      <c r="BN300">
        <v>86.68</v>
      </c>
      <c r="BO300">
        <v>86.68</v>
      </c>
      <c r="BQ300" t="s">
        <v>1024</v>
      </c>
      <c r="BR300" t="s">
        <v>82</v>
      </c>
      <c r="BS300" s="3">
        <v>44601</v>
      </c>
      <c r="BT300" s="4">
        <v>0.41388888888888892</v>
      </c>
      <c r="BU300" t="s">
        <v>1025</v>
      </c>
      <c r="BV300" t="s">
        <v>84</v>
      </c>
      <c r="BW300" t="s">
        <v>268</v>
      </c>
      <c r="BX300" t="s">
        <v>240</v>
      </c>
      <c r="BY300">
        <v>10707.84</v>
      </c>
      <c r="BZ300" t="s">
        <v>87</v>
      </c>
      <c r="CA300" t="s">
        <v>270</v>
      </c>
      <c r="CC300" t="s">
        <v>132</v>
      </c>
      <c r="CD300">
        <v>4001</v>
      </c>
      <c r="CE300" t="s">
        <v>152</v>
      </c>
      <c r="CF300" s="3">
        <v>44601</v>
      </c>
      <c r="CI300">
        <v>1</v>
      </c>
      <c r="CJ300">
        <v>2</v>
      </c>
      <c r="CK300">
        <v>21</v>
      </c>
      <c r="CL300" t="s">
        <v>84</v>
      </c>
    </row>
    <row r="301" spans="1:90" x14ac:dyDescent="0.25">
      <c r="A301" t="s">
        <v>72</v>
      </c>
      <c r="B301" t="s">
        <v>73</v>
      </c>
      <c r="C301" t="s">
        <v>74</v>
      </c>
      <c r="E301" t="str">
        <f>"GAB2008129"</f>
        <v>GAB2008129</v>
      </c>
      <c r="F301" s="3">
        <v>44599</v>
      </c>
      <c r="G301">
        <v>202208</v>
      </c>
      <c r="H301" t="s">
        <v>75</v>
      </c>
      <c r="I301" t="s">
        <v>76</v>
      </c>
      <c r="J301" t="s">
        <v>77</v>
      </c>
      <c r="K301" t="s">
        <v>78</v>
      </c>
      <c r="L301" t="s">
        <v>761</v>
      </c>
      <c r="M301" t="s">
        <v>762</v>
      </c>
      <c r="N301" t="s">
        <v>1026</v>
      </c>
      <c r="O301" t="s">
        <v>80</v>
      </c>
      <c r="P301" t="str">
        <f>"CT071821                      "</f>
        <v xml:space="preserve">CT071821             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20.95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0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1</v>
      </c>
      <c r="BI301">
        <v>0.1</v>
      </c>
      <c r="BJ301">
        <v>2.2999999999999998</v>
      </c>
      <c r="BK301">
        <v>2.5</v>
      </c>
      <c r="BL301">
        <v>75.37</v>
      </c>
      <c r="BM301">
        <v>11.31</v>
      </c>
      <c r="BN301">
        <v>86.68</v>
      </c>
      <c r="BO301">
        <v>86.68</v>
      </c>
      <c r="BQ301" t="s">
        <v>1027</v>
      </c>
      <c r="BR301" t="s">
        <v>82</v>
      </c>
      <c r="BS301" s="3">
        <v>44600</v>
      </c>
      <c r="BT301" s="4">
        <v>0.42222222222222222</v>
      </c>
      <c r="BU301" t="s">
        <v>120</v>
      </c>
      <c r="BV301" t="s">
        <v>101</v>
      </c>
      <c r="BY301">
        <v>11351.34</v>
      </c>
      <c r="BZ301" t="s">
        <v>87</v>
      </c>
      <c r="CA301" t="s">
        <v>1028</v>
      </c>
      <c r="CC301" t="s">
        <v>762</v>
      </c>
      <c r="CD301">
        <v>9301</v>
      </c>
      <c r="CE301" t="s">
        <v>89</v>
      </c>
      <c r="CF301" s="3">
        <v>44601</v>
      </c>
      <c r="CI301">
        <v>1</v>
      </c>
      <c r="CJ301">
        <v>1</v>
      </c>
      <c r="CK301">
        <v>21</v>
      </c>
      <c r="CL301" t="s">
        <v>84</v>
      </c>
    </row>
    <row r="302" spans="1:90" x14ac:dyDescent="0.25">
      <c r="A302" t="s">
        <v>72</v>
      </c>
      <c r="B302" t="s">
        <v>73</v>
      </c>
      <c r="C302" t="s">
        <v>74</v>
      </c>
      <c r="E302" t="str">
        <f>"GAB2008124"</f>
        <v>GAB2008124</v>
      </c>
      <c r="F302" s="3">
        <v>44599</v>
      </c>
      <c r="G302">
        <v>202208</v>
      </c>
      <c r="H302" t="s">
        <v>75</v>
      </c>
      <c r="I302" t="s">
        <v>76</v>
      </c>
      <c r="J302" t="s">
        <v>77</v>
      </c>
      <c r="K302" t="s">
        <v>78</v>
      </c>
      <c r="L302" t="s">
        <v>192</v>
      </c>
      <c r="M302" t="s">
        <v>193</v>
      </c>
      <c r="N302" t="s">
        <v>194</v>
      </c>
      <c r="O302" t="s">
        <v>80</v>
      </c>
      <c r="P302" t="str">
        <f>"CT071812                      "</f>
        <v xml:space="preserve">CT071812           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39.81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0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1</v>
      </c>
      <c r="BI302">
        <v>0.2</v>
      </c>
      <c r="BJ302">
        <v>2.2000000000000002</v>
      </c>
      <c r="BK302">
        <v>2.5</v>
      </c>
      <c r="BL302">
        <v>143.22</v>
      </c>
      <c r="BM302">
        <v>21.48</v>
      </c>
      <c r="BN302">
        <v>164.7</v>
      </c>
      <c r="BO302">
        <v>164.7</v>
      </c>
      <c r="BQ302" t="s">
        <v>195</v>
      </c>
      <c r="BR302" t="s">
        <v>82</v>
      </c>
      <c r="BS302" s="3">
        <v>44600</v>
      </c>
      <c r="BT302" s="4">
        <v>0.42083333333333334</v>
      </c>
      <c r="BU302" t="s">
        <v>1029</v>
      </c>
      <c r="BV302" t="s">
        <v>101</v>
      </c>
      <c r="BY302">
        <v>11063.04</v>
      </c>
      <c r="BZ302" t="s">
        <v>87</v>
      </c>
      <c r="CA302" t="s">
        <v>197</v>
      </c>
      <c r="CC302" t="s">
        <v>193</v>
      </c>
      <c r="CD302">
        <v>2515</v>
      </c>
      <c r="CE302" t="s">
        <v>97</v>
      </c>
      <c r="CF302" s="3">
        <v>44600</v>
      </c>
      <c r="CI302">
        <v>1</v>
      </c>
      <c r="CJ302">
        <v>1</v>
      </c>
      <c r="CK302">
        <v>23</v>
      </c>
      <c r="CL302" t="s">
        <v>84</v>
      </c>
    </row>
    <row r="303" spans="1:90" x14ac:dyDescent="0.25">
      <c r="A303" t="s">
        <v>72</v>
      </c>
      <c r="B303" t="s">
        <v>73</v>
      </c>
      <c r="C303" t="s">
        <v>74</v>
      </c>
      <c r="E303" t="str">
        <f>"GAB2008113"</f>
        <v>GAB2008113</v>
      </c>
      <c r="F303" s="3">
        <v>44599</v>
      </c>
      <c r="G303">
        <v>202208</v>
      </c>
      <c r="H303" t="s">
        <v>75</v>
      </c>
      <c r="I303" t="s">
        <v>76</v>
      </c>
      <c r="J303" t="s">
        <v>77</v>
      </c>
      <c r="K303" t="s">
        <v>78</v>
      </c>
      <c r="L303" t="s">
        <v>159</v>
      </c>
      <c r="M303" t="s">
        <v>160</v>
      </c>
      <c r="N303" t="s">
        <v>161</v>
      </c>
      <c r="O303" t="s">
        <v>80</v>
      </c>
      <c r="P303" t="str">
        <f>"CT071790                      "</f>
        <v xml:space="preserve">CT071790             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47.15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0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1</v>
      </c>
      <c r="BI303">
        <v>0.3</v>
      </c>
      <c r="BJ303">
        <v>2.8</v>
      </c>
      <c r="BK303">
        <v>3</v>
      </c>
      <c r="BL303">
        <v>169.61</v>
      </c>
      <c r="BM303">
        <v>25.44</v>
      </c>
      <c r="BN303">
        <v>195.05</v>
      </c>
      <c r="BO303">
        <v>195.05</v>
      </c>
      <c r="BQ303" t="s">
        <v>162</v>
      </c>
      <c r="BR303" t="s">
        <v>82</v>
      </c>
      <c r="BS303" s="3">
        <v>44600</v>
      </c>
      <c r="BT303" s="4">
        <v>0.51458333333333328</v>
      </c>
      <c r="BU303" t="s">
        <v>1030</v>
      </c>
      <c r="BV303" t="s">
        <v>84</v>
      </c>
      <c r="BW303" t="s">
        <v>801</v>
      </c>
      <c r="BX303" t="s">
        <v>802</v>
      </c>
      <c r="BY303">
        <v>14046.29</v>
      </c>
      <c r="BZ303" t="s">
        <v>87</v>
      </c>
      <c r="CC303" t="s">
        <v>160</v>
      </c>
      <c r="CD303">
        <v>9459</v>
      </c>
      <c r="CE303" t="s">
        <v>89</v>
      </c>
      <c r="CF303" s="3">
        <v>44600</v>
      </c>
      <c r="CI303">
        <v>1</v>
      </c>
      <c r="CJ303">
        <v>1</v>
      </c>
      <c r="CK303">
        <v>23</v>
      </c>
      <c r="CL303" t="s">
        <v>84</v>
      </c>
    </row>
    <row r="304" spans="1:90" x14ac:dyDescent="0.25">
      <c r="A304" t="s">
        <v>72</v>
      </c>
      <c r="B304" t="s">
        <v>73</v>
      </c>
      <c r="C304" t="s">
        <v>74</v>
      </c>
      <c r="E304" t="str">
        <f>"GAB2008125"</f>
        <v>GAB2008125</v>
      </c>
      <c r="F304" s="3">
        <v>44599</v>
      </c>
      <c r="G304">
        <v>202208</v>
      </c>
      <c r="H304" t="s">
        <v>75</v>
      </c>
      <c r="I304" t="s">
        <v>76</v>
      </c>
      <c r="J304" t="s">
        <v>77</v>
      </c>
      <c r="K304" t="s">
        <v>78</v>
      </c>
      <c r="L304" t="s">
        <v>346</v>
      </c>
      <c r="M304" t="s">
        <v>346</v>
      </c>
      <c r="N304" t="s">
        <v>706</v>
      </c>
      <c r="O304" t="s">
        <v>80</v>
      </c>
      <c r="P304" t="str">
        <f>"CT071816                      "</f>
        <v xml:space="preserve">CT071816             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80.98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0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1</v>
      </c>
      <c r="BI304">
        <v>1.3</v>
      </c>
      <c r="BJ304">
        <v>6.7</v>
      </c>
      <c r="BK304">
        <v>7</v>
      </c>
      <c r="BL304">
        <v>291.32</v>
      </c>
      <c r="BM304">
        <v>43.7</v>
      </c>
      <c r="BN304">
        <v>335.02</v>
      </c>
      <c r="BO304">
        <v>335.02</v>
      </c>
      <c r="BQ304" t="s">
        <v>1031</v>
      </c>
      <c r="BR304" t="s">
        <v>82</v>
      </c>
      <c r="BS304" s="3">
        <v>44600</v>
      </c>
      <c r="BT304" s="4">
        <v>0.4201388888888889</v>
      </c>
      <c r="BU304" t="s">
        <v>1032</v>
      </c>
      <c r="BV304" t="s">
        <v>101</v>
      </c>
      <c r="BY304">
        <v>33401.599999999999</v>
      </c>
      <c r="BZ304" t="s">
        <v>87</v>
      </c>
      <c r="CA304" t="s">
        <v>1033</v>
      </c>
      <c r="CC304" t="s">
        <v>346</v>
      </c>
      <c r="CD304">
        <v>7646</v>
      </c>
      <c r="CE304" t="s">
        <v>1034</v>
      </c>
      <c r="CF304" s="3">
        <v>44601</v>
      </c>
      <c r="CI304">
        <v>1</v>
      </c>
      <c r="CJ304">
        <v>1</v>
      </c>
      <c r="CK304">
        <v>24</v>
      </c>
      <c r="CL304" t="s">
        <v>84</v>
      </c>
    </row>
    <row r="305" spans="1:90" x14ac:dyDescent="0.25">
      <c r="A305" t="s">
        <v>72</v>
      </c>
      <c r="B305" t="s">
        <v>73</v>
      </c>
      <c r="C305" t="s">
        <v>74</v>
      </c>
      <c r="E305" t="str">
        <f>"GAB2008114"</f>
        <v>GAB2008114</v>
      </c>
      <c r="F305" s="3">
        <v>44599</v>
      </c>
      <c r="G305">
        <v>202208</v>
      </c>
      <c r="H305" t="s">
        <v>75</v>
      </c>
      <c r="I305" t="s">
        <v>76</v>
      </c>
      <c r="J305" t="s">
        <v>77</v>
      </c>
      <c r="K305" t="s">
        <v>78</v>
      </c>
      <c r="L305" t="s">
        <v>159</v>
      </c>
      <c r="M305" t="s">
        <v>160</v>
      </c>
      <c r="N305" t="s">
        <v>419</v>
      </c>
      <c r="O305" t="s">
        <v>80</v>
      </c>
      <c r="P305" t="str">
        <f>"CT071789                      "</f>
        <v xml:space="preserve">CT071789             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39.81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0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1</v>
      </c>
      <c r="BI305">
        <v>0.4</v>
      </c>
      <c r="BJ305">
        <v>2.2000000000000002</v>
      </c>
      <c r="BK305">
        <v>2.5</v>
      </c>
      <c r="BL305">
        <v>143.22</v>
      </c>
      <c r="BM305">
        <v>21.48</v>
      </c>
      <c r="BN305">
        <v>164.7</v>
      </c>
      <c r="BO305">
        <v>164.7</v>
      </c>
      <c r="BQ305" t="s">
        <v>420</v>
      </c>
      <c r="BR305" t="s">
        <v>82</v>
      </c>
      <c r="BS305" s="3">
        <v>44600</v>
      </c>
      <c r="BT305" s="4">
        <v>0.5</v>
      </c>
      <c r="BU305" t="s">
        <v>1035</v>
      </c>
      <c r="BV305" t="s">
        <v>84</v>
      </c>
      <c r="BW305" t="s">
        <v>801</v>
      </c>
      <c r="BX305" t="s">
        <v>802</v>
      </c>
      <c r="BY305">
        <v>10893.75</v>
      </c>
      <c r="BZ305" t="s">
        <v>87</v>
      </c>
      <c r="CC305" t="s">
        <v>160</v>
      </c>
      <c r="CD305">
        <v>9459</v>
      </c>
      <c r="CE305" t="s">
        <v>1036</v>
      </c>
      <c r="CF305" s="3">
        <v>44600</v>
      </c>
      <c r="CI305">
        <v>1</v>
      </c>
      <c r="CJ305">
        <v>1</v>
      </c>
      <c r="CK305">
        <v>23</v>
      </c>
      <c r="CL305" t="s">
        <v>84</v>
      </c>
    </row>
    <row r="306" spans="1:90" x14ac:dyDescent="0.25">
      <c r="A306" t="s">
        <v>72</v>
      </c>
      <c r="B306" t="s">
        <v>73</v>
      </c>
      <c r="C306" t="s">
        <v>74</v>
      </c>
      <c r="E306" t="str">
        <f>"GAB2008122"</f>
        <v>GAB2008122</v>
      </c>
      <c r="F306" s="3">
        <v>44599</v>
      </c>
      <c r="G306">
        <v>202208</v>
      </c>
      <c r="H306" t="s">
        <v>75</v>
      </c>
      <c r="I306" t="s">
        <v>76</v>
      </c>
      <c r="J306" t="s">
        <v>77</v>
      </c>
      <c r="K306" t="s">
        <v>78</v>
      </c>
      <c r="L306" t="s">
        <v>920</v>
      </c>
      <c r="M306" t="s">
        <v>921</v>
      </c>
      <c r="N306" t="s">
        <v>922</v>
      </c>
      <c r="O306" t="s">
        <v>80</v>
      </c>
      <c r="P306" t="str">
        <f>"CT071814                      "</f>
        <v xml:space="preserve">CT071814             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54.48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0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1</v>
      </c>
      <c r="BI306">
        <v>0.3</v>
      </c>
      <c r="BJ306">
        <v>3.1</v>
      </c>
      <c r="BK306">
        <v>3.5</v>
      </c>
      <c r="BL306">
        <v>195.99</v>
      </c>
      <c r="BM306">
        <v>29.4</v>
      </c>
      <c r="BN306">
        <v>225.39</v>
      </c>
      <c r="BO306">
        <v>225.39</v>
      </c>
      <c r="BQ306" t="s">
        <v>237</v>
      </c>
      <c r="BR306" t="s">
        <v>82</v>
      </c>
      <c r="BS306" s="3">
        <v>44600</v>
      </c>
      <c r="BT306" s="4">
        <v>0.68888888888888899</v>
      </c>
      <c r="BU306" t="s">
        <v>1037</v>
      </c>
      <c r="BV306" t="s">
        <v>101</v>
      </c>
      <c r="BY306">
        <v>15620.16</v>
      </c>
      <c r="BZ306" t="s">
        <v>87</v>
      </c>
      <c r="CA306" t="s">
        <v>924</v>
      </c>
      <c r="CC306" t="s">
        <v>921</v>
      </c>
      <c r="CD306">
        <v>3100</v>
      </c>
      <c r="CE306" t="s">
        <v>108</v>
      </c>
      <c r="CF306" s="3">
        <v>44601</v>
      </c>
      <c r="CI306">
        <v>1</v>
      </c>
      <c r="CJ306">
        <v>1</v>
      </c>
      <c r="CK306">
        <v>23</v>
      </c>
      <c r="CL306" t="s">
        <v>84</v>
      </c>
    </row>
    <row r="307" spans="1:90" x14ac:dyDescent="0.25">
      <c r="A307" t="s">
        <v>72</v>
      </c>
      <c r="B307" t="s">
        <v>73</v>
      </c>
      <c r="C307" t="s">
        <v>74</v>
      </c>
      <c r="E307" t="str">
        <f>"GAB2008115"</f>
        <v>GAB2008115</v>
      </c>
      <c r="F307" s="3">
        <v>44599</v>
      </c>
      <c r="G307">
        <v>202208</v>
      </c>
      <c r="H307" t="s">
        <v>75</v>
      </c>
      <c r="I307" t="s">
        <v>76</v>
      </c>
      <c r="J307" t="s">
        <v>77</v>
      </c>
      <c r="K307" t="s">
        <v>78</v>
      </c>
      <c r="L307" t="s">
        <v>90</v>
      </c>
      <c r="M307" t="s">
        <v>91</v>
      </c>
      <c r="N307" t="s">
        <v>92</v>
      </c>
      <c r="O307" t="s">
        <v>80</v>
      </c>
      <c r="P307" t="str">
        <f>"ct071794                      "</f>
        <v xml:space="preserve">ct071794             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13.09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0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1</v>
      </c>
      <c r="BI307">
        <v>0.1</v>
      </c>
      <c r="BJ307">
        <v>1.9</v>
      </c>
      <c r="BK307">
        <v>2</v>
      </c>
      <c r="BL307">
        <v>47.1</v>
      </c>
      <c r="BM307">
        <v>7.07</v>
      </c>
      <c r="BN307">
        <v>54.17</v>
      </c>
      <c r="BO307">
        <v>54.17</v>
      </c>
      <c r="BQ307" t="s">
        <v>701</v>
      </c>
      <c r="BR307" t="s">
        <v>82</v>
      </c>
      <c r="BS307" s="3">
        <v>44600</v>
      </c>
      <c r="BT307" s="4">
        <v>0.4291666666666667</v>
      </c>
      <c r="BU307" t="s">
        <v>1038</v>
      </c>
      <c r="BV307" t="s">
        <v>101</v>
      </c>
      <c r="BY307">
        <v>9267.5</v>
      </c>
      <c r="BZ307" t="s">
        <v>87</v>
      </c>
      <c r="CA307" t="s">
        <v>96</v>
      </c>
      <c r="CC307" t="s">
        <v>91</v>
      </c>
      <c r="CD307">
        <v>7600</v>
      </c>
      <c r="CE307" t="s">
        <v>393</v>
      </c>
      <c r="CF307" s="3">
        <v>44601</v>
      </c>
      <c r="CI307">
        <v>1</v>
      </c>
      <c r="CJ307">
        <v>1</v>
      </c>
      <c r="CK307">
        <v>22</v>
      </c>
      <c r="CL307" t="s">
        <v>84</v>
      </c>
    </row>
    <row r="308" spans="1:90" x14ac:dyDescent="0.25">
      <c r="A308" t="s">
        <v>72</v>
      </c>
      <c r="B308" t="s">
        <v>73</v>
      </c>
      <c r="C308" t="s">
        <v>74</v>
      </c>
      <c r="E308" t="str">
        <f>"GAB2008126"</f>
        <v>GAB2008126</v>
      </c>
      <c r="F308" s="3">
        <v>44599</v>
      </c>
      <c r="G308">
        <v>202208</v>
      </c>
      <c r="H308" t="s">
        <v>75</v>
      </c>
      <c r="I308" t="s">
        <v>76</v>
      </c>
      <c r="J308" t="s">
        <v>77</v>
      </c>
      <c r="K308" t="s">
        <v>78</v>
      </c>
      <c r="L308" t="s">
        <v>153</v>
      </c>
      <c r="M308" t="s">
        <v>154</v>
      </c>
      <c r="N308" t="s">
        <v>243</v>
      </c>
      <c r="O308" t="s">
        <v>80</v>
      </c>
      <c r="P308" t="str">
        <f>"CT071818                      "</f>
        <v xml:space="preserve">CT071818             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20.95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0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1</v>
      </c>
      <c r="BI308">
        <v>0.2</v>
      </c>
      <c r="BJ308">
        <v>2.2000000000000002</v>
      </c>
      <c r="BK308">
        <v>2.5</v>
      </c>
      <c r="BL308">
        <v>75.37</v>
      </c>
      <c r="BM308">
        <v>11.31</v>
      </c>
      <c r="BN308">
        <v>86.68</v>
      </c>
      <c r="BO308">
        <v>86.68</v>
      </c>
      <c r="BQ308" t="s">
        <v>112</v>
      </c>
      <c r="BR308" t="s">
        <v>82</v>
      </c>
      <c r="BS308" s="3">
        <v>44600</v>
      </c>
      <c r="BT308" s="4">
        <v>0.32500000000000001</v>
      </c>
      <c r="BU308" t="s">
        <v>1039</v>
      </c>
      <c r="BV308" t="s">
        <v>101</v>
      </c>
      <c r="BY308">
        <v>11060.16</v>
      </c>
      <c r="BZ308" t="s">
        <v>87</v>
      </c>
      <c r="CA308" t="s">
        <v>1040</v>
      </c>
      <c r="CC308" t="s">
        <v>154</v>
      </c>
      <c r="CD308">
        <v>2196</v>
      </c>
      <c r="CE308" t="s">
        <v>97</v>
      </c>
      <c r="CF308" s="3">
        <v>44601</v>
      </c>
      <c r="CI308">
        <v>1</v>
      </c>
      <c r="CJ308">
        <v>1</v>
      </c>
      <c r="CK308">
        <v>21</v>
      </c>
      <c r="CL308" t="s">
        <v>84</v>
      </c>
    </row>
    <row r="309" spans="1:90" x14ac:dyDescent="0.25">
      <c r="A309" t="s">
        <v>72</v>
      </c>
      <c r="B309" t="s">
        <v>73</v>
      </c>
      <c r="C309" t="s">
        <v>74</v>
      </c>
      <c r="E309" t="str">
        <f>"GAB2008127"</f>
        <v>GAB2008127</v>
      </c>
      <c r="F309" s="3">
        <v>44599</v>
      </c>
      <c r="G309">
        <v>202208</v>
      </c>
      <c r="H309" t="s">
        <v>75</v>
      </c>
      <c r="I309" t="s">
        <v>76</v>
      </c>
      <c r="J309" t="s">
        <v>77</v>
      </c>
      <c r="K309" t="s">
        <v>78</v>
      </c>
      <c r="L309" t="s">
        <v>123</v>
      </c>
      <c r="M309" t="s">
        <v>124</v>
      </c>
      <c r="N309" t="s">
        <v>220</v>
      </c>
      <c r="O309" t="s">
        <v>80</v>
      </c>
      <c r="P309" t="str">
        <f>"ATT:HALEY MARSDEN             "</f>
        <v xml:space="preserve">ATT:HALEY MARSDEN             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20.95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0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1</v>
      </c>
      <c r="BI309">
        <v>0.1</v>
      </c>
      <c r="BJ309">
        <v>2.5</v>
      </c>
      <c r="BK309">
        <v>2.5</v>
      </c>
      <c r="BL309">
        <v>75.37</v>
      </c>
      <c r="BM309">
        <v>11.31</v>
      </c>
      <c r="BN309">
        <v>86.68</v>
      </c>
      <c r="BO309">
        <v>86.68</v>
      </c>
      <c r="BQ309" t="s">
        <v>685</v>
      </c>
      <c r="BR309" t="s">
        <v>82</v>
      </c>
      <c r="BS309" s="3">
        <v>44602</v>
      </c>
      <c r="BT309" s="4">
        <v>0.5625</v>
      </c>
      <c r="BU309" t="s">
        <v>1041</v>
      </c>
      <c r="BV309" t="s">
        <v>84</v>
      </c>
      <c r="BW309" t="s">
        <v>85</v>
      </c>
      <c r="BX309" t="s">
        <v>392</v>
      </c>
      <c r="BY309">
        <v>12708</v>
      </c>
      <c r="BZ309" t="s">
        <v>87</v>
      </c>
      <c r="CA309" t="s">
        <v>223</v>
      </c>
      <c r="CC309" t="s">
        <v>124</v>
      </c>
      <c r="CD309">
        <v>6001</v>
      </c>
      <c r="CE309" t="s">
        <v>700</v>
      </c>
      <c r="CF309" s="3">
        <v>44603</v>
      </c>
      <c r="CI309">
        <v>1</v>
      </c>
      <c r="CJ309">
        <v>3</v>
      </c>
      <c r="CK309">
        <v>21</v>
      </c>
      <c r="CL309" t="s">
        <v>84</v>
      </c>
    </row>
    <row r="310" spans="1:90" x14ac:dyDescent="0.25">
      <c r="A310" t="s">
        <v>72</v>
      </c>
      <c r="B310" t="s">
        <v>73</v>
      </c>
      <c r="C310" t="s">
        <v>74</v>
      </c>
      <c r="E310" t="str">
        <f>"GAB2008121"</f>
        <v>GAB2008121</v>
      </c>
      <c r="F310" s="3">
        <v>44599</v>
      </c>
      <c r="G310">
        <v>202208</v>
      </c>
      <c r="H310" t="s">
        <v>75</v>
      </c>
      <c r="I310" t="s">
        <v>76</v>
      </c>
      <c r="J310" t="s">
        <v>77</v>
      </c>
      <c r="K310" t="s">
        <v>78</v>
      </c>
      <c r="L310" t="s">
        <v>75</v>
      </c>
      <c r="M310" t="s">
        <v>76</v>
      </c>
      <c r="N310" t="s">
        <v>1042</v>
      </c>
      <c r="O310" t="s">
        <v>80</v>
      </c>
      <c r="P310" t="str">
        <f>"CT071801                      "</f>
        <v xml:space="preserve">CT071801              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13.09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0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1</v>
      </c>
      <c r="BI310">
        <v>0.2</v>
      </c>
      <c r="BJ310">
        <v>2.9</v>
      </c>
      <c r="BK310">
        <v>3</v>
      </c>
      <c r="BL310">
        <v>47.1</v>
      </c>
      <c r="BM310">
        <v>7.07</v>
      </c>
      <c r="BN310">
        <v>54.17</v>
      </c>
      <c r="BO310">
        <v>54.17</v>
      </c>
      <c r="BQ310" t="s">
        <v>1043</v>
      </c>
      <c r="BR310" t="s">
        <v>82</v>
      </c>
      <c r="BS310" s="3">
        <v>44600</v>
      </c>
      <c r="BT310" s="4">
        <v>0.48541666666666666</v>
      </c>
      <c r="BU310" t="s">
        <v>1044</v>
      </c>
      <c r="BV310" t="s">
        <v>84</v>
      </c>
      <c r="BW310" t="s">
        <v>95</v>
      </c>
      <c r="BX310" t="s">
        <v>233</v>
      </c>
      <c r="BY310">
        <v>14328.82</v>
      </c>
      <c r="BZ310" t="s">
        <v>87</v>
      </c>
      <c r="CA310" t="s">
        <v>88</v>
      </c>
      <c r="CC310" t="s">
        <v>76</v>
      </c>
      <c r="CD310">
        <v>7550</v>
      </c>
      <c r="CE310" t="s">
        <v>288</v>
      </c>
      <c r="CF310" s="3">
        <v>44601</v>
      </c>
      <c r="CI310">
        <v>1</v>
      </c>
      <c r="CJ310">
        <v>1</v>
      </c>
      <c r="CK310">
        <v>22</v>
      </c>
      <c r="CL310" t="s">
        <v>84</v>
      </c>
    </row>
    <row r="311" spans="1:90" x14ac:dyDescent="0.25">
      <c r="A311" t="s">
        <v>72</v>
      </c>
      <c r="B311" t="s">
        <v>73</v>
      </c>
      <c r="C311" t="s">
        <v>74</v>
      </c>
      <c r="E311" t="str">
        <f>"GAB2008116"</f>
        <v>GAB2008116</v>
      </c>
      <c r="F311" s="3">
        <v>44599</v>
      </c>
      <c r="G311">
        <v>202208</v>
      </c>
      <c r="H311" t="s">
        <v>75</v>
      </c>
      <c r="I311" t="s">
        <v>76</v>
      </c>
      <c r="J311" t="s">
        <v>77</v>
      </c>
      <c r="K311" t="s">
        <v>78</v>
      </c>
      <c r="L311" t="s">
        <v>510</v>
      </c>
      <c r="M311" t="s">
        <v>511</v>
      </c>
      <c r="N311" t="s">
        <v>912</v>
      </c>
      <c r="O311" t="s">
        <v>80</v>
      </c>
      <c r="P311" t="str">
        <f>"CT071796                      "</f>
        <v xml:space="preserve">CT071796                  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20.95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0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1</v>
      </c>
      <c r="BI311">
        <v>0.1</v>
      </c>
      <c r="BJ311">
        <v>2.2000000000000002</v>
      </c>
      <c r="BK311">
        <v>2.5</v>
      </c>
      <c r="BL311">
        <v>75.37</v>
      </c>
      <c r="BM311">
        <v>11.31</v>
      </c>
      <c r="BN311">
        <v>86.68</v>
      </c>
      <c r="BO311">
        <v>86.68</v>
      </c>
      <c r="BQ311" t="s">
        <v>913</v>
      </c>
      <c r="BR311" t="s">
        <v>82</v>
      </c>
      <c r="BS311" s="3">
        <v>44600</v>
      </c>
      <c r="BT311" s="4">
        <v>0.43541666666666662</v>
      </c>
      <c r="BU311" t="s">
        <v>1045</v>
      </c>
      <c r="BV311" t="s">
        <v>101</v>
      </c>
      <c r="BY311">
        <v>11022.3</v>
      </c>
      <c r="BZ311" t="s">
        <v>87</v>
      </c>
      <c r="CA311" t="s">
        <v>1046</v>
      </c>
      <c r="CC311" t="s">
        <v>511</v>
      </c>
      <c r="CD311">
        <v>1200</v>
      </c>
      <c r="CE311" t="s">
        <v>89</v>
      </c>
      <c r="CF311" s="3">
        <v>44600</v>
      </c>
      <c r="CI311">
        <v>1</v>
      </c>
      <c r="CJ311">
        <v>1</v>
      </c>
      <c r="CK311">
        <v>21</v>
      </c>
      <c r="CL311" t="s">
        <v>84</v>
      </c>
    </row>
    <row r="312" spans="1:90" x14ac:dyDescent="0.25">
      <c r="A312" t="s">
        <v>72</v>
      </c>
      <c r="B312" t="s">
        <v>73</v>
      </c>
      <c r="C312" t="s">
        <v>74</v>
      </c>
      <c r="E312" t="str">
        <f>"GAB2008111"</f>
        <v>GAB2008111</v>
      </c>
      <c r="F312" s="3">
        <v>44599</v>
      </c>
      <c r="G312">
        <v>202208</v>
      </c>
      <c r="H312" t="s">
        <v>75</v>
      </c>
      <c r="I312" t="s">
        <v>76</v>
      </c>
      <c r="J312" t="s">
        <v>77</v>
      </c>
      <c r="K312" t="s">
        <v>78</v>
      </c>
      <c r="L312" t="s">
        <v>153</v>
      </c>
      <c r="M312" t="s">
        <v>154</v>
      </c>
      <c r="N312" t="s">
        <v>534</v>
      </c>
      <c r="O312" t="s">
        <v>125</v>
      </c>
      <c r="P312" t="str">
        <f>"CT070702                      "</f>
        <v xml:space="preserve">CT070702                  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624.24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0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13</v>
      </c>
      <c r="BI312">
        <v>205.7</v>
      </c>
      <c r="BJ312">
        <v>457.5</v>
      </c>
      <c r="BK312">
        <v>458</v>
      </c>
      <c r="BL312">
        <v>2250.9</v>
      </c>
      <c r="BM312">
        <v>337.64</v>
      </c>
      <c r="BN312">
        <v>2588.54</v>
      </c>
      <c r="BO312">
        <v>2588.54</v>
      </c>
      <c r="BQ312" t="s">
        <v>1047</v>
      </c>
      <c r="BR312" t="s">
        <v>82</v>
      </c>
      <c r="BS312" s="3">
        <v>44601</v>
      </c>
      <c r="BT312" s="4">
        <v>0.36805555555555558</v>
      </c>
      <c r="BU312" t="s">
        <v>1048</v>
      </c>
      <c r="BV312" t="s">
        <v>101</v>
      </c>
      <c r="BY312">
        <v>2287526.62</v>
      </c>
      <c r="CA312" t="s">
        <v>1049</v>
      </c>
      <c r="CC312" t="s">
        <v>154</v>
      </c>
      <c r="CD312">
        <v>1803</v>
      </c>
      <c r="CE312" t="s">
        <v>1050</v>
      </c>
      <c r="CF312" s="3">
        <v>44602</v>
      </c>
      <c r="CI312">
        <v>2</v>
      </c>
      <c r="CJ312">
        <v>2</v>
      </c>
      <c r="CK312">
        <v>41</v>
      </c>
      <c r="CL312" t="s">
        <v>84</v>
      </c>
    </row>
    <row r="313" spans="1:90" x14ac:dyDescent="0.25">
      <c r="A313" t="s">
        <v>72</v>
      </c>
      <c r="B313" t="s">
        <v>73</v>
      </c>
      <c r="C313" t="s">
        <v>74</v>
      </c>
      <c r="E313" t="str">
        <f>"GAB2008117"</f>
        <v>GAB2008117</v>
      </c>
      <c r="F313" s="3">
        <v>44599</v>
      </c>
      <c r="G313">
        <v>202208</v>
      </c>
      <c r="H313" t="s">
        <v>75</v>
      </c>
      <c r="I313" t="s">
        <v>76</v>
      </c>
      <c r="J313" t="s">
        <v>77</v>
      </c>
      <c r="K313" t="s">
        <v>78</v>
      </c>
      <c r="L313" t="s">
        <v>722</v>
      </c>
      <c r="M313" t="s">
        <v>723</v>
      </c>
      <c r="N313" t="s">
        <v>724</v>
      </c>
      <c r="O313" t="s">
        <v>125</v>
      </c>
      <c r="P313" t="str">
        <f>"006913                        "</f>
        <v xml:space="preserve">006913               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35.799999999999997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0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1</v>
      </c>
      <c r="BI313">
        <v>1.1000000000000001</v>
      </c>
      <c r="BJ313">
        <v>2.8</v>
      </c>
      <c r="BK313">
        <v>3</v>
      </c>
      <c r="BL313">
        <v>134.04</v>
      </c>
      <c r="BM313">
        <v>20.11</v>
      </c>
      <c r="BN313">
        <v>154.15</v>
      </c>
      <c r="BO313">
        <v>154.15</v>
      </c>
      <c r="BQ313" t="s">
        <v>311</v>
      </c>
      <c r="BR313" t="s">
        <v>82</v>
      </c>
      <c r="BS313" s="3">
        <v>44600</v>
      </c>
      <c r="BT313" s="4">
        <v>0.58333333333333337</v>
      </c>
      <c r="BU313" t="s">
        <v>1051</v>
      </c>
      <c r="BV313" t="s">
        <v>101</v>
      </c>
      <c r="BY313">
        <v>13841.4</v>
      </c>
      <c r="CA313" t="s">
        <v>725</v>
      </c>
      <c r="CC313" t="s">
        <v>723</v>
      </c>
      <c r="CD313">
        <v>7230</v>
      </c>
      <c r="CE313" t="s">
        <v>1052</v>
      </c>
      <c r="CF313" s="3">
        <v>44601</v>
      </c>
      <c r="CI313">
        <v>2</v>
      </c>
      <c r="CJ313">
        <v>1</v>
      </c>
      <c r="CK313">
        <v>44</v>
      </c>
      <c r="CL313" t="s">
        <v>84</v>
      </c>
    </row>
    <row r="314" spans="1:90" x14ac:dyDescent="0.25">
      <c r="A314" t="s">
        <v>72</v>
      </c>
      <c r="B314" t="s">
        <v>73</v>
      </c>
      <c r="C314" t="s">
        <v>74</v>
      </c>
      <c r="E314" t="str">
        <f>"GAB2008110"</f>
        <v>GAB2008110</v>
      </c>
      <c r="F314" s="3">
        <v>44599</v>
      </c>
      <c r="G314">
        <v>202208</v>
      </c>
      <c r="H314" t="s">
        <v>75</v>
      </c>
      <c r="I314" t="s">
        <v>76</v>
      </c>
      <c r="J314" t="s">
        <v>77</v>
      </c>
      <c r="K314" t="s">
        <v>78</v>
      </c>
      <c r="L314" t="s">
        <v>585</v>
      </c>
      <c r="M314" t="s">
        <v>586</v>
      </c>
      <c r="N314" t="s">
        <v>1053</v>
      </c>
      <c r="O314" t="s">
        <v>125</v>
      </c>
      <c r="P314" t="str">
        <f>"CT071533                      "</f>
        <v xml:space="preserve">CT071533                      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45.72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0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1</v>
      </c>
      <c r="BI314">
        <v>14.8</v>
      </c>
      <c r="BJ314">
        <v>6.7</v>
      </c>
      <c r="BK314">
        <v>15</v>
      </c>
      <c r="BL314">
        <v>169.72</v>
      </c>
      <c r="BM314">
        <v>25.46</v>
      </c>
      <c r="BN314">
        <v>195.18</v>
      </c>
      <c r="BO314">
        <v>195.18</v>
      </c>
      <c r="BQ314" t="s">
        <v>1054</v>
      </c>
      <c r="BR314" t="s">
        <v>82</v>
      </c>
      <c r="BS314" s="3">
        <v>44602</v>
      </c>
      <c r="BT314" s="4">
        <v>0.51180555555555551</v>
      </c>
      <c r="BU314" t="s">
        <v>1055</v>
      </c>
      <c r="BV314" t="s">
        <v>101</v>
      </c>
      <c r="BY314">
        <v>33465.58</v>
      </c>
      <c r="CA314" t="s">
        <v>1056</v>
      </c>
      <c r="CC314" t="s">
        <v>586</v>
      </c>
      <c r="CD314">
        <v>3880</v>
      </c>
      <c r="CE314" t="s">
        <v>1057</v>
      </c>
      <c r="CF314" s="3">
        <v>44602</v>
      </c>
      <c r="CI314">
        <v>3</v>
      </c>
      <c r="CJ314">
        <v>3</v>
      </c>
      <c r="CK314">
        <v>43</v>
      </c>
      <c r="CL314" t="s">
        <v>84</v>
      </c>
    </row>
    <row r="315" spans="1:90" x14ac:dyDescent="0.25">
      <c r="A315" t="s">
        <v>72</v>
      </c>
      <c r="B315" t="s">
        <v>73</v>
      </c>
      <c r="C315" t="s">
        <v>74</v>
      </c>
      <c r="E315" t="str">
        <f>"GAB2008112"</f>
        <v>GAB2008112</v>
      </c>
      <c r="F315" s="3">
        <v>44599</v>
      </c>
      <c r="G315">
        <v>202208</v>
      </c>
      <c r="H315" t="s">
        <v>75</v>
      </c>
      <c r="I315" t="s">
        <v>76</v>
      </c>
      <c r="J315" t="s">
        <v>77</v>
      </c>
      <c r="K315" t="s">
        <v>78</v>
      </c>
      <c r="L315" t="s">
        <v>109</v>
      </c>
      <c r="M315" t="s">
        <v>110</v>
      </c>
      <c r="N315" t="s">
        <v>394</v>
      </c>
      <c r="O315" t="s">
        <v>125</v>
      </c>
      <c r="P315" t="str">
        <f>"CT071787                      "</f>
        <v xml:space="preserve">CT071787                      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32.42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0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1</v>
      </c>
      <c r="BI315">
        <v>5.6</v>
      </c>
      <c r="BJ315">
        <v>13</v>
      </c>
      <c r="BK315">
        <v>13</v>
      </c>
      <c r="BL315">
        <v>121.87</v>
      </c>
      <c r="BM315">
        <v>18.28</v>
      </c>
      <c r="BN315">
        <v>140.15</v>
      </c>
      <c r="BO315">
        <v>140.15</v>
      </c>
      <c r="BQ315" t="s">
        <v>395</v>
      </c>
      <c r="BR315" t="s">
        <v>82</v>
      </c>
      <c r="BS315" s="3">
        <v>44601</v>
      </c>
      <c r="BT315" s="4">
        <v>0.45833333333333331</v>
      </c>
      <c r="BU315" t="s">
        <v>1058</v>
      </c>
      <c r="BV315" t="s">
        <v>101</v>
      </c>
      <c r="BY315">
        <v>64798.38</v>
      </c>
      <c r="CA315" t="s">
        <v>307</v>
      </c>
      <c r="CC315" t="s">
        <v>110</v>
      </c>
      <c r="CD315">
        <v>157</v>
      </c>
      <c r="CE315" t="s">
        <v>1059</v>
      </c>
      <c r="CF315" s="3">
        <v>44601</v>
      </c>
      <c r="CI315">
        <v>2</v>
      </c>
      <c r="CJ315">
        <v>2</v>
      </c>
      <c r="CK315">
        <v>41</v>
      </c>
      <c r="CL315" t="s">
        <v>84</v>
      </c>
    </row>
    <row r="316" spans="1:90" x14ac:dyDescent="0.25">
      <c r="A316" t="s">
        <v>72</v>
      </c>
      <c r="B316" t="s">
        <v>73</v>
      </c>
      <c r="C316" t="s">
        <v>74</v>
      </c>
      <c r="E316" t="str">
        <f>"GAB2008119"</f>
        <v>GAB2008119</v>
      </c>
      <c r="F316" s="3">
        <v>44599</v>
      </c>
      <c r="G316">
        <v>202208</v>
      </c>
      <c r="H316" t="s">
        <v>75</v>
      </c>
      <c r="I316" t="s">
        <v>76</v>
      </c>
      <c r="J316" t="s">
        <v>77</v>
      </c>
      <c r="K316" t="s">
        <v>78</v>
      </c>
      <c r="L316" t="s">
        <v>165</v>
      </c>
      <c r="M316" t="s">
        <v>166</v>
      </c>
      <c r="N316" t="s">
        <v>1060</v>
      </c>
      <c r="O316" t="s">
        <v>125</v>
      </c>
      <c r="P316" t="str">
        <f>"CT071800                      "</f>
        <v xml:space="preserve">CT071800                      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32.42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0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1</v>
      </c>
      <c r="BI316">
        <v>1</v>
      </c>
      <c r="BJ316">
        <v>3</v>
      </c>
      <c r="BK316">
        <v>3</v>
      </c>
      <c r="BL316">
        <v>121.87</v>
      </c>
      <c r="BM316">
        <v>18.28</v>
      </c>
      <c r="BN316">
        <v>140.15</v>
      </c>
      <c r="BO316">
        <v>140.15</v>
      </c>
      <c r="BQ316" t="s">
        <v>1061</v>
      </c>
      <c r="BR316" t="s">
        <v>82</v>
      </c>
      <c r="BS316" s="3">
        <v>44601</v>
      </c>
      <c r="BT316" s="4">
        <v>0.37847222222222227</v>
      </c>
      <c r="BU316" t="s">
        <v>1062</v>
      </c>
      <c r="BV316" t="s">
        <v>101</v>
      </c>
      <c r="BY316">
        <v>15225</v>
      </c>
      <c r="CA316" t="s">
        <v>1063</v>
      </c>
      <c r="CC316" t="s">
        <v>166</v>
      </c>
      <c r="CD316">
        <v>2</v>
      </c>
      <c r="CE316" t="s">
        <v>871</v>
      </c>
      <c r="CF316" s="3">
        <v>44601</v>
      </c>
      <c r="CI316">
        <v>2</v>
      </c>
      <c r="CJ316">
        <v>2</v>
      </c>
      <c r="CK316">
        <v>41</v>
      </c>
      <c r="CL316" t="s">
        <v>84</v>
      </c>
    </row>
    <row r="317" spans="1:90" x14ac:dyDescent="0.25">
      <c r="A317" t="s">
        <v>72</v>
      </c>
      <c r="B317" t="s">
        <v>73</v>
      </c>
      <c r="C317" t="s">
        <v>74</v>
      </c>
      <c r="E317" t="str">
        <f>"GAB2008128"</f>
        <v>GAB2008128</v>
      </c>
      <c r="F317" s="3">
        <v>44599</v>
      </c>
      <c r="G317">
        <v>202208</v>
      </c>
      <c r="H317" t="s">
        <v>75</v>
      </c>
      <c r="I317" t="s">
        <v>76</v>
      </c>
      <c r="J317" t="s">
        <v>77</v>
      </c>
      <c r="K317" t="s">
        <v>78</v>
      </c>
      <c r="L317" t="s">
        <v>109</v>
      </c>
      <c r="M317" t="s">
        <v>110</v>
      </c>
      <c r="N317" t="s">
        <v>216</v>
      </c>
      <c r="O317" t="s">
        <v>125</v>
      </c>
      <c r="P317" t="str">
        <f>"ATT:LYDIA                     "</f>
        <v xml:space="preserve">ATT:LYDIA            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32.42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0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1</v>
      </c>
      <c r="BI317">
        <v>0.5</v>
      </c>
      <c r="BJ317">
        <v>0.7</v>
      </c>
      <c r="BK317">
        <v>1</v>
      </c>
      <c r="BL317">
        <v>121.87</v>
      </c>
      <c r="BM317">
        <v>18.28</v>
      </c>
      <c r="BN317">
        <v>140.15</v>
      </c>
      <c r="BO317">
        <v>140.15</v>
      </c>
      <c r="BQ317" t="s">
        <v>217</v>
      </c>
      <c r="BR317" t="s">
        <v>82</v>
      </c>
      <c r="BS317" s="3">
        <v>44601</v>
      </c>
      <c r="BT317" s="4">
        <v>0.4513888888888889</v>
      </c>
      <c r="BU317" t="s">
        <v>306</v>
      </c>
      <c r="BV317" t="s">
        <v>101</v>
      </c>
      <c r="BY317">
        <v>3479.84</v>
      </c>
      <c r="CA317" t="s">
        <v>307</v>
      </c>
      <c r="CC317" t="s">
        <v>110</v>
      </c>
      <c r="CD317">
        <v>157</v>
      </c>
      <c r="CE317" t="s">
        <v>198</v>
      </c>
      <c r="CF317" s="3">
        <v>44601</v>
      </c>
      <c r="CI317">
        <v>2</v>
      </c>
      <c r="CJ317">
        <v>2</v>
      </c>
      <c r="CK317">
        <v>41</v>
      </c>
      <c r="CL317" t="s">
        <v>84</v>
      </c>
    </row>
    <row r="318" spans="1:90" x14ac:dyDescent="0.25">
      <c r="A318" t="s">
        <v>72</v>
      </c>
      <c r="B318" t="s">
        <v>73</v>
      </c>
      <c r="C318" t="s">
        <v>74</v>
      </c>
      <c r="E318" t="str">
        <f>"009940857728"</f>
        <v>009940857728</v>
      </c>
      <c r="F318" s="3">
        <v>44599</v>
      </c>
      <c r="G318">
        <v>202208</v>
      </c>
      <c r="H318" t="s">
        <v>109</v>
      </c>
      <c r="I318" t="s">
        <v>110</v>
      </c>
      <c r="J318" t="s">
        <v>133</v>
      </c>
      <c r="K318" t="s">
        <v>78</v>
      </c>
      <c r="L318" t="s">
        <v>131</v>
      </c>
      <c r="M318" t="s">
        <v>132</v>
      </c>
      <c r="N318" t="s">
        <v>111</v>
      </c>
      <c r="O318" t="s">
        <v>80</v>
      </c>
      <c r="P318" t="str">
        <f>"NA                            "</f>
        <v xml:space="preserve">NA                            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67.03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0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1</v>
      </c>
      <c r="BI318">
        <v>1.9</v>
      </c>
      <c r="BJ318">
        <v>8</v>
      </c>
      <c r="BK318">
        <v>8</v>
      </c>
      <c r="BL318">
        <v>241.13</v>
      </c>
      <c r="BM318">
        <v>36.17</v>
      </c>
      <c r="BN318">
        <v>277.3</v>
      </c>
      <c r="BO318">
        <v>277.3</v>
      </c>
      <c r="BQ318" t="s">
        <v>677</v>
      </c>
      <c r="BR318" t="s">
        <v>140</v>
      </c>
      <c r="BS318" s="3">
        <v>44602</v>
      </c>
      <c r="BT318" s="4">
        <v>0.5</v>
      </c>
      <c r="BU318" t="s">
        <v>1064</v>
      </c>
      <c r="BV318" t="s">
        <v>84</v>
      </c>
      <c r="BW318" t="s">
        <v>727</v>
      </c>
      <c r="BX318" t="s">
        <v>240</v>
      </c>
      <c r="BY318">
        <v>39865.54</v>
      </c>
      <c r="BZ318" t="s">
        <v>87</v>
      </c>
      <c r="CC318" t="s">
        <v>132</v>
      </c>
      <c r="CD318">
        <v>4000</v>
      </c>
      <c r="CE318" t="s">
        <v>130</v>
      </c>
      <c r="CF318" s="3">
        <v>44602</v>
      </c>
      <c r="CI318">
        <v>1</v>
      </c>
      <c r="CJ318">
        <v>3</v>
      </c>
      <c r="CK318">
        <v>21</v>
      </c>
      <c r="CL318" t="s">
        <v>84</v>
      </c>
    </row>
    <row r="319" spans="1:90" x14ac:dyDescent="0.25">
      <c r="A319" t="s">
        <v>72</v>
      </c>
      <c r="B319" t="s">
        <v>73</v>
      </c>
      <c r="C319" t="s">
        <v>74</v>
      </c>
      <c r="E319" t="str">
        <f>"009941974451"</f>
        <v>009941974451</v>
      </c>
      <c r="F319" s="3">
        <v>44600</v>
      </c>
      <c r="G319">
        <v>202208</v>
      </c>
      <c r="H319" t="s">
        <v>131</v>
      </c>
      <c r="I319" t="s">
        <v>132</v>
      </c>
      <c r="J319" t="s">
        <v>111</v>
      </c>
      <c r="K319" t="s">
        <v>78</v>
      </c>
      <c r="L319" t="s">
        <v>109</v>
      </c>
      <c r="M319" t="s">
        <v>110</v>
      </c>
      <c r="N319" t="s">
        <v>111</v>
      </c>
      <c r="O319" t="s">
        <v>125</v>
      </c>
      <c r="P319" t="str">
        <f>"                              "</f>
        <v xml:space="preserve">                              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32.42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0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1</v>
      </c>
      <c r="BI319">
        <v>1</v>
      </c>
      <c r="BJ319">
        <v>0.2</v>
      </c>
      <c r="BK319">
        <v>1</v>
      </c>
      <c r="BL319">
        <v>121.87</v>
      </c>
      <c r="BM319">
        <v>18.28</v>
      </c>
      <c r="BN319">
        <v>140.15</v>
      </c>
      <c r="BO319">
        <v>140.15</v>
      </c>
      <c r="BQ319" t="s">
        <v>1065</v>
      </c>
      <c r="BR319" t="s">
        <v>135</v>
      </c>
      <c r="BS319" s="3">
        <v>44601</v>
      </c>
      <c r="BT319" s="4">
        <v>0.44305555555555554</v>
      </c>
      <c r="BU319" t="s">
        <v>128</v>
      </c>
      <c r="BV319" t="s">
        <v>101</v>
      </c>
      <c r="BY319">
        <v>1200</v>
      </c>
      <c r="BZ319" t="s">
        <v>137</v>
      </c>
      <c r="CA319" t="s">
        <v>129</v>
      </c>
      <c r="CC319" t="s">
        <v>110</v>
      </c>
      <c r="CD319">
        <v>46</v>
      </c>
      <c r="CE319" t="s">
        <v>130</v>
      </c>
      <c r="CF319" s="3">
        <v>44601</v>
      </c>
      <c r="CI319">
        <v>2</v>
      </c>
      <c r="CJ319">
        <v>1</v>
      </c>
      <c r="CK319">
        <v>41</v>
      </c>
      <c r="CL319" t="s">
        <v>84</v>
      </c>
    </row>
    <row r="320" spans="1:90" x14ac:dyDescent="0.25">
      <c r="A320" t="s">
        <v>72</v>
      </c>
      <c r="B320" t="s">
        <v>73</v>
      </c>
      <c r="C320" t="s">
        <v>74</v>
      </c>
      <c r="E320" t="str">
        <f>"009940857727"</f>
        <v>009940857727</v>
      </c>
      <c r="F320" s="3">
        <v>44599</v>
      </c>
      <c r="G320">
        <v>202208</v>
      </c>
      <c r="H320" t="s">
        <v>109</v>
      </c>
      <c r="I320" t="s">
        <v>110</v>
      </c>
      <c r="J320" t="s">
        <v>133</v>
      </c>
      <c r="K320" t="s">
        <v>78</v>
      </c>
      <c r="L320" t="s">
        <v>131</v>
      </c>
      <c r="M320" t="s">
        <v>132</v>
      </c>
      <c r="N320" t="s">
        <v>111</v>
      </c>
      <c r="O320" t="s">
        <v>80</v>
      </c>
      <c r="P320" t="str">
        <f>"NA                            "</f>
        <v xml:space="preserve">NA                            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41.9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0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1</v>
      </c>
      <c r="BI320">
        <v>0.5</v>
      </c>
      <c r="BJ320">
        <v>4.9000000000000004</v>
      </c>
      <c r="BK320">
        <v>5</v>
      </c>
      <c r="BL320">
        <v>150.72</v>
      </c>
      <c r="BM320">
        <v>22.61</v>
      </c>
      <c r="BN320">
        <v>173.33</v>
      </c>
      <c r="BO320">
        <v>173.33</v>
      </c>
      <c r="BQ320" t="s">
        <v>1066</v>
      </c>
      <c r="BR320" t="s">
        <v>843</v>
      </c>
      <c r="BS320" s="3">
        <v>44600</v>
      </c>
      <c r="BT320" s="4">
        <v>0.43055555555555558</v>
      </c>
      <c r="BU320" t="s">
        <v>1067</v>
      </c>
      <c r="BV320" t="s">
        <v>101</v>
      </c>
      <c r="BY320">
        <v>24316.799999999999</v>
      </c>
      <c r="BZ320" t="s">
        <v>87</v>
      </c>
      <c r="CC320" t="s">
        <v>132</v>
      </c>
      <c r="CD320">
        <v>4000</v>
      </c>
      <c r="CE320" t="s">
        <v>130</v>
      </c>
      <c r="CF320" s="3">
        <v>44601</v>
      </c>
      <c r="CI320">
        <v>1</v>
      </c>
      <c r="CJ320">
        <v>1</v>
      </c>
      <c r="CK320">
        <v>21</v>
      </c>
      <c r="CL320" t="s">
        <v>84</v>
      </c>
    </row>
    <row r="321" spans="1:90" x14ac:dyDescent="0.25">
      <c r="A321" t="s">
        <v>72</v>
      </c>
      <c r="B321" t="s">
        <v>73</v>
      </c>
      <c r="C321" t="s">
        <v>74</v>
      </c>
      <c r="E321" t="str">
        <f>"009940857729"</f>
        <v>009940857729</v>
      </c>
      <c r="F321" s="3">
        <v>44599</v>
      </c>
      <c r="G321">
        <v>202208</v>
      </c>
      <c r="H321" t="s">
        <v>109</v>
      </c>
      <c r="I321" t="s">
        <v>110</v>
      </c>
      <c r="J321" t="s">
        <v>133</v>
      </c>
      <c r="K321" t="s">
        <v>78</v>
      </c>
      <c r="L321" t="s">
        <v>75</v>
      </c>
      <c r="M321" t="s">
        <v>76</v>
      </c>
      <c r="N321" t="s">
        <v>111</v>
      </c>
      <c r="O321" t="s">
        <v>80</v>
      </c>
      <c r="P321" t="str">
        <f>"NA                            "</f>
        <v xml:space="preserve">NA                            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16.760000000000002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0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1</v>
      </c>
      <c r="BI321">
        <v>1</v>
      </c>
      <c r="BJ321">
        <v>0.2</v>
      </c>
      <c r="BK321">
        <v>1</v>
      </c>
      <c r="BL321">
        <v>60.3</v>
      </c>
      <c r="BM321">
        <v>9.0500000000000007</v>
      </c>
      <c r="BN321">
        <v>69.349999999999994</v>
      </c>
      <c r="BO321">
        <v>69.349999999999994</v>
      </c>
      <c r="BQ321" t="s">
        <v>1068</v>
      </c>
      <c r="BR321" t="s">
        <v>140</v>
      </c>
      <c r="BS321" s="3">
        <v>44600</v>
      </c>
      <c r="BT321" s="4">
        <v>0.43055555555555558</v>
      </c>
      <c r="BU321" t="s">
        <v>273</v>
      </c>
      <c r="BV321" t="s">
        <v>101</v>
      </c>
      <c r="BY321">
        <v>1200</v>
      </c>
      <c r="BZ321" t="s">
        <v>87</v>
      </c>
      <c r="CA321" t="s">
        <v>274</v>
      </c>
      <c r="CC321" t="s">
        <v>76</v>
      </c>
      <c r="CD321">
        <v>7460</v>
      </c>
      <c r="CE321" t="s">
        <v>130</v>
      </c>
      <c r="CF321" s="3">
        <v>44601</v>
      </c>
      <c r="CI321">
        <v>1</v>
      </c>
      <c r="CJ321">
        <v>1</v>
      </c>
      <c r="CK321">
        <v>21</v>
      </c>
      <c r="CL321" t="s">
        <v>84</v>
      </c>
    </row>
    <row r="322" spans="1:90" x14ac:dyDescent="0.25">
      <c r="A322" t="s">
        <v>72</v>
      </c>
      <c r="B322" t="s">
        <v>73</v>
      </c>
      <c r="C322" t="s">
        <v>74</v>
      </c>
      <c r="E322" t="str">
        <f>"GAB2008159"</f>
        <v>GAB2008159</v>
      </c>
      <c r="F322" s="3">
        <v>44600</v>
      </c>
      <c r="G322">
        <v>202208</v>
      </c>
      <c r="H322" t="s">
        <v>75</v>
      </c>
      <c r="I322" t="s">
        <v>76</v>
      </c>
      <c r="J322" t="s">
        <v>77</v>
      </c>
      <c r="K322" t="s">
        <v>78</v>
      </c>
      <c r="L322" t="s">
        <v>109</v>
      </c>
      <c r="M322" t="s">
        <v>110</v>
      </c>
      <c r="N322" t="s">
        <v>394</v>
      </c>
      <c r="O322" t="s">
        <v>125</v>
      </c>
      <c r="P322" t="str">
        <f>"CT071848                      "</f>
        <v xml:space="preserve">CT071848                      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32.42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0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1</v>
      </c>
      <c r="BI322">
        <v>5.6</v>
      </c>
      <c r="BJ322">
        <v>12.6</v>
      </c>
      <c r="BK322">
        <v>13</v>
      </c>
      <c r="BL322">
        <v>121.87</v>
      </c>
      <c r="BM322">
        <v>18.28</v>
      </c>
      <c r="BN322">
        <v>140.15</v>
      </c>
      <c r="BO322">
        <v>140.15</v>
      </c>
      <c r="BQ322" t="s">
        <v>1069</v>
      </c>
      <c r="BR322" t="s">
        <v>82</v>
      </c>
      <c r="BS322" s="3">
        <v>44602</v>
      </c>
      <c r="BT322" s="4">
        <v>0.47222222222222227</v>
      </c>
      <c r="BU322" t="s">
        <v>488</v>
      </c>
      <c r="BV322" t="s">
        <v>101</v>
      </c>
      <c r="BY322">
        <v>62889.75</v>
      </c>
      <c r="CA322" t="s">
        <v>219</v>
      </c>
      <c r="CC322" t="s">
        <v>110</v>
      </c>
      <c r="CD322">
        <v>157</v>
      </c>
      <c r="CE322" t="s">
        <v>130</v>
      </c>
      <c r="CF322" s="3">
        <v>44602</v>
      </c>
      <c r="CI322">
        <v>2</v>
      </c>
      <c r="CJ322">
        <v>2</v>
      </c>
      <c r="CK322">
        <v>41</v>
      </c>
      <c r="CL322" t="s">
        <v>84</v>
      </c>
    </row>
    <row r="323" spans="1:90" x14ac:dyDescent="0.25">
      <c r="A323" t="s">
        <v>72</v>
      </c>
      <c r="B323" t="s">
        <v>73</v>
      </c>
      <c r="C323" t="s">
        <v>74</v>
      </c>
      <c r="E323" t="str">
        <f>"GAB2008161"</f>
        <v>GAB2008161</v>
      </c>
      <c r="F323" s="3">
        <v>44600</v>
      </c>
      <c r="G323">
        <v>202208</v>
      </c>
      <c r="H323" t="s">
        <v>75</v>
      </c>
      <c r="I323" t="s">
        <v>76</v>
      </c>
      <c r="J323" t="s">
        <v>77</v>
      </c>
      <c r="K323" t="s">
        <v>78</v>
      </c>
      <c r="L323" t="s">
        <v>159</v>
      </c>
      <c r="M323" t="s">
        <v>160</v>
      </c>
      <c r="N323" t="s">
        <v>1070</v>
      </c>
      <c r="O323" t="s">
        <v>125</v>
      </c>
      <c r="P323" t="str">
        <f>"CT071851                      "</f>
        <v xml:space="preserve">CT071851                      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71.430000000000007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0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2</v>
      </c>
      <c r="BI323">
        <v>6.8</v>
      </c>
      <c r="BJ323">
        <v>25.8</v>
      </c>
      <c r="BK323">
        <v>26</v>
      </c>
      <c r="BL323">
        <v>262.2</v>
      </c>
      <c r="BM323">
        <v>39.33</v>
      </c>
      <c r="BN323">
        <v>301.52999999999997</v>
      </c>
      <c r="BO323">
        <v>301.52999999999997</v>
      </c>
      <c r="BQ323" t="s">
        <v>1071</v>
      </c>
      <c r="BR323" t="s">
        <v>82</v>
      </c>
      <c r="BS323" s="3">
        <v>44602</v>
      </c>
      <c r="BT323" s="4">
        <v>0.43055555555555558</v>
      </c>
      <c r="BU323" t="s">
        <v>1072</v>
      </c>
      <c r="BV323" t="s">
        <v>101</v>
      </c>
      <c r="BY323">
        <v>129232.32000000001</v>
      </c>
      <c r="CA323" t="s">
        <v>164</v>
      </c>
      <c r="CC323" t="s">
        <v>160</v>
      </c>
      <c r="CD323">
        <v>9459</v>
      </c>
      <c r="CE323" t="s">
        <v>130</v>
      </c>
      <c r="CF323" s="3">
        <v>44602</v>
      </c>
      <c r="CI323">
        <v>3</v>
      </c>
      <c r="CJ323">
        <v>2</v>
      </c>
      <c r="CK323">
        <v>43</v>
      </c>
      <c r="CL323" t="s">
        <v>84</v>
      </c>
    </row>
    <row r="324" spans="1:90" x14ac:dyDescent="0.25">
      <c r="A324" t="s">
        <v>72</v>
      </c>
      <c r="B324" t="s">
        <v>73</v>
      </c>
      <c r="C324" t="s">
        <v>74</v>
      </c>
      <c r="E324" t="str">
        <f>"009941317675"</f>
        <v>009941317675</v>
      </c>
      <c r="F324" s="3">
        <v>44600</v>
      </c>
      <c r="G324">
        <v>202208</v>
      </c>
      <c r="H324" t="s">
        <v>131</v>
      </c>
      <c r="I324" t="s">
        <v>132</v>
      </c>
      <c r="J324" t="s">
        <v>1073</v>
      </c>
      <c r="K324" t="s">
        <v>78</v>
      </c>
      <c r="L324" t="s">
        <v>109</v>
      </c>
      <c r="M324" t="s">
        <v>110</v>
      </c>
      <c r="N324" t="s">
        <v>1074</v>
      </c>
      <c r="O324" t="s">
        <v>125</v>
      </c>
      <c r="P324" t="str">
        <f>"                              "</f>
        <v xml:space="preserve">                              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32.42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0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1</v>
      </c>
      <c r="BI324">
        <v>2.8</v>
      </c>
      <c r="BJ324">
        <v>3.8</v>
      </c>
      <c r="BK324">
        <v>4</v>
      </c>
      <c r="BL324">
        <v>121.87</v>
      </c>
      <c r="BM324">
        <v>18.28</v>
      </c>
      <c r="BN324">
        <v>140.15</v>
      </c>
      <c r="BO324">
        <v>140.15</v>
      </c>
      <c r="BQ324" t="s">
        <v>1075</v>
      </c>
      <c r="BR324" t="s">
        <v>1076</v>
      </c>
      <c r="BS324" s="3">
        <v>44601</v>
      </c>
      <c r="BT324" s="4">
        <v>0.44305555555555554</v>
      </c>
      <c r="BU324" t="s">
        <v>128</v>
      </c>
      <c r="BV324" t="s">
        <v>101</v>
      </c>
      <c r="BY324">
        <v>18750</v>
      </c>
      <c r="BZ324" t="s">
        <v>137</v>
      </c>
      <c r="CA324" t="s">
        <v>129</v>
      </c>
      <c r="CC324" t="s">
        <v>110</v>
      </c>
      <c r="CD324">
        <v>157</v>
      </c>
      <c r="CE324" t="s">
        <v>130</v>
      </c>
      <c r="CF324" s="3">
        <v>44601</v>
      </c>
      <c r="CI324">
        <v>2</v>
      </c>
      <c r="CJ324">
        <v>1</v>
      </c>
      <c r="CK324">
        <v>41</v>
      </c>
      <c r="CL324" t="s">
        <v>84</v>
      </c>
    </row>
    <row r="325" spans="1:90" x14ac:dyDescent="0.25">
      <c r="A325" t="s">
        <v>72</v>
      </c>
      <c r="B325" t="s">
        <v>73</v>
      </c>
      <c r="C325" t="s">
        <v>74</v>
      </c>
      <c r="E325" t="str">
        <f>"GAB2008143"</f>
        <v>GAB2008143</v>
      </c>
      <c r="F325" s="3">
        <v>44600</v>
      </c>
      <c r="G325">
        <v>202208</v>
      </c>
      <c r="H325" t="s">
        <v>75</v>
      </c>
      <c r="I325" t="s">
        <v>76</v>
      </c>
      <c r="J325" t="s">
        <v>77</v>
      </c>
      <c r="K325" t="s">
        <v>78</v>
      </c>
      <c r="L325" t="s">
        <v>510</v>
      </c>
      <c r="M325" t="s">
        <v>511</v>
      </c>
      <c r="N325" t="s">
        <v>1077</v>
      </c>
      <c r="O325" t="s">
        <v>125</v>
      </c>
      <c r="P325" t="str">
        <f>"CT071783                      "</f>
        <v xml:space="preserve">CT071783                      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53.79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0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3</v>
      </c>
      <c r="BI325">
        <v>8.5</v>
      </c>
      <c r="BJ325">
        <v>30.6</v>
      </c>
      <c r="BK325">
        <v>31</v>
      </c>
      <c r="BL325">
        <v>198.76</v>
      </c>
      <c r="BM325">
        <v>29.81</v>
      </c>
      <c r="BN325">
        <v>228.57</v>
      </c>
      <c r="BO325">
        <v>228.57</v>
      </c>
      <c r="BQ325" t="s">
        <v>179</v>
      </c>
      <c r="BR325" t="s">
        <v>82</v>
      </c>
      <c r="BS325" s="3">
        <v>44602</v>
      </c>
      <c r="BT325" s="4">
        <v>0.47916666666666669</v>
      </c>
      <c r="BU325" t="s">
        <v>1078</v>
      </c>
      <c r="BV325" t="s">
        <v>101</v>
      </c>
      <c r="BY325">
        <v>152789.95000000001</v>
      </c>
      <c r="CA325" t="s">
        <v>515</v>
      </c>
      <c r="CC325" t="s">
        <v>511</v>
      </c>
      <c r="CD325">
        <v>1200</v>
      </c>
      <c r="CE325" t="s">
        <v>130</v>
      </c>
      <c r="CF325" s="3">
        <v>44602</v>
      </c>
      <c r="CI325">
        <v>3</v>
      </c>
      <c r="CJ325">
        <v>2</v>
      </c>
      <c r="CK325">
        <v>41</v>
      </c>
      <c r="CL325" t="s">
        <v>84</v>
      </c>
    </row>
    <row r="326" spans="1:90" x14ac:dyDescent="0.25">
      <c r="A326" t="s">
        <v>72</v>
      </c>
      <c r="B326" t="s">
        <v>73</v>
      </c>
      <c r="C326" t="s">
        <v>74</v>
      </c>
      <c r="E326" t="str">
        <f>"GAB2008141"</f>
        <v>GAB2008141</v>
      </c>
      <c r="F326" s="3">
        <v>44600</v>
      </c>
      <c r="G326">
        <v>202208</v>
      </c>
      <c r="H326" t="s">
        <v>75</v>
      </c>
      <c r="I326" t="s">
        <v>76</v>
      </c>
      <c r="J326" t="s">
        <v>77</v>
      </c>
      <c r="K326" t="s">
        <v>78</v>
      </c>
      <c r="L326" t="s">
        <v>384</v>
      </c>
      <c r="M326" t="s">
        <v>385</v>
      </c>
      <c r="N326" t="s">
        <v>386</v>
      </c>
      <c r="O326" t="s">
        <v>125</v>
      </c>
      <c r="P326" t="str">
        <f>"CT071774                      "</f>
        <v xml:space="preserve">CT071774                      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32.42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0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1</v>
      </c>
      <c r="BI326">
        <v>3.9</v>
      </c>
      <c r="BJ326">
        <v>13.2</v>
      </c>
      <c r="BK326">
        <v>14</v>
      </c>
      <c r="BL326">
        <v>121.87</v>
      </c>
      <c r="BM326">
        <v>18.28</v>
      </c>
      <c r="BN326">
        <v>140.15</v>
      </c>
      <c r="BO326">
        <v>140.15</v>
      </c>
      <c r="BQ326" t="s">
        <v>387</v>
      </c>
      <c r="BR326" t="s">
        <v>82</v>
      </c>
      <c r="BS326" s="3">
        <v>44602</v>
      </c>
      <c r="BT326" s="4">
        <v>0.3888888888888889</v>
      </c>
      <c r="BU326" t="s">
        <v>388</v>
      </c>
      <c r="BV326" t="s">
        <v>101</v>
      </c>
      <c r="BY326">
        <v>66158.399999999994</v>
      </c>
      <c r="CA326" t="s">
        <v>389</v>
      </c>
      <c r="CC326" t="s">
        <v>385</v>
      </c>
      <c r="CD326">
        <v>2194</v>
      </c>
      <c r="CE326" t="s">
        <v>130</v>
      </c>
      <c r="CF326" s="3">
        <v>44603</v>
      </c>
      <c r="CI326">
        <v>2</v>
      </c>
      <c r="CJ326">
        <v>2</v>
      </c>
      <c r="CK326">
        <v>41</v>
      </c>
      <c r="CL326" t="s">
        <v>84</v>
      </c>
    </row>
    <row r="327" spans="1:90" x14ac:dyDescent="0.25">
      <c r="A327" t="s">
        <v>72</v>
      </c>
      <c r="B327" t="s">
        <v>73</v>
      </c>
      <c r="C327" t="s">
        <v>74</v>
      </c>
      <c r="E327" t="str">
        <f>"GAB2008140"</f>
        <v>GAB2008140</v>
      </c>
      <c r="F327" s="3">
        <v>44600</v>
      </c>
      <c r="G327">
        <v>202208</v>
      </c>
      <c r="H327" t="s">
        <v>75</v>
      </c>
      <c r="I327" t="s">
        <v>76</v>
      </c>
      <c r="J327" t="s">
        <v>77</v>
      </c>
      <c r="K327" t="s">
        <v>78</v>
      </c>
      <c r="L327" t="s">
        <v>761</v>
      </c>
      <c r="M327" t="s">
        <v>762</v>
      </c>
      <c r="N327" t="s">
        <v>763</v>
      </c>
      <c r="O327" t="s">
        <v>125</v>
      </c>
      <c r="P327" t="str">
        <f>"CT071771                      "</f>
        <v xml:space="preserve">CT071771                      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65.819999999999993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0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3</v>
      </c>
      <c r="BI327">
        <v>11.8</v>
      </c>
      <c r="BJ327">
        <v>39.299999999999997</v>
      </c>
      <c r="BK327">
        <v>40</v>
      </c>
      <c r="BL327">
        <v>242.02</v>
      </c>
      <c r="BM327">
        <v>36.299999999999997</v>
      </c>
      <c r="BN327">
        <v>278.32</v>
      </c>
      <c r="BO327">
        <v>278.32</v>
      </c>
      <c r="BQ327" t="s">
        <v>764</v>
      </c>
      <c r="BR327" t="s">
        <v>82</v>
      </c>
      <c r="BS327" s="3">
        <v>44606</v>
      </c>
      <c r="BT327" s="4">
        <v>0.58680555555555558</v>
      </c>
      <c r="BU327" t="s">
        <v>765</v>
      </c>
      <c r="BV327" t="s">
        <v>84</v>
      </c>
      <c r="BW327" t="s">
        <v>239</v>
      </c>
      <c r="BX327" t="s">
        <v>899</v>
      </c>
      <c r="BY327">
        <v>196709.86</v>
      </c>
      <c r="CA327" t="s">
        <v>767</v>
      </c>
      <c r="CC327" t="s">
        <v>762</v>
      </c>
      <c r="CD327">
        <v>9300</v>
      </c>
      <c r="CE327" t="s">
        <v>130</v>
      </c>
      <c r="CF327" s="3">
        <v>44607</v>
      </c>
      <c r="CI327">
        <v>3</v>
      </c>
      <c r="CJ327">
        <v>4</v>
      </c>
      <c r="CK327">
        <v>41</v>
      </c>
      <c r="CL327" t="s">
        <v>84</v>
      </c>
    </row>
    <row r="328" spans="1:90" x14ac:dyDescent="0.25">
      <c r="A328" t="s">
        <v>72</v>
      </c>
      <c r="B328" t="s">
        <v>73</v>
      </c>
      <c r="C328" t="s">
        <v>74</v>
      </c>
      <c r="E328" t="str">
        <f>"GAB2008139"</f>
        <v>GAB2008139</v>
      </c>
      <c r="F328" s="3">
        <v>44600</v>
      </c>
      <c r="G328">
        <v>202208</v>
      </c>
      <c r="H328" t="s">
        <v>75</v>
      </c>
      <c r="I328" t="s">
        <v>76</v>
      </c>
      <c r="J328" t="s">
        <v>77</v>
      </c>
      <c r="K328" t="s">
        <v>78</v>
      </c>
      <c r="L328" t="s">
        <v>165</v>
      </c>
      <c r="M328" t="s">
        <v>166</v>
      </c>
      <c r="N328" t="s">
        <v>1079</v>
      </c>
      <c r="O328" t="s">
        <v>125</v>
      </c>
      <c r="P328" t="str">
        <f>"CT071833                      "</f>
        <v xml:space="preserve">CT071833                      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32.42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0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1</v>
      </c>
      <c r="BI328">
        <v>1.1000000000000001</v>
      </c>
      <c r="BJ328">
        <v>2.7</v>
      </c>
      <c r="BK328">
        <v>3</v>
      </c>
      <c r="BL328">
        <v>121.87</v>
      </c>
      <c r="BM328">
        <v>18.28</v>
      </c>
      <c r="BN328">
        <v>140.15</v>
      </c>
      <c r="BO328">
        <v>140.15</v>
      </c>
      <c r="BQ328" t="s">
        <v>1080</v>
      </c>
      <c r="BR328" t="s">
        <v>82</v>
      </c>
      <c r="BS328" s="3">
        <v>44602</v>
      </c>
      <c r="BT328" s="4">
        <v>0.4236111111111111</v>
      </c>
      <c r="BU328" t="s">
        <v>1081</v>
      </c>
      <c r="BV328" t="s">
        <v>101</v>
      </c>
      <c r="BY328">
        <v>13512.96</v>
      </c>
      <c r="CA328" t="s">
        <v>875</v>
      </c>
      <c r="CC328" t="s">
        <v>166</v>
      </c>
      <c r="CD328">
        <v>43</v>
      </c>
      <c r="CE328" t="s">
        <v>130</v>
      </c>
      <c r="CF328" s="3">
        <v>44602</v>
      </c>
      <c r="CI328">
        <v>2</v>
      </c>
      <c r="CJ328">
        <v>2</v>
      </c>
      <c r="CK328">
        <v>41</v>
      </c>
      <c r="CL328" t="s">
        <v>84</v>
      </c>
    </row>
    <row r="329" spans="1:90" x14ac:dyDescent="0.25">
      <c r="A329" t="s">
        <v>72</v>
      </c>
      <c r="B329" t="s">
        <v>73</v>
      </c>
      <c r="C329" t="s">
        <v>74</v>
      </c>
      <c r="E329" t="str">
        <f>"GAB2008138"</f>
        <v>GAB2008138</v>
      </c>
      <c r="F329" s="3">
        <v>44600</v>
      </c>
      <c r="G329">
        <v>202208</v>
      </c>
      <c r="H329" t="s">
        <v>75</v>
      </c>
      <c r="I329" t="s">
        <v>76</v>
      </c>
      <c r="J329" t="s">
        <v>77</v>
      </c>
      <c r="K329" t="s">
        <v>78</v>
      </c>
      <c r="L329" t="s">
        <v>202</v>
      </c>
      <c r="M329" t="s">
        <v>203</v>
      </c>
      <c r="N329" t="s">
        <v>1082</v>
      </c>
      <c r="O329" t="s">
        <v>125</v>
      </c>
      <c r="P329" t="str">
        <f>"CT071784                      "</f>
        <v xml:space="preserve">CT071784                      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51.12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0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2</v>
      </c>
      <c r="BI329">
        <v>7.9</v>
      </c>
      <c r="BJ329">
        <v>29</v>
      </c>
      <c r="BK329">
        <v>29</v>
      </c>
      <c r="BL329">
        <v>189.15</v>
      </c>
      <c r="BM329">
        <v>28.37</v>
      </c>
      <c r="BN329">
        <v>217.52</v>
      </c>
      <c r="BO329">
        <v>217.52</v>
      </c>
      <c r="BQ329" t="s">
        <v>93</v>
      </c>
      <c r="BR329" t="s">
        <v>82</v>
      </c>
      <c r="BS329" s="3">
        <v>44602</v>
      </c>
      <c r="BT329" s="4">
        <v>0.41319444444444442</v>
      </c>
      <c r="BU329" t="s">
        <v>701</v>
      </c>
      <c r="BV329" t="s">
        <v>101</v>
      </c>
      <c r="BY329">
        <v>144880.38</v>
      </c>
      <c r="CA329" t="s">
        <v>207</v>
      </c>
      <c r="CC329" t="s">
        <v>203</v>
      </c>
      <c r="CD329">
        <v>1724</v>
      </c>
      <c r="CE329" t="s">
        <v>130</v>
      </c>
      <c r="CF329" s="3">
        <v>44603</v>
      </c>
      <c r="CI329">
        <v>2</v>
      </c>
      <c r="CJ329">
        <v>2</v>
      </c>
      <c r="CK329">
        <v>41</v>
      </c>
      <c r="CL329" t="s">
        <v>84</v>
      </c>
    </row>
    <row r="330" spans="1:90" x14ac:dyDescent="0.25">
      <c r="A330" t="s">
        <v>72</v>
      </c>
      <c r="B330" t="s">
        <v>73</v>
      </c>
      <c r="C330" t="s">
        <v>74</v>
      </c>
      <c r="E330" t="str">
        <f>"GAB2008133"</f>
        <v>GAB2008133</v>
      </c>
      <c r="F330" s="3">
        <v>44600</v>
      </c>
      <c r="G330">
        <v>202208</v>
      </c>
      <c r="H330" t="s">
        <v>75</v>
      </c>
      <c r="I330" t="s">
        <v>76</v>
      </c>
      <c r="J330" t="s">
        <v>77</v>
      </c>
      <c r="K330" t="s">
        <v>78</v>
      </c>
      <c r="L330" t="s">
        <v>131</v>
      </c>
      <c r="M330" t="s">
        <v>132</v>
      </c>
      <c r="N330" t="s">
        <v>859</v>
      </c>
      <c r="O330" t="s">
        <v>125</v>
      </c>
      <c r="P330" t="str">
        <f>"CT071827                      "</f>
        <v xml:space="preserve">CT071827                      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32.42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0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1</v>
      </c>
      <c r="BI330">
        <v>0.6</v>
      </c>
      <c r="BJ330">
        <v>1.8</v>
      </c>
      <c r="BK330">
        <v>2</v>
      </c>
      <c r="BL330">
        <v>121.87</v>
      </c>
      <c r="BM330">
        <v>18.28</v>
      </c>
      <c r="BN330">
        <v>140.15</v>
      </c>
      <c r="BO330">
        <v>140.15</v>
      </c>
      <c r="BQ330" t="s">
        <v>1083</v>
      </c>
      <c r="BR330" t="s">
        <v>82</v>
      </c>
      <c r="BS330" s="3">
        <v>44602</v>
      </c>
      <c r="BT330" s="4">
        <v>0.36180555555555555</v>
      </c>
      <c r="BU330" t="s">
        <v>1084</v>
      </c>
      <c r="BV330" t="s">
        <v>101</v>
      </c>
      <c r="BY330">
        <v>9168.6</v>
      </c>
      <c r="CA330" t="s">
        <v>280</v>
      </c>
      <c r="CC330" t="s">
        <v>132</v>
      </c>
      <c r="CD330">
        <v>4001</v>
      </c>
      <c r="CE330" t="s">
        <v>130</v>
      </c>
      <c r="CF330" s="3">
        <v>44602</v>
      </c>
      <c r="CI330">
        <v>3</v>
      </c>
      <c r="CJ330">
        <v>2</v>
      </c>
      <c r="CK330">
        <v>41</v>
      </c>
      <c r="CL330" t="s">
        <v>84</v>
      </c>
    </row>
    <row r="331" spans="1:90" x14ac:dyDescent="0.25">
      <c r="A331" t="s">
        <v>72</v>
      </c>
      <c r="B331" t="s">
        <v>73</v>
      </c>
      <c r="C331" t="s">
        <v>74</v>
      </c>
      <c r="E331" t="str">
        <f>"GAB2008145"</f>
        <v>GAB2008145</v>
      </c>
      <c r="F331" s="3">
        <v>44600</v>
      </c>
      <c r="G331">
        <v>202208</v>
      </c>
      <c r="H331" t="s">
        <v>75</v>
      </c>
      <c r="I331" t="s">
        <v>76</v>
      </c>
      <c r="J331" t="s">
        <v>77</v>
      </c>
      <c r="K331" t="s">
        <v>78</v>
      </c>
      <c r="L331" t="s">
        <v>159</v>
      </c>
      <c r="M331" t="s">
        <v>160</v>
      </c>
      <c r="N331" t="s">
        <v>364</v>
      </c>
      <c r="O331" t="s">
        <v>125</v>
      </c>
      <c r="P331" t="str">
        <f>"CT071770                      "</f>
        <v xml:space="preserve">CT071770                      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45.72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0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2</v>
      </c>
      <c r="BI331">
        <v>3.5</v>
      </c>
      <c r="BJ331">
        <v>12.7</v>
      </c>
      <c r="BK331">
        <v>13</v>
      </c>
      <c r="BL331">
        <v>169.72</v>
      </c>
      <c r="BM331">
        <v>25.46</v>
      </c>
      <c r="BN331">
        <v>195.18</v>
      </c>
      <c r="BO331">
        <v>195.18</v>
      </c>
      <c r="BQ331" t="s">
        <v>162</v>
      </c>
      <c r="BR331" t="s">
        <v>82</v>
      </c>
      <c r="BS331" s="3">
        <v>44602</v>
      </c>
      <c r="BT331" s="4">
        <v>0.52083333333333337</v>
      </c>
      <c r="BU331" t="s">
        <v>163</v>
      </c>
      <c r="BV331" t="s">
        <v>101</v>
      </c>
      <c r="BY331">
        <v>63544.81</v>
      </c>
      <c r="CA331" t="s">
        <v>164</v>
      </c>
      <c r="CC331" t="s">
        <v>160</v>
      </c>
      <c r="CD331">
        <v>9460</v>
      </c>
      <c r="CE331" t="s">
        <v>130</v>
      </c>
      <c r="CF331" s="3">
        <v>44602</v>
      </c>
      <c r="CI331">
        <v>3</v>
      </c>
      <c r="CJ331">
        <v>2</v>
      </c>
      <c r="CK331">
        <v>43</v>
      </c>
      <c r="CL331" t="s">
        <v>84</v>
      </c>
    </row>
    <row r="332" spans="1:90" x14ac:dyDescent="0.25">
      <c r="A332" t="s">
        <v>72</v>
      </c>
      <c r="B332" t="s">
        <v>73</v>
      </c>
      <c r="C332" t="s">
        <v>74</v>
      </c>
      <c r="E332" t="str">
        <f>"GAB2008146"</f>
        <v>GAB2008146</v>
      </c>
      <c r="F332" s="3">
        <v>44600</v>
      </c>
      <c r="G332">
        <v>202208</v>
      </c>
      <c r="H332" t="s">
        <v>75</v>
      </c>
      <c r="I332" t="s">
        <v>76</v>
      </c>
      <c r="J332" t="s">
        <v>77</v>
      </c>
      <c r="K332" t="s">
        <v>78</v>
      </c>
      <c r="L332" t="s">
        <v>165</v>
      </c>
      <c r="M332" t="s">
        <v>166</v>
      </c>
      <c r="N332" t="s">
        <v>1085</v>
      </c>
      <c r="O332" t="s">
        <v>125</v>
      </c>
      <c r="P332" t="str">
        <f>"CT071778                      "</f>
        <v xml:space="preserve">CT071778                      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91.2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0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4</v>
      </c>
      <c r="BI332">
        <v>17.399999999999999</v>
      </c>
      <c r="BJ332">
        <v>58.3</v>
      </c>
      <c r="BK332">
        <v>59</v>
      </c>
      <c r="BL332">
        <v>333.33</v>
      </c>
      <c r="BM332">
        <v>50</v>
      </c>
      <c r="BN332">
        <v>383.33</v>
      </c>
      <c r="BO332">
        <v>383.33</v>
      </c>
      <c r="BQ332" t="s">
        <v>1086</v>
      </c>
      <c r="BR332" t="s">
        <v>82</v>
      </c>
      <c r="BS332" s="3">
        <v>44602</v>
      </c>
      <c r="BT332" s="4">
        <v>0.42222222222222222</v>
      </c>
      <c r="BU332" t="s">
        <v>1087</v>
      </c>
      <c r="BV332" t="s">
        <v>101</v>
      </c>
      <c r="BY332">
        <v>291548.73</v>
      </c>
      <c r="CA332" t="s">
        <v>329</v>
      </c>
      <c r="CC332" t="s">
        <v>166</v>
      </c>
      <c r="CD332">
        <v>84</v>
      </c>
      <c r="CE332" t="s">
        <v>130</v>
      </c>
      <c r="CF332" s="3">
        <v>44602</v>
      </c>
      <c r="CI332">
        <v>2</v>
      </c>
      <c r="CJ332">
        <v>2</v>
      </c>
      <c r="CK332">
        <v>41</v>
      </c>
      <c r="CL332" t="s">
        <v>84</v>
      </c>
    </row>
    <row r="333" spans="1:90" x14ac:dyDescent="0.25">
      <c r="A333" t="s">
        <v>72</v>
      </c>
      <c r="B333" t="s">
        <v>73</v>
      </c>
      <c r="C333" t="s">
        <v>74</v>
      </c>
      <c r="E333" t="str">
        <f>"GAB2008160"</f>
        <v>GAB2008160</v>
      </c>
      <c r="F333" s="3">
        <v>44600</v>
      </c>
      <c r="G333">
        <v>202208</v>
      </c>
      <c r="H333" t="s">
        <v>75</v>
      </c>
      <c r="I333" t="s">
        <v>76</v>
      </c>
      <c r="J333" t="s">
        <v>77</v>
      </c>
      <c r="K333" t="s">
        <v>78</v>
      </c>
      <c r="L333" t="s">
        <v>282</v>
      </c>
      <c r="M333" t="s">
        <v>283</v>
      </c>
      <c r="N333" t="s">
        <v>284</v>
      </c>
      <c r="O333" t="s">
        <v>80</v>
      </c>
      <c r="P333" t="str">
        <f>"006144                        "</f>
        <v xml:space="preserve">006144                        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47.15</v>
      </c>
      <c r="AL333">
        <v>0</v>
      </c>
      <c r="AM333">
        <v>0</v>
      </c>
      <c r="AN333">
        <v>0</v>
      </c>
      <c r="AO333">
        <v>0</v>
      </c>
      <c r="AP333">
        <v>0</v>
      </c>
      <c r="AQ333">
        <v>0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  <c r="BC333">
        <v>0</v>
      </c>
      <c r="BD333">
        <v>0</v>
      </c>
      <c r="BE333">
        <v>0</v>
      </c>
      <c r="BF333">
        <v>0</v>
      </c>
      <c r="BG333">
        <v>0</v>
      </c>
      <c r="BH333">
        <v>1</v>
      </c>
      <c r="BI333">
        <v>0.1</v>
      </c>
      <c r="BJ333">
        <v>2.6</v>
      </c>
      <c r="BK333">
        <v>3</v>
      </c>
      <c r="BL333">
        <v>169.61</v>
      </c>
      <c r="BM333">
        <v>25.44</v>
      </c>
      <c r="BN333">
        <v>195.05</v>
      </c>
      <c r="BO333">
        <v>195.05</v>
      </c>
      <c r="BQ333" t="s">
        <v>285</v>
      </c>
      <c r="BR333" t="s">
        <v>82</v>
      </c>
      <c r="BS333" s="3">
        <v>44601</v>
      </c>
      <c r="BT333" s="4">
        <v>0.36805555555555558</v>
      </c>
      <c r="BU333" t="s">
        <v>1088</v>
      </c>
      <c r="BV333" t="s">
        <v>101</v>
      </c>
      <c r="BY333">
        <v>12832.56</v>
      </c>
      <c r="BZ333" t="s">
        <v>87</v>
      </c>
      <c r="CA333" t="s">
        <v>1089</v>
      </c>
      <c r="CC333" t="s">
        <v>283</v>
      </c>
      <c r="CD333">
        <v>300</v>
      </c>
      <c r="CE333" t="s">
        <v>97</v>
      </c>
      <c r="CF333" s="3">
        <v>44601</v>
      </c>
      <c r="CI333">
        <v>1</v>
      </c>
      <c r="CJ333">
        <v>1</v>
      </c>
      <c r="CK333">
        <v>23</v>
      </c>
      <c r="CL333" t="s">
        <v>84</v>
      </c>
    </row>
    <row r="334" spans="1:90" x14ac:dyDescent="0.25">
      <c r="A334" t="s">
        <v>72</v>
      </c>
      <c r="B334" t="s">
        <v>73</v>
      </c>
      <c r="C334" t="s">
        <v>74</v>
      </c>
      <c r="E334" t="str">
        <f>"GAB2008134"</f>
        <v>GAB2008134</v>
      </c>
      <c r="F334" s="3">
        <v>44600</v>
      </c>
      <c r="G334">
        <v>202208</v>
      </c>
      <c r="H334" t="s">
        <v>75</v>
      </c>
      <c r="I334" t="s">
        <v>76</v>
      </c>
      <c r="J334" t="s">
        <v>77</v>
      </c>
      <c r="K334" t="s">
        <v>78</v>
      </c>
      <c r="L334" t="s">
        <v>453</v>
      </c>
      <c r="M334" t="s">
        <v>454</v>
      </c>
      <c r="N334" t="s">
        <v>455</v>
      </c>
      <c r="O334" t="s">
        <v>80</v>
      </c>
      <c r="P334" t="str">
        <f>"CT071826                      "</f>
        <v xml:space="preserve">CT071826                      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39.81</v>
      </c>
      <c r="AL334">
        <v>0</v>
      </c>
      <c r="AM334">
        <v>0</v>
      </c>
      <c r="AN334">
        <v>0</v>
      </c>
      <c r="AO334">
        <v>0</v>
      </c>
      <c r="AP334">
        <v>0</v>
      </c>
      <c r="AQ334">
        <v>0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  <c r="BB334">
        <v>0</v>
      </c>
      <c r="BC334">
        <v>0</v>
      </c>
      <c r="BD334">
        <v>0</v>
      </c>
      <c r="BE334">
        <v>0</v>
      </c>
      <c r="BF334">
        <v>0</v>
      </c>
      <c r="BG334">
        <v>0</v>
      </c>
      <c r="BH334">
        <v>1</v>
      </c>
      <c r="BI334">
        <v>0.2</v>
      </c>
      <c r="BJ334">
        <v>2.2000000000000002</v>
      </c>
      <c r="BK334">
        <v>2.5</v>
      </c>
      <c r="BL334">
        <v>143.22</v>
      </c>
      <c r="BM334">
        <v>21.48</v>
      </c>
      <c r="BN334">
        <v>164.7</v>
      </c>
      <c r="BO334">
        <v>164.7</v>
      </c>
      <c r="BQ334" t="s">
        <v>745</v>
      </c>
      <c r="BR334" t="s">
        <v>82</v>
      </c>
      <c r="BS334" s="3">
        <v>44601</v>
      </c>
      <c r="BT334" s="4">
        <v>0.60416666666666663</v>
      </c>
      <c r="BU334" t="s">
        <v>822</v>
      </c>
      <c r="BV334" t="s">
        <v>101</v>
      </c>
      <c r="BY334">
        <v>10995.6</v>
      </c>
      <c r="BZ334" t="s">
        <v>87</v>
      </c>
      <c r="CA334" t="s">
        <v>747</v>
      </c>
      <c r="CC334" t="s">
        <v>454</v>
      </c>
      <c r="CD334">
        <v>555</v>
      </c>
      <c r="CE334" t="s">
        <v>97</v>
      </c>
      <c r="CF334" s="3">
        <v>44601</v>
      </c>
      <c r="CI334">
        <v>1</v>
      </c>
      <c r="CJ334">
        <v>1</v>
      </c>
      <c r="CK334">
        <v>23</v>
      </c>
      <c r="CL334" t="s">
        <v>84</v>
      </c>
    </row>
    <row r="335" spans="1:90" x14ac:dyDescent="0.25">
      <c r="A335" t="s">
        <v>72</v>
      </c>
      <c r="B335" t="s">
        <v>73</v>
      </c>
      <c r="C335" t="s">
        <v>74</v>
      </c>
      <c r="E335" t="str">
        <f>"GAB2008151"</f>
        <v>GAB2008151</v>
      </c>
      <c r="F335" s="3">
        <v>44600</v>
      </c>
      <c r="G335">
        <v>202208</v>
      </c>
      <c r="H335" t="s">
        <v>75</v>
      </c>
      <c r="I335" t="s">
        <v>76</v>
      </c>
      <c r="J335" t="s">
        <v>77</v>
      </c>
      <c r="K335" t="s">
        <v>78</v>
      </c>
      <c r="L335" t="s">
        <v>109</v>
      </c>
      <c r="M335" t="s">
        <v>110</v>
      </c>
      <c r="N335" t="s">
        <v>216</v>
      </c>
      <c r="O335" t="s">
        <v>125</v>
      </c>
      <c r="P335" t="str">
        <f>"CT071842                      "</f>
        <v xml:space="preserve">CT071842                      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v>32.42</v>
      </c>
      <c r="AL335">
        <v>0</v>
      </c>
      <c r="AM335">
        <v>0</v>
      </c>
      <c r="AN335">
        <v>0</v>
      </c>
      <c r="AO335">
        <v>0</v>
      </c>
      <c r="AP335">
        <v>0</v>
      </c>
      <c r="AQ335">
        <v>0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  <c r="BB335">
        <v>0</v>
      </c>
      <c r="BC335">
        <v>0</v>
      </c>
      <c r="BD335">
        <v>0</v>
      </c>
      <c r="BE335">
        <v>0</v>
      </c>
      <c r="BF335">
        <v>0</v>
      </c>
      <c r="BG335">
        <v>0</v>
      </c>
      <c r="BH335">
        <v>1</v>
      </c>
      <c r="BI335">
        <v>0.2</v>
      </c>
      <c r="BJ335">
        <v>2.8</v>
      </c>
      <c r="BK335">
        <v>3</v>
      </c>
      <c r="BL335">
        <v>121.87</v>
      </c>
      <c r="BM335">
        <v>18.28</v>
      </c>
      <c r="BN335">
        <v>140.15</v>
      </c>
      <c r="BO335">
        <v>140.15</v>
      </c>
      <c r="BQ335" t="s">
        <v>217</v>
      </c>
      <c r="BR335" t="s">
        <v>82</v>
      </c>
      <c r="BS335" s="3">
        <v>44602</v>
      </c>
      <c r="BT335" s="4">
        <v>0.46875</v>
      </c>
      <c r="BU335" t="s">
        <v>494</v>
      </c>
      <c r="BV335" t="s">
        <v>101</v>
      </c>
      <c r="BY335">
        <v>13933.26</v>
      </c>
      <c r="CA335" t="s">
        <v>219</v>
      </c>
      <c r="CC335" t="s">
        <v>110</v>
      </c>
      <c r="CD335">
        <v>157</v>
      </c>
      <c r="CE335" t="s">
        <v>130</v>
      </c>
      <c r="CF335" s="3">
        <v>44602</v>
      </c>
      <c r="CI335">
        <v>2</v>
      </c>
      <c r="CJ335">
        <v>2</v>
      </c>
      <c r="CK335">
        <v>41</v>
      </c>
      <c r="CL335" t="s">
        <v>84</v>
      </c>
    </row>
    <row r="336" spans="1:90" x14ac:dyDescent="0.25">
      <c r="A336" t="s">
        <v>72</v>
      </c>
      <c r="B336" t="s">
        <v>73</v>
      </c>
      <c r="C336" t="s">
        <v>74</v>
      </c>
      <c r="E336" t="str">
        <f>"GAB2008135"</f>
        <v>GAB2008135</v>
      </c>
      <c r="F336" s="3">
        <v>44600</v>
      </c>
      <c r="G336">
        <v>202208</v>
      </c>
      <c r="H336" t="s">
        <v>75</v>
      </c>
      <c r="I336" t="s">
        <v>76</v>
      </c>
      <c r="J336" t="s">
        <v>77</v>
      </c>
      <c r="K336" t="s">
        <v>78</v>
      </c>
      <c r="L336" t="s">
        <v>153</v>
      </c>
      <c r="M336" t="s">
        <v>154</v>
      </c>
      <c r="N336" t="s">
        <v>1000</v>
      </c>
      <c r="O336" t="s">
        <v>80</v>
      </c>
      <c r="P336" t="str">
        <f>"CT071828                      "</f>
        <v xml:space="preserve">CT071828                      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0</v>
      </c>
      <c r="AH336">
        <v>0</v>
      </c>
      <c r="AI336">
        <v>0</v>
      </c>
      <c r="AJ336">
        <v>0</v>
      </c>
      <c r="AK336">
        <v>25.14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15</v>
      </c>
      <c r="AR336">
        <v>0</v>
      </c>
      <c r="AS336">
        <v>0</v>
      </c>
      <c r="AT336">
        <v>0</v>
      </c>
      <c r="AU336">
        <v>0</v>
      </c>
      <c r="AV336">
        <v>0</v>
      </c>
      <c r="AW336">
        <v>0</v>
      </c>
      <c r="AX336">
        <v>0</v>
      </c>
      <c r="AY336">
        <v>0</v>
      </c>
      <c r="AZ336">
        <v>0</v>
      </c>
      <c r="BA336">
        <v>0</v>
      </c>
      <c r="BB336">
        <v>0</v>
      </c>
      <c r="BC336">
        <v>0</v>
      </c>
      <c r="BD336">
        <v>0</v>
      </c>
      <c r="BE336">
        <v>0</v>
      </c>
      <c r="BF336">
        <v>0</v>
      </c>
      <c r="BG336">
        <v>0</v>
      </c>
      <c r="BH336">
        <v>1</v>
      </c>
      <c r="BI336">
        <v>0.3</v>
      </c>
      <c r="BJ336">
        <v>2.7</v>
      </c>
      <c r="BK336">
        <v>3</v>
      </c>
      <c r="BL336">
        <v>105.44</v>
      </c>
      <c r="BM336">
        <v>15.82</v>
      </c>
      <c r="BN336">
        <v>121.26</v>
      </c>
      <c r="BO336">
        <v>121.26</v>
      </c>
      <c r="BQ336" t="s">
        <v>811</v>
      </c>
      <c r="BR336" t="s">
        <v>82</v>
      </c>
      <c r="BS336" s="3">
        <v>44601</v>
      </c>
      <c r="BT336" s="4">
        <v>0.35000000000000003</v>
      </c>
      <c r="BU336" t="s">
        <v>1090</v>
      </c>
      <c r="BV336" t="s">
        <v>101</v>
      </c>
      <c r="BY336">
        <v>13350</v>
      </c>
      <c r="BZ336" t="s">
        <v>121</v>
      </c>
      <c r="CA336" t="s">
        <v>788</v>
      </c>
      <c r="CC336" t="s">
        <v>154</v>
      </c>
      <c r="CD336">
        <v>1862</v>
      </c>
      <c r="CE336" t="s">
        <v>288</v>
      </c>
      <c r="CF336" s="3">
        <v>44602</v>
      </c>
      <c r="CI336">
        <v>1</v>
      </c>
      <c r="CJ336">
        <v>1</v>
      </c>
      <c r="CK336">
        <v>21</v>
      </c>
      <c r="CL336" t="s">
        <v>84</v>
      </c>
    </row>
    <row r="337" spans="1:90" x14ac:dyDescent="0.25">
      <c r="A337" t="s">
        <v>72</v>
      </c>
      <c r="B337" t="s">
        <v>73</v>
      </c>
      <c r="C337" t="s">
        <v>74</v>
      </c>
      <c r="E337" t="str">
        <f>"GAB2008157"</f>
        <v>GAB2008157</v>
      </c>
      <c r="F337" s="3">
        <v>44600</v>
      </c>
      <c r="G337">
        <v>202208</v>
      </c>
      <c r="H337" t="s">
        <v>75</v>
      </c>
      <c r="I337" t="s">
        <v>76</v>
      </c>
      <c r="J337" t="s">
        <v>77</v>
      </c>
      <c r="K337" t="s">
        <v>78</v>
      </c>
      <c r="L337" t="s">
        <v>401</v>
      </c>
      <c r="M337" t="s">
        <v>402</v>
      </c>
      <c r="N337" t="s">
        <v>957</v>
      </c>
      <c r="O337" t="s">
        <v>125</v>
      </c>
      <c r="P337" t="str">
        <f>"CT071343                      "</f>
        <v xml:space="preserve">CT071343                      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121.93</v>
      </c>
      <c r="AL337">
        <v>0</v>
      </c>
      <c r="AM337">
        <v>0</v>
      </c>
      <c r="AN337">
        <v>0</v>
      </c>
      <c r="AO337">
        <v>0</v>
      </c>
      <c r="AP337">
        <v>0</v>
      </c>
      <c r="AQ337">
        <v>0</v>
      </c>
      <c r="AR337">
        <v>0</v>
      </c>
      <c r="AS337">
        <v>0</v>
      </c>
      <c r="AT337">
        <v>0</v>
      </c>
      <c r="AU337">
        <v>0</v>
      </c>
      <c r="AV337">
        <v>0</v>
      </c>
      <c r="AW337">
        <v>0</v>
      </c>
      <c r="AX337">
        <v>0</v>
      </c>
      <c r="AY337">
        <v>0</v>
      </c>
      <c r="AZ337">
        <v>0</v>
      </c>
      <c r="BA337">
        <v>0</v>
      </c>
      <c r="BB337">
        <v>0</v>
      </c>
      <c r="BC337">
        <v>0</v>
      </c>
      <c r="BD337">
        <v>0</v>
      </c>
      <c r="BE337">
        <v>0</v>
      </c>
      <c r="BF337">
        <v>0</v>
      </c>
      <c r="BG337">
        <v>0</v>
      </c>
      <c r="BH337">
        <v>6</v>
      </c>
      <c r="BI337">
        <v>23.3</v>
      </c>
      <c r="BJ337">
        <v>81.599999999999994</v>
      </c>
      <c r="BK337">
        <v>82</v>
      </c>
      <c r="BL337">
        <v>443.87</v>
      </c>
      <c r="BM337">
        <v>66.58</v>
      </c>
      <c r="BN337">
        <v>510.45</v>
      </c>
      <c r="BO337">
        <v>510.45</v>
      </c>
      <c r="BQ337" t="s">
        <v>958</v>
      </c>
      <c r="BR337" t="s">
        <v>82</v>
      </c>
      <c r="BS337" s="3">
        <v>44602</v>
      </c>
      <c r="BT337" s="4">
        <v>0.43194444444444446</v>
      </c>
      <c r="BU337" t="s">
        <v>1091</v>
      </c>
      <c r="BV337" t="s">
        <v>101</v>
      </c>
      <c r="BY337">
        <v>408085.5</v>
      </c>
      <c r="CA337" t="s">
        <v>1092</v>
      </c>
      <c r="CC337" t="s">
        <v>402</v>
      </c>
      <c r="CD337">
        <v>700</v>
      </c>
      <c r="CE337" t="s">
        <v>130</v>
      </c>
      <c r="CF337" s="3">
        <v>44602</v>
      </c>
      <c r="CI337">
        <v>3</v>
      </c>
      <c r="CJ337">
        <v>2</v>
      </c>
      <c r="CK337">
        <v>41</v>
      </c>
      <c r="CL337" t="s">
        <v>84</v>
      </c>
    </row>
    <row r="338" spans="1:90" x14ac:dyDescent="0.25">
      <c r="A338" t="s">
        <v>72</v>
      </c>
      <c r="B338" t="s">
        <v>73</v>
      </c>
      <c r="C338" t="s">
        <v>74</v>
      </c>
      <c r="E338" t="str">
        <f>"GAB2008148"</f>
        <v>GAB2008148</v>
      </c>
      <c r="F338" s="3">
        <v>44600</v>
      </c>
      <c r="G338">
        <v>202208</v>
      </c>
      <c r="H338" t="s">
        <v>75</v>
      </c>
      <c r="I338" t="s">
        <v>76</v>
      </c>
      <c r="J338" t="s">
        <v>77</v>
      </c>
      <c r="K338" t="s">
        <v>78</v>
      </c>
      <c r="L338" t="s">
        <v>153</v>
      </c>
      <c r="M338" t="s">
        <v>154</v>
      </c>
      <c r="N338" t="s">
        <v>1093</v>
      </c>
      <c r="O338" t="s">
        <v>80</v>
      </c>
      <c r="P338" t="str">
        <f>"CT071835                      "</f>
        <v xml:space="preserve">CT071835                      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20.95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0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0</v>
      </c>
      <c r="AX338">
        <v>0</v>
      </c>
      <c r="AY338">
        <v>0</v>
      </c>
      <c r="AZ338">
        <v>0</v>
      </c>
      <c r="BA338">
        <v>0</v>
      </c>
      <c r="BB338">
        <v>0</v>
      </c>
      <c r="BC338">
        <v>0</v>
      </c>
      <c r="BD338">
        <v>0</v>
      </c>
      <c r="BE338">
        <v>0</v>
      </c>
      <c r="BF338">
        <v>0</v>
      </c>
      <c r="BG338">
        <v>0</v>
      </c>
      <c r="BH338">
        <v>1</v>
      </c>
      <c r="BI338">
        <v>0.1</v>
      </c>
      <c r="BJ338">
        <v>2.4</v>
      </c>
      <c r="BK338">
        <v>2.5</v>
      </c>
      <c r="BL338">
        <v>75.37</v>
      </c>
      <c r="BM338">
        <v>11.31</v>
      </c>
      <c r="BN338">
        <v>86.68</v>
      </c>
      <c r="BO338">
        <v>86.68</v>
      </c>
      <c r="BR338" t="s">
        <v>82</v>
      </c>
      <c r="BS338" s="3">
        <v>44601</v>
      </c>
      <c r="BT338" s="4">
        <v>0.33402777777777781</v>
      </c>
      <c r="BU338" t="s">
        <v>1094</v>
      </c>
      <c r="BV338" t="s">
        <v>101</v>
      </c>
      <c r="BY338">
        <v>12069.12</v>
      </c>
      <c r="BZ338" t="s">
        <v>87</v>
      </c>
      <c r="CA338" t="s">
        <v>465</v>
      </c>
      <c r="CC338" t="s">
        <v>154</v>
      </c>
      <c r="CD338">
        <v>2021</v>
      </c>
      <c r="CE338" t="s">
        <v>89</v>
      </c>
      <c r="CF338" s="3">
        <v>44601</v>
      </c>
      <c r="CI338">
        <v>1</v>
      </c>
      <c r="CJ338">
        <v>1</v>
      </c>
      <c r="CK338">
        <v>21</v>
      </c>
      <c r="CL338" t="s">
        <v>84</v>
      </c>
    </row>
    <row r="339" spans="1:90" x14ac:dyDescent="0.25">
      <c r="A339" t="s">
        <v>72</v>
      </c>
      <c r="B339" t="s">
        <v>73</v>
      </c>
      <c r="C339" t="s">
        <v>74</v>
      </c>
      <c r="E339" t="str">
        <f>"GAB2008152"</f>
        <v>GAB2008152</v>
      </c>
      <c r="F339" s="3">
        <v>44600</v>
      </c>
      <c r="G339">
        <v>202208</v>
      </c>
      <c r="H339" t="s">
        <v>75</v>
      </c>
      <c r="I339" t="s">
        <v>76</v>
      </c>
      <c r="J339" t="s">
        <v>77</v>
      </c>
      <c r="K339" t="s">
        <v>78</v>
      </c>
      <c r="L339" t="s">
        <v>131</v>
      </c>
      <c r="M339" t="s">
        <v>132</v>
      </c>
      <c r="N339" t="s">
        <v>1095</v>
      </c>
      <c r="O339" t="s">
        <v>125</v>
      </c>
      <c r="P339" t="str">
        <f>"CT071839                      "</f>
        <v xml:space="preserve">CT071839                      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64.48</v>
      </c>
      <c r="AL339">
        <v>0</v>
      </c>
      <c r="AM339">
        <v>0</v>
      </c>
      <c r="AN339">
        <v>0</v>
      </c>
      <c r="AO339">
        <v>0</v>
      </c>
      <c r="AP339">
        <v>0</v>
      </c>
      <c r="AQ339">
        <v>0</v>
      </c>
      <c r="AR339">
        <v>0</v>
      </c>
      <c r="AS339">
        <v>0</v>
      </c>
      <c r="AT339">
        <v>0</v>
      </c>
      <c r="AU339">
        <v>0</v>
      </c>
      <c r="AV339">
        <v>0</v>
      </c>
      <c r="AW339">
        <v>0</v>
      </c>
      <c r="AX339">
        <v>0</v>
      </c>
      <c r="AY339">
        <v>0</v>
      </c>
      <c r="AZ339">
        <v>0</v>
      </c>
      <c r="BA339">
        <v>0</v>
      </c>
      <c r="BB339">
        <v>0</v>
      </c>
      <c r="BC339">
        <v>0</v>
      </c>
      <c r="BD339">
        <v>0</v>
      </c>
      <c r="BE339">
        <v>0</v>
      </c>
      <c r="BF339">
        <v>0</v>
      </c>
      <c r="BG339">
        <v>0</v>
      </c>
      <c r="BH339">
        <v>3</v>
      </c>
      <c r="BI339">
        <v>10.3</v>
      </c>
      <c r="BJ339">
        <v>38.799999999999997</v>
      </c>
      <c r="BK339">
        <v>39</v>
      </c>
      <c r="BL339">
        <v>237.21</v>
      </c>
      <c r="BM339">
        <v>35.58</v>
      </c>
      <c r="BN339">
        <v>272.79000000000002</v>
      </c>
      <c r="BO339">
        <v>272.79000000000002</v>
      </c>
      <c r="BQ339" t="s">
        <v>1096</v>
      </c>
      <c r="BR339" t="s">
        <v>82</v>
      </c>
      <c r="BS339" s="3">
        <v>44602</v>
      </c>
      <c r="BT339" s="4">
        <v>0.35625000000000001</v>
      </c>
      <c r="BU339" t="s">
        <v>1097</v>
      </c>
      <c r="BV339" t="s">
        <v>101</v>
      </c>
      <c r="BY339">
        <v>193837.74</v>
      </c>
      <c r="CA339" t="s">
        <v>1098</v>
      </c>
      <c r="CC339" t="s">
        <v>132</v>
      </c>
      <c r="CD339">
        <v>4001</v>
      </c>
      <c r="CE339" t="s">
        <v>130</v>
      </c>
      <c r="CF339" s="3">
        <v>44606</v>
      </c>
      <c r="CI339">
        <v>3</v>
      </c>
      <c r="CJ339">
        <v>2</v>
      </c>
      <c r="CK339">
        <v>41</v>
      </c>
      <c r="CL339" t="s">
        <v>84</v>
      </c>
    </row>
    <row r="340" spans="1:90" x14ac:dyDescent="0.25">
      <c r="A340" t="s">
        <v>72</v>
      </c>
      <c r="B340" t="s">
        <v>73</v>
      </c>
      <c r="C340" t="s">
        <v>74</v>
      </c>
      <c r="E340" t="str">
        <f>"GAB2008142"</f>
        <v>GAB2008142</v>
      </c>
      <c r="F340" s="3">
        <v>44600</v>
      </c>
      <c r="G340">
        <v>202208</v>
      </c>
      <c r="H340" t="s">
        <v>75</v>
      </c>
      <c r="I340" t="s">
        <v>76</v>
      </c>
      <c r="J340" t="s">
        <v>77</v>
      </c>
      <c r="K340" t="s">
        <v>78</v>
      </c>
      <c r="L340" t="s">
        <v>585</v>
      </c>
      <c r="M340" t="s">
        <v>586</v>
      </c>
      <c r="N340" t="s">
        <v>1053</v>
      </c>
      <c r="O340" t="s">
        <v>80</v>
      </c>
      <c r="P340" t="str">
        <f>"006755                        "</f>
        <v xml:space="preserve">006755                        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0</v>
      </c>
      <c r="AH340">
        <v>0</v>
      </c>
      <c r="AI340">
        <v>0</v>
      </c>
      <c r="AJ340">
        <v>0</v>
      </c>
      <c r="AK340">
        <v>47.15</v>
      </c>
      <c r="AL340">
        <v>0</v>
      </c>
      <c r="AM340">
        <v>0</v>
      </c>
      <c r="AN340">
        <v>0</v>
      </c>
      <c r="AO340">
        <v>0</v>
      </c>
      <c r="AP340">
        <v>0</v>
      </c>
      <c r="AQ340">
        <v>0</v>
      </c>
      <c r="AR340">
        <v>0</v>
      </c>
      <c r="AS340">
        <v>0</v>
      </c>
      <c r="AT340">
        <v>0</v>
      </c>
      <c r="AU340">
        <v>0</v>
      </c>
      <c r="AV340">
        <v>0</v>
      </c>
      <c r="AW340">
        <v>0</v>
      </c>
      <c r="AX340">
        <v>0</v>
      </c>
      <c r="AY340">
        <v>0</v>
      </c>
      <c r="AZ340">
        <v>0</v>
      </c>
      <c r="BA340">
        <v>0</v>
      </c>
      <c r="BB340">
        <v>0</v>
      </c>
      <c r="BC340">
        <v>0</v>
      </c>
      <c r="BD340">
        <v>0</v>
      </c>
      <c r="BE340">
        <v>0</v>
      </c>
      <c r="BF340">
        <v>0</v>
      </c>
      <c r="BG340">
        <v>0</v>
      </c>
      <c r="BH340">
        <v>1</v>
      </c>
      <c r="BI340">
        <v>0.1</v>
      </c>
      <c r="BJ340">
        <v>2.9</v>
      </c>
      <c r="BK340">
        <v>3</v>
      </c>
      <c r="BL340">
        <v>169.61</v>
      </c>
      <c r="BM340">
        <v>25.44</v>
      </c>
      <c r="BN340">
        <v>195.05</v>
      </c>
      <c r="BO340">
        <v>195.05</v>
      </c>
      <c r="BQ340" t="s">
        <v>1099</v>
      </c>
      <c r="BR340" t="s">
        <v>82</v>
      </c>
      <c r="BS340" s="3">
        <v>44602</v>
      </c>
      <c r="BT340" s="4">
        <v>0.50694444444444442</v>
      </c>
      <c r="BU340" t="s">
        <v>1100</v>
      </c>
      <c r="BV340" t="s">
        <v>84</v>
      </c>
      <c r="BW340" t="s">
        <v>95</v>
      </c>
      <c r="BX340" t="s">
        <v>1101</v>
      </c>
      <c r="BY340">
        <v>14688.15</v>
      </c>
      <c r="BZ340" t="s">
        <v>87</v>
      </c>
      <c r="CA340" t="s">
        <v>1056</v>
      </c>
      <c r="CC340" t="s">
        <v>586</v>
      </c>
      <c r="CD340">
        <v>3880</v>
      </c>
      <c r="CE340" t="s">
        <v>89</v>
      </c>
      <c r="CF340" s="3">
        <v>44602</v>
      </c>
      <c r="CI340">
        <v>2</v>
      </c>
      <c r="CJ340">
        <v>2</v>
      </c>
      <c r="CK340">
        <v>23</v>
      </c>
      <c r="CL340" t="s">
        <v>84</v>
      </c>
    </row>
    <row r="341" spans="1:90" x14ac:dyDescent="0.25">
      <c r="A341" t="s">
        <v>72</v>
      </c>
      <c r="B341" t="s">
        <v>73</v>
      </c>
      <c r="C341" t="s">
        <v>74</v>
      </c>
      <c r="E341" t="str">
        <f>"GAB2008156"</f>
        <v>GAB2008156</v>
      </c>
      <c r="F341" s="3">
        <v>44600</v>
      </c>
      <c r="G341">
        <v>202208</v>
      </c>
      <c r="H341" t="s">
        <v>75</v>
      </c>
      <c r="I341" t="s">
        <v>76</v>
      </c>
      <c r="J341" t="s">
        <v>77</v>
      </c>
      <c r="K341" t="s">
        <v>78</v>
      </c>
      <c r="L341" t="s">
        <v>225</v>
      </c>
      <c r="M341" t="s">
        <v>226</v>
      </c>
      <c r="N341" t="s">
        <v>1102</v>
      </c>
      <c r="O341" t="s">
        <v>125</v>
      </c>
      <c r="P341" t="str">
        <f>"CT071845                      "</f>
        <v xml:space="preserve">CT071845                      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47.11</v>
      </c>
      <c r="AL341">
        <v>0</v>
      </c>
      <c r="AM341">
        <v>0</v>
      </c>
      <c r="AN341">
        <v>0</v>
      </c>
      <c r="AO341">
        <v>0</v>
      </c>
      <c r="AP341">
        <v>0</v>
      </c>
      <c r="AQ341">
        <v>0</v>
      </c>
      <c r="AR341">
        <v>0</v>
      </c>
      <c r="AS341">
        <v>0</v>
      </c>
      <c r="AT341">
        <v>0</v>
      </c>
      <c r="AU341">
        <v>0</v>
      </c>
      <c r="AV341">
        <v>0</v>
      </c>
      <c r="AW341">
        <v>0</v>
      </c>
      <c r="AX341">
        <v>0</v>
      </c>
      <c r="AY341">
        <v>0</v>
      </c>
      <c r="AZ341">
        <v>0</v>
      </c>
      <c r="BA341">
        <v>0</v>
      </c>
      <c r="BB341">
        <v>0</v>
      </c>
      <c r="BC341">
        <v>0</v>
      </c>
      <c r="BD341">
        <v>0</v>
      </c>
      <c r="BE341">
        <v>0</v>
      </c>
      <c r="BF341">
        <v>0</v>
      </c>
      <c r="BG341">
        <v>0</v>
      </c>
      <c r="BH341">
        <v>2</v>
      </c>
      <c r="BI341">
        <v>8</v>
      </c>
      <c r="BJ341">
        <v>25.2</v>
      </c>
      <c r="BK341">
        <v>26</v>
      </c>
      <c r="BL341">
        <v>174.73</v>
      </c>
      <c r="BM341">
        <v>26.21</v>
      </c>
      <c r="BN341">
        <v>200.94</v>
      </c>
      <c r="BO341">
        <v>200.94</v>
      </c>
      <c r="BQ341" t="s">
        <v>1103</v>
      </c>
      <c r="BR341" t="s">
        <v>82</v>
      </c>
      <c r="BS341" s="3">
        <v>44603</v>
      </c>
      <c r="BT341" s="4">
        <v>0.62847222222222221</v>
      </c>
      <c r="BU341" t="s">
        <v>1104</v>
      </c>
      <c r="BV341" t="s">
        <v>101</v>
      </c>
      <c r="BY341">
        <v>125754.86</v>
      </c>
      <c r="CA341" t="s">
        <v>1105</v>
      </c>
      <c r="CC341" t="s">
        <v>226</v>
      </c>
      <c r="CD341">
        <v>8300</v>
      </c>
      <c r="CE341" t="s">
        <v>130</v>
      </c>
      <c r="CF341" s="3">
        <v>44609</v>
      </c>
      <c r="CI341">
        <v>3</v>
      </c>
      <c r="CJ341">
        <v>3</v>
      </c>
      <c r="CK341">
        <v>41</v>
      </c>
      <c r="CL341" t="s">
        <v>84</v>
      </c>
    </row>
    <row r="342" spans="1:90" x14ac:dyDescent="0.25">
      <c r="A342" t="s">
        <v>72</v>
      </c>
      <c r="B342" t="s">
        <v>73</v>
      </c>
      <c r="C342" t="s">
        <v>74</v>
      </c>
      <c r="E342" t="str">
        <f>"GAB2008136"</f>
        <v>GAB2008136</v>
      </c>
      <c r="F342" s="3">
        <v>44600</v>
      </c>
      <c r="G342">
        <v>202208</v>
      </c>
      <c r="H342" t="s">
        <v>75</v>
      </c>
      <c r="I342" t="s">
        <v>76</v>
      </c>
      <c r="J342" t="s">
        <v>77</v>
      </c>
      <c r="K342" t="s">
        <v>78</v>
      </c>
      <c r="L342" t="s">
        <v>90</v>
      </c>
      <c r="M342" t="s">
        <v>91</v>
      </c>
      <c r="N342" t="s">
        <v>1106</v>
      </c>
      <c r="O342" t="s">
        <v>80</v>
      </c>
      <c r="P342" t="str">
        <f>"CT071829                      "</f>
        <v xml:space="preserve">CT071829                      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13.09</v>
      </c>
      <c r="AL342">
        <v>0</v>
      </c>
      <c r="AM342">
        <v>0</v>
      </c>
      <c r="AN342">
        <v>0</v>
      </c>
      <c r="AO342">
        <v>0</v>
      </c>
      <c r="AP342">
        <v>0</v>
      </c>
      <c r="AQ342">
        <v>0</v>
      </c>
      <c r="AR342">
        <v>0</v>
      </c>
      <c r="AS342">
        <v>0</v>
      </c>
      <c r="AT342">
        <v>0</v>
      </c>
      <c r="AU342">
        <v>0</v>
      </c>
      <c r="AV342">
        <v>0</v>
      </c>
      <c r="AW342">
        <v>0</v>
      </c>
      <c r="AX342">
        <v>0</v>
      </c>
      <c r="AY342">
        <v>0</v>
      </c>
      <c r="AZ342">
        <v>0</v>
      </c>
      <c r="BA342">
        <v>0</v>
      </c>
      <c r="BB342">
        <v>0</v>
      </c>
      <c r="BC342">
        <v>0</v>
      </c>
      <c r="BD342">
        <v>0</v>
      </c>
      <c r="BE342">
        <v>0</v>
      </c>
      <c r="BF342">
        <v>0</v>
      </c>
      <c r="BG342">
        <v>0</v>
      </c>
      <c r="BH342">
        <v>1</v>
      </c>
      <c r="BI342">
        <v>0.1</v>
      </c>
      <c r="BJ342">
        <v>3.4</v>
      </c>
      <c r="BK342">
        <v>3.5</v>
      </c>
      <c r="BL342">
        <v>47.1</v>
      </c>
      <c r="BM342">
        <v>7.07</v>
      </c>
      <c r="BN342">
        <v>54.17</v>
      </c>
      <c r="BO342">
        <v>54.17</v>
      </c>
      <c r="BQ342" t="s">
        <v>1107</v>
      </c>
      <c r="BR342" t="s">
        <v>82</v>
      </c>
      <c r="BS342" s="3">
        <v>44601</v>
      </c>
      <c r="BT342" s="4">
        <v>0.42708333333333331</v>
      </c>
      <c r="BU342" t="s">
        <v>1108</v>
      </c>
      <c r="BV342" t="s">
        <v>101</v>
      </c>
      <c r="BY342">
        <v>17111.25</v>
      </c>
      <c r="BZ342" t="s">
        <v>87</v>
      </c>
      <c r="CA342" t="s">
        <v>1003</v>
      </c>
      <c r="CC342" t="s">
        <v>91</v>
      </c>
      <c r="CD342">
        <v>7600</v>
      </c>
      <c r="CE342" t="s">
        <v>97</v>
      </c>
      <c r="CF342" s="3">
        <v>44602</v>
      </c>
      <c r="CI342">
        <v>1</v>
      </c>
      <c r="CJ342">
        <v>1</v>
      </c>
      <c r="CK342">
        <v>22</v>
      </c>
      <c r="CL342" t="s">
        <v>84</v>
      </c>
    </row>
    <row r="343" spans="1:90" x14ac:dyDescent="0.25">
      <c r="A343" t="s">
        <v>72</v>
      </c>
      <c r="B343" t="s">
        <v>73</v>
      </c>
      <c r="C343" t="s">
        <v>74</v>
      </c>
      <c r="E343" t="str">
        <f>"GAB2008150"</f>
        <v>GAB2008150</v>
      </c>
      <c r="F343" s="3">
        <v>44600</v>
      </c>
      <c r="G343">
        <v>202208</v>
      </c>
      <c r="H343" t="s">
        <v>75</v>
      </c>
      <c r="I343" t="s">
        <v>76</v>
      </c>
      <c r="J343" t="s">
        <v>77</v>
      </c>
      <c r="K343" t="s">
        <v>78</v>
      </c>
      <c r="L343" t="s">
        <v>1109</v>
      </c>
      <c r="M343" t="s">
        <v>1110</v>
      </c>
      <c r="N343" t="s">
        <v>1111</v>
      </c>
      <c r="O343" t="s">
        <v>125</v>
      </c>
      <c r="P343" t="str">
        <f>"CT071779 CT071840             "</f>
        <v xml:space="preserve">CT071779 CT071840             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104.56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0</v>
      </c>
      <c r="AR343">
        <v>0</v>
      </c>
      <c r="AS343">
        <v>0</v>
      </c>
      <c r="AT343">
        <v>0</v>
      </c>
      <c r="AU343">
        <v>0</v>
      </c>
      <c r="AV343">
        <v>0</v>
      </c>
      <c r="AW343">
        <v>0</v>
      </c>
      <c r="AX343">
        <v>0</v>
      </c>
      <c r="AY343">
        <v>0</v>
      </c>
      <c r="AZ343">
        <v>0</v>
      </c>
      <c r="BA343">
        <v>0</v>
      </c>
      <c r="BB343">
        <v>0</v>
      </c>
      <c r="BC343">
        <v>0</v>
      </c>
      <c r="BD343">
        <v>0</v>
      </c>
      <c r="BE343">
        <v>0</v>
      </c>
      <c r="BF343">
        <v>0</v>
      </c>
      <c r="BG343">
        <v>0</v>
      </c>
      <c r="BH343">
        <v>5</v>
      </c>
      <c r="BI343">
        <v>19.2</v>
      </c>
      <c r="BJ343">
        <v>68.599999999999994</v>
      </c>
      <c r="BK343">
        <v>69</v>
      </c>
      <c r="BL343">
        <v>381.39</v>
      </c>
      <c r="BM343">
        <v>57.21</v>
      </c>
      <c r="BN343">
        <v>438.6</v>
      </c>
      <c r="BO343">
        <v>438.6</v>
      </c>
      <c r="BQ343" t="s">
        <v>1112</v>
      </c>
      <c r="BR343" t="s">
        <v>82</v>
      </c>
      <c r="BS343" s="3">
        <v>44602</v>
      </c>
      <c r="BT343" s="4">
        <v>0.3840277777777778</v>
      </c>
      <c r="BU343" t="s">
        <v>1113</v>
      </c>
      <c r="BV343" t="s">
        <v>101</v>
      </c>
      <c r="BY343">
        <v>342795.71</v>
      </c>
      <c r="CA343" t="s">
        <v>1114</v>
      </c>
      <c r="CC343" t="s">
        <v>1110</v>
      </c>
      <c r="CD343">
        <v>4133</v>
      </c>
      <c r="CE343" t="s">
        <v>130</v>
      </c>
      <c r="CF343" s="3">
        <v>44603</v>
      </c>
      <c r="CI343">
        <v>3</v>
      </c>
      <c r="CJ343">
        <v>2</v>
      </c>
      <c r="CK343">
        <v>41</v>
      </c>
      <c r="CL343" t="s">
        <v>84</v>
      </c>
    </row>
    <row r="344" spans="1:90" x14ac:dyDescent="0.25">
      <c r="A344" t="s">
        <v>72</v>
      </c>
      <c r="B344" t="s">
        <v>73</v>
      </c>
      <c r="C344" t="s">
        <v>74</v>
      </c>
      <c r="E344" t="str">
        <f>"GAB2008147"</f>
        <v>GAB2008147</v>
      </c>
      <c r="F344" s="3">
        <v>44600</v>
      </c>
      <c r="G344">
        <v>202208</v>
      </c>
      <c r="H344" t="s">
        <v>75</v>
      </c>
      <c r="I344" t="s">
        <v>76</v>
      </c>
      <c r="J344" t="s">
        <v>77</v>
      </c>
      <c r="K344" t="s">
        <v>78</v>
      </c>
      <c r="L344" t="s">
        <v>569</v>
      </c>
      <c r="M344" t="s">
        <v>570</v>
      </c>
      <c r="N344" t="s">
        <v>1115</v>
      </c>
      <c r="O344" t="s">
        <v>125</v>
      </c>
      <c r="P344" t="str">
        <f>"CT070395 CT070699             "</f>
        <v xml:space="preserve">CT070395 CT070699             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73.760000000000005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0</v>
      </c>
      <c r="AR344">
        <v>0</v>
      </c>
      <c r="AS344">
        <v>0</v>
      </c>
      <c r="AT344">
        <v>0</v>
      </c>
      <c r="AU344">
        <v>0</v>
      </c>
      <c r="AV344">
        <v>0</v>
      </c>
      <c r="AW344">
        <v>0</v>
      </c>
      <c r="AX344">
        <v>0</v>
      </c>
      <c r="AY344">
        <v>0</v>
      </c>
      <c r="AZ344">
        <v>0</v>
      </c>
      <c r="BA344">
        <v>0</v>
      </c>
      <c r="BB344">
        <v>0</v>
      </c>
      <c r="BC344">
        <v>0</v>
      </c>
      <c r="BD344">
        <v>0</v>
      </c>
      <c r="BE344">
        <v>0</v>
      </c>
      <c r="BF344">
        <v>0</v>
      </c>
      <c r="BG344">
        <v>0</v>
      </c>
      <c r="BH344">
        <v>2</v>
      </c>
      <c r="BI344">
        <v>8.4</v>
      </c>
      <c r="BJ344">
        <v>26.7</v>
      </c>
      <c r="BK344">
        <v>27</v>
      </c>
      <c r="BL344">
        <v>270.60000000000002</v>
      </c>
      <c r="BM344">
        <v>40.590000000000003</v>
      </c>
      <c r="BN344">
        <v>311.19</v>
      </c>
      <c r="BO344">
        <v>311.19</v>
      </c>
      <c r="BQ344" t="s">
        <v>1116</v>
      </c>
      <c r="BR344" t="s">
        <v>82</v>
      </c>
      <c r="BS344" s="3">
        <v>44602</v>
      </c>
      <c r="BT344" s="4">
        <v>0.44444444444444442</v>
      </c>
      <c r="BU344" t="s">
        <v>1117</v>
      </c>
      <c r="BV344" t="s">
        <v>101</v>
      </c>
      <c r="BY344">
        <v>133400.28</v>
      </c>
      <c r="CA344" t="s">
        <v>1118</v>
      </c>
      <c r="CC344" t="s">
        <v>570</v>
      </c>
      <c r="CD344">
        <v>1935</v>
      </c>
      <c r="CE344" t="s">
        <v>130</v>
      </c>
      <c r="CF344" s="3">
        <v>44603</v>
      </c>
      <c r="CI344">
        <v>2</v>
      </c>
      <c r="CJ344">
        <v>2</v>
      </c>
      <c r="CK344">
        <v>43</v>
      </c>
      <c r="CL344" t="s">
        <v>84</v>
      </c>
    </row>
    <row r="345" spans="1:90" x14ac:dyDescent="0.25">
      <c r="A345" t="s">
        <v>72</v>
      </c>
      <c r="B345" t="s">
        <v>73</v>
      </c>
      <c r="C345" t="s">
        <v>74</v>
      </c>
      <c r="E345" t="str">
        <f>"GAB2008155"</f>
        <v>GAB2008155</v>
      </c>
      <c r="F345" s="3">
        <v>44600</v>
      </c>
      <c r="G345">
        <v>202208</v>
      </c>
      <c r="H345" t="s">
        <v>75</v>
      </c>
      <c r="I345" t="s">
        <v>76</v>
      </c>
      <c r="J345" t="s">
        <v>77</v>
      </c>
      <c r="K345" t="s">
        <v>78</v>
      </c>
      <c r="L345" t="s">
        <v>192</v>
      </c>
      <c r="M345" t="s">
        <v>193</v>
      </c>
      <c r="N345" t="s">
        <v>194</v>
      </c>
      <c r="O345" t="s">
        <v>125</v>
      </c>
      <c r="P345" t="str">
        <f>"CT071416                      "</f>
        <v xml:space="preserve">CT071416                      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0</v>
      </c>
      <c r="AH345">
        <v>0</v>
      </c>
      <c r="AI345">
        <v>0</v>
      </c>
      <c r="AJ345">
        <v>0</v>
      </c>
      <c r="AK345">
        <v>45.72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0</v>
      </c>
      <c r="AR345">
        <v>0</v>
      </c>
      <c r="AS345">
        <v>0</v>
      </c>
      <c r="AT345">
        <v>0</v>
      </c>
      <c r="AU345">
        <v>0</v>
      </c>
      <c r="AV345">
        <v>0</v>
      </c>
      <c r="AW345">
        <v>0</v>
      </c>
      <c r="AX345">
        <v>0</v>
      </c>
      <c r="AY345">
        <v>0</v>
      </c>
      <c r="AZ345">
        <v>0</v>
      </c>
      <c r="BA345">
        <v>0</v>
      </c>
      <c r="BB345">
        <v>0</v>
      </c>
      <c r="BC345">
        <v>0</v>
      </c>
      <c r="BD345">
        <v>0</v>
      </c>
      <c r="BE345">
        <v>0</v>
      </c>
      <c r="BF345">
        <v>0</v>
      </c>
      <c r="BG345">
        <v>0</v>
      </c>
      <c r="BH345">
        <v>1</v>
      </c>
      <c r="BI345">
        <v>1.6</v>
      </c>
      <c r="BJ345">
        <v>6.3</v>
      </c>
      <c r="BK345">
        <v>7</v>
      </c>
      <c r="BL345">
        <v>169.72</v>
      </c>
      <c r="BM345">
        <v>25.46</v>
      </c>
      <c r="BN345">
        <v>195.18</v>
      </c>
      <c r="BO345">
        <v>195.18</v>
      </c>
      <c r="BQ345" t="s">
        <v>195</v>
      </c>
      <c r="BR345" t="s">
        <v>82</v>
      </c>
      <c r="BS345" s="3">
        <v>44602</v>
      </c>
      <c r="BT345" s="4">
        <v>0.42083333333333334</v>
      </c>
      <c r="BU345" t="s">
        <v>1119</v>
      </c>
      <c r="BV345" t="s">
        <v>101</v>
      </c>
      <c r="BY345">
        <v>31620</v>
      </c>
      <c r="CA345" t="s">
        <v>1120</v>
      </c>
      <c r="CC345" t="s">
        <v>193</v>
      </c>
      <c r="CD345">
        <v>2515</v>
      </c>
      <c r="CE345" t="s">
        <v>130</v>
      </c>
      <c r="CF345" s="3">
        <v>44603</v>
      </c>
      <c r="CI345">
        <v>2</v>
      </c>
      <c r="CJ345">
        <v>2</v>
      </c>
      <c r="CK345">
        <v>43</v>
      </c>
      <c r="CL345" t="s">
        <v>84</v>
      </c>
    </row>
    <row r="346" spans="1:90" x14ac:dyDescent="0.25">
      <c r="A346" t="s">
        <v>72</v>
      </c>
      <c r="B346" t="s">
        <v>73</v>
      </c>
      <c r="C346" t="s">
        <v>74</v>
      </c>
      <c r="E346" t="str">
        <f>"GAB2008158"</f>
        <v>GAB2008158</v>
      </c>
      <c r="F346" s="3">
        <v>44600</v>
      </c>
      <c r="G346">
        <v>202208</v>
      </c>
      <c r="H346" t="s">
        <v>75</v>
      </c>
      <c r="I346" t="s">
        <v>76</v>
      </c>
      <c r="J346" t="s">
        <v>77</v>
      </c>
      <c r="K346" t="s">
        <v>78</v>
      </c>
      <c r="L346" t="s">
        <v>153</v>
      </c>
      <c r="M346" t="s">
        <v>154</v>
      </c>
      <c r="N346" t="s">
        <v>1121</v>
      </c>
      <c r="O346" t="s">
        <v>80</v>
      </c>
      <c r="P346" t="str">
        <f>"ATT: RETIREMENT DEPARTMENT    "</f>
        <v xml:space="preserve">ATT: RETIREMENT DEPARTMENT    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20.95</v>
      </c>
      <c r="AL346">
        <v>0</v>
      </c>
      <c r="AM346">
        <v>0</v>
      </c>
      <c r="AN346">
        <v>0</v>
      </c>
      <c r="AO346">
        <v>0</v>
      </c>
      <c r="AP346">
        <v>0</v>
      </c>
      <c r="AQ346">
        <v>15</v>
      </c>
      <c r="AR346">
        <v>0</v>
      </c>
      <c r="AS346">
        <v>0</v>
      </c>
      <c r="AT346">
        <v>0</v>
      </c>
      <c r="AU346">
        <v>0</v>
      </c>
      <c r="AV346">
        <v>0</v>
      </c>
      <c r="AW346">
        <v>0</v>
      </c>
      <c r="AX346">
        <v>0</v>
      </c>
      <c r="AY346">
        <v>0</v>
      </c>
      <c r="AZ346">
        <v>0</v>
      </c>
      <c r="BA346">
        <v>0</v>
      </c>
      <c r="BB346">
        <v>0</v>
      </c>
      <c r="BC346">
        <v>0</v>
      </c>
      <c r="BD346">
        <v>0</v>
      </c>
      <c r="BE346">
        <v>0</v>
      </c>
      <c r="BF346">
        <v>0</v>
      </c>
      <c r="BG346">
        <v>0</v>
      </c>
      <c r="BH346">
        <v>1</v>
      </c>
      <c r="BI346">
        <v>1</v>
      </c>
      <c r="BJ346">
        <v>2.4</v>
      </c>
      <c r="BK346">
        <v>2.5</v>
      </c>
      <c r="BL346">
        <v>90.37</v>
      </c>
      <c r="BM346">
        <v>13.56</v>
      </c>
      <c r="BN346">
        <v>103.93</v>
      </c>
      <c r="BO346">
        <v>103.93</v>
      </c>
      <c r="BQ346" t="s">
        <v>1122</v>
      </c>
      <c r="BR346" t="s">
        <v>82</v>
      </c>
      <c r="BS346" s="3">
        <v>44601</v>
      </c>
      <c r="BT346" s="4">
        <v>0.35347222222222219</v>
      </c>
      <c r="BU346" t="s">
        <v>1123</v>
      </c>
      <c r="BV346" t="s">
        <v>101</v>
      </c>
      <c r="BY346">
        <v>12000</v>
      </c>
      <c r="BZ346" t="s">
        <v>121</v>
      </c>
      <c r="CA346" t="s">
        <v>1124</v>
      </c>
      <c r="CC346" t="s">
        <v>154</v>
      </c>
      <c r="CD346">
        <v>2001</v>
      </c>
      <c r="CE346" t="s">
        <v>1125</v>
      </c>
      <c r="CF346" s="3">
        <v>44601</v>
      </c>
      <c r="CI346">
        <v>1</v>
      </c>
      <c r="CJ346">
        <v>1</v>
      </c>
      <c r="CK346">
        <v>21</v>
      </c>
      <c r="CL346" t="s">
        <v>84</v>
      </c>
    </row>
    <row r="347" spans="1:90" x14ac:dyDescent="0.25">
      <c r="A347" t="s">
        <v>72</v>
      </c>
      <c r="B347" t="s">
        <v>73</v>
      </c>
      <c r="C347" t="s">
        <v>74</v>
      </c>
      <c r="E347" t="str">
        <f>"GAB2008154"</f>
        <v>GAB2008154</v>
      </c>
      <c r="F347" s="3">
        <v>44600</v>
      </c>
      <c r="G347">
        <v>202208</v>
      </c>
      <c r="H347" t="s">
        <v>75</v>
      </c>
      <c r="I347" t="s">
        <v>76</v>
      </c>
      <c r="J347" t="s">
        <v>77</v>
      </c>
      <c r="K347" t="s">
        <v>78</v>
      </c>
      <c r="L347" t="s">
        <v>153</v>
      </c>
      <c r="M347" t="s">
        <v>154</v>
      </c>
      <c r="N347" t="s">
        <v>1126</v>
      </c>
      <c r="O347" t="s">
        <v>80</v>
      </c>
      <c r="P347" t="str">
        <f>"CT071843                      "</f>
        <v xml:space="preserve">CT071843                      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20.95</v>
      </c>
      <c r="AL347">
        <v>0</v>
      </c>
      <c r="AM347">
        <v>0</v>
      </c>
      <c r="AN347">
        <v>0</v>
      </c>
      <c r="AO347">
        <v>0</v>
      </c>
      <c r="AP347">
        <v>0</v>
      </c>
      <c r="AQ347">
        <v>15</v>
      </c>
      <c r="AR347">
        <v>0</v>
      </c>
      <c r="AS347">
        <v>0</v>
      </c>
      <c r="AT347">
        <v>0</v>
      </c>
      <c r="AU347">
        <v>0</v>
      </c>
      <c r="AV347">
        <v>0</v>
      </c>
      <c r="AW347">
        <v>0</v>
      </c>
      <c r="AX347">
        <v>0</v>
      </c>
      <c r="AY347">
        <v>0</v>
      </c>
      <c r="AZ347">
        <v>0</v>
      </c>
      <c r="BA347">
        <v>0</v>
      </c>
      <c r="BB347">
        <v>0</v>
      </c>
      <c r="BC347">
        <v>0</v>
      </c>
      <c r="BD347">
        <v>0</v>
      </c>
      <c r="BE347">
        <v>0</v>
      </c>
      <c r="BF347">
        <v>0</v>
      </c>
      <c r="BG347">
        <v>0</v>
      </c>
      <c r="BH347">
        <v>1</v>
      </c>
      <c r="BI347">
        <v>0.1</v>
      </c>
      <c r="BJ347">
        <v>2.2000000000000002</v>
      </c>
      <c r="BK347">
        <v>2.5</v>
      </c>
      <c r="BL347">
        <v>90.37</v>
      </c>
      <c r="BM347">
        <v>13.56</v>
      </c>
      <c r="BN347">
        <v>103.93</v>
      </c>
      <c r="BO347">
        <v>103.93</v>
      </c>
      <c r="BQ347" t="s">
        <v>1127</v>
      </c>
      <c r="BR347" t="s">
        <v>82</v>
      </c>
      <c r="BS347" s="3">
        <v>44601</v>
      </c>
      <c r="BT347" s="4">
        <v>0.38055555555555554</v>
      </c>
      <c r="BU347" t="s">
        <v>1128</v>
      </c>
      <c r="BV347" t="s">
        <v>101</v>
      </c>
      <c r="BY347">
        <v>11189.5</v>
      </c>
      <c r="BZ347" t="s">
        <v>121</v>
      </c>
      <c r="CA347" t="s">
        <v>452</v>
      </c>
      <c r="CC347" t="s">
        <v>154</v>
      </c>
      <c r="CD347">
        <v>2001</v>
      </c>
      <c r="CE347" t="s">
        <v>152</v>
      </c>
      <c r="CF347" s="3">
        <v>44601</v>
      </c>
      <c r="CI347">
        <v>1</v>
      </c>
      <c r="CJ347">
        <v>1</v>
      </c>
      <c r="CK347">
        <v>21</v>
      </c>
      <c r="CL347" t="s">
        <v>84</v>
      </c>
    </row>
    <row r="348" spans="1:90" x14ac:dyDescent="0.25">
      <c r="A348" t="s">
        <v>72</v>
      </c>
      <c r="B348" t="s">
        <v>73</v>
      </c>
      <c r="C348" t="s">
        <v>74</v>
      </c>
      <c r="E348" t="str">
        <f>"GAB2008149"</f>
        <v>GAB2008149</v>
      </c>
      <c r="F348" s="3">
        <v>44600</v>
      </c>
      <c r="G348">
        <v>202208</v>
      </c>
      <c r="H348" t="s">
        <v>75</v>
      </c>
      <c r="I348" t="s">
        <v>76</v>
      </c>
      <c r="J348" t="s">
        <v>77</v>
      </c>
      <c r="K348" t="s">
        <v>78</v>
      </c>
      <c r="L348" t="s">
        <v>165</v>
      </c>
      <c r="M348" t="s">
        <v>166</v>
      </c>
      <c r="N348" t="s">
        <v>423</v>
      </c>
      <c r="O348" t="s">
        <v>80</v>
      </c>
      <c r="P348" t="str">
        <f>"006918                        "</f>
        <v xml:space="preserve">006918                        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0</v>
      </c>
      <c r="AH348">
        <v>0</v>
      </c>
      <c r="AI348">
        <v>0</v>
      </c>
      <c r="AJ348">
        <v>0</v>
      </c>
      <c r="AK348">
        <v>25.14</v>
      </c>
      <c r="AL348">
        <v>0</v>
      </c>
      <c r="AM348">
        <v>0</v>
      </c>
      <c r="AN348">
        <v>0</v>
      </c>
      <c r="AO348">
        <v>0</v>
      </c>
      <c r="AP348">
        <v>0</v>
      </c>
      <c r="AQ348">
        <v>0</v>
      </c>
      <c r="AR348">
        <v>0</v>
      </c>
      <c r="AS348">
        <v>0</v>
      </c>
      <c r="AT348">
        <v>0</v>
      </c>
      <c r="AU348">
        <v>0</v>
      </c>
      <c r="AV348">
        <v>0</v>
      </c>
      <c r="AW348">
        <v>0</v>
      </c>
      <c r="AX348">
        <v>0</v>
      </c>
      <c r="AY348">
        <v>0</v>
      </c>
      <c r="AZ348">
        <v>0</v>
      </c>
      <c r="BA348">
        <v>0</v>
      </c>
      <c r="BB348">
        <v>0</v>
      </c>
      <c r="BC348">
        <v>0</v>
      </c>
      <c r="BD348">
        <v>0</v>
      </c>
      <c r="BE348">
        <v>0</v>
      </c>
      <c r="BF348">
        <v>0</v>
      </c>
      <c r="BG348">
        <v>0</v>
      </c>
      <c r="BH348">
        <v>1</v>
      </c>
      <c r="BI348">
        <v>0.2</v>
      </c>
      <c r="BJ348">
        <v>2.9</v>
      </c>
      <c r="BK348">
        <v>3</v>
      </c>
      <c r="BL348">
        <v>90.44</v>
      </c>
      <c r="BM348">
        <v>13.57</v>
      </c>
      <c r="BN348">
        <v>104.01</v>
      </c>
      <c r="BO348">
        <v>104.01</v>
      </c>
      <c r="BQ348" t="s">
        <v>1129</v>
      </c>
      <c r="BR348" t="s">
        <v>82</v>
      </c>
      <c r="BS348" s="3">
        <v>44601</v>
      </c>
      <c r="BT348" s="4">
        <v>0.43263888888888885</v>
      </c>
      <c r="BU348" t="s">
        <v>189</v>
      </c>
      <c r="BV348" t="s">
        <v>101</v>
      </c>
      <c r="BY348">
        <v>14387.1</v>
      </c>
      <c r="BZ348" t="s">
        <v>87</v>
      </c>
      <c r="CA348" t="s">
        <v>426</v>
      </c>
      <c r="CC348" t="s">
        <v>166</v>
      </c>
      <c r="CD348">
        <v>2</v>
      </c>
      <c r="CE348" t="s">
        <v>288</v>
      </c>
      <c r="CF348" s="3">
        <v>44601</v>
      </c>
      <c r="CI348">
        <v>1</v>
      </c>
      <c r="CJ348">
        <v>1</v>
      </c>
      <c r="CK348">
        <v>21</v>
      </c>
      <c r="CL348" t="s">
        <v>84</v>
      </c>
    </row>
    <row r="349" spans="1:90" x14ac:dyDescent="0.25">
      <c r="A349" t="s">
        <v>72</v>
      </c>
      <c r="B349" t="s">
        <v>73</v>
      </c>
      <c r="C349" t="s">
        <v>74</v>
      </c>
      <c r="E349" t="str">
        <f>"GAB2008153"</f>
        <v>GAB2008153</v>
      </c>
      <c r="F349" s="3">
        <v>44600</v>
      </c>
      <c r="G349">
        <v>202208</v>
      </c>
      <c r="H349" t="s">
        <v>75</v>
      </c>
      <c r="I349" t="s">
        <v>76</v>
      </c>
      <c r="J349" t="s">
        <v>77</v>
      </c>
      <c r="K349" t="s">
        <v>78</v>
      </c>
      <c r="L349" t="s">
        <v>282</v>
      </c>
      <c r="M349" t="s">
        <v>283</v>
      </c>
      <c r="N349" t="s">
        <v>941</v>
      </c>
      <c r="O349" t="s">
        <v>80</v>
      </c>
      <c r="P349" t="str">
        <f>"CT071824                      "</f>
        <v xml:space="preserve">CT071824                      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0</v>
      </c>
      <c r="AH349">
        <v>0</v>
      </c>
      <c r="AI349">
        <v>0</v>
      </c>
      <c r="AJ349">
        <v>0</v>
      </c>
      <c r="AK349">
        <v>47.15</v>
      </c>
      <c r="AL349">
        <v>0</v>
      </c>
      <c r="AM349">
        <v>0</v>
      </c>
      <c r="AN349">
        <v>0</v>
      </c>
      <c r="AO349">
        <v>0</v>
      </c>
      <c r="AP349">
        <v>0</v>
      </c>
      <c r="AQ349">
        <v>0</v>
      </c>
      <c r="AR349">
        <v>0</v>
      </c>
      <c r="AS349">
        <v>0</v>
      </c>
      <c r="AT349">
        <v>0</v>
      </c>
      <c r="AU349">
        <v>0</v>
      </c>
      <c r="AV349">
        <v>0</v>
      </c>
      <c r="AW349">
        <v>0</v>
      </c>
      <c r="AX349">
        <v>0</v>
      </c>
      <c r="AY349">
        <v>0</v>
      </c>
      <c r="AZ349">
        <v>0</v>
      </c>
      <c r="BA349">
        <v>0</v>
      </c>
      <c r="BB349">
        <v>0</v>
      </c>
      <c r="BC349">
        <v>0</v>
      </c>
      <c r="BD349">
        <v>0</v>
      </c>
      <c r="BE349">
        <v>0</v>
      </c>
      <c r="BF349">
        <v>0</v>
      </c>
      <c r="BG349">
        <v>0</v>
      </c>
      <c r="BH349">
        <v>1</v>
      </c>
      <c r="BI349">
        <v>0.2</v>
      </c>
      <c r="BJ349">
        <v>3</v>
      </c>
      <c r="BK349">
        <v>3</v>
      </c>
      <c r="BL349">
        <v>169.61</v>
      </c>
      <c r="BM349">
        <v>25.44</v>
      </c>
      <c r="BN349">
        <v>195.05</v>
      </c>
      <c r="BO349">
        <v>195.05</v>
      </c>
      <c r="BQ349" t="s">
        <v>942</v>
      </c>
      <c r="BR349" t="s">
        <v>82</v>
      </c>
      <c r="BS349" s="3">
        <v>44601</v>
      </c>
      <c r="BT349" s="4">
        <v>0.42152777777777778</v>
      </c>
      <c r="BU349" t="s">
        <v>1130</v>
      </c>
      <c r="BV349" t="s">
        <v>101</v>
      </c>
      <c r="BY349">
        <v>14967.48</v>
      </c>
      <c r="BZ349" t="s">
        <v>87</v>
      </c>
      <c r="CA349" t="s">
        <v>1089</v>
      </c>
      <c r="CC349" t="s">
        <v>283</v>
      </c>
      <c r="CD349">
        <v>300</v>
      </c>
      <c r="CE349" t="s">
        <v>288</v>
      </c>
      <c r="CF349" s="3">
        <v>44601</v>
      </c>
      <c r="CI349">
        <v>1</v>
      </c>
      <c r="CJ349">
        <v>1</v>
      </c>
      <c r="CK349">
        <v>23</v>
      </c>
      <c r="CL349" t="s">
        <v>84</v>
      </c>
    </row>
    <row r="350" spans="1:90" x14ac:dyDescent="0.25">
      <c r="A350" t="s">
        <v>72</v>
      </c>
      <c r="B350" t="s">
        <v>73</v>
      </c>
      <c r="C350" t="s">
        <v>74</v>
      </c>
      <c r="E350" t="str">
        <f>"GAB2008209"</f>
        <v>GAB2008209</v>
      </c>
      <c r="F350" s="3">
        <v>44601</v>
      </c>
      <c r="G350">
        <v>202208</v>
      </c>
      <c r="H350" t="s">
        <v>75</v>
      </c>
      <c r="I350" t="s">
        <v>76</v>
      </c>
      <c r="J350" t="s">
        <v>77</v>
      </c>
      <c r="K350" t="s">
        <v>78</v>
      </c>
      <c r="L350" t="s">
        <v>202</v>
      </c>
      <c r="M350" t="s">
        <v>203</v>
      </c>
      <c r="N350" t="s">
        <v>294</v>
      </c>
      <c r="O350" t="s">
        <v>80</v>
      </c>
      <c r="P350" t="str">
        <f>"006954                        "</f>
        <v xml:space="preserve">006954                        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0</v>
      </c>
      <c r="AH350">
        <v>0</v>
      </c>
      <c r="AI350">
        <v>0</v>
      </c>
      <c r="AJ350">
        <v>0</v>
      </c>
      <c r="AK350">
        <v>20.95</v>
      </c>
      <c r="AL350">
        <v>0</v>
      </c>
      <c r="AM350">
        <v>0</v>
      </c>
      <c r="AN350">
        <v>0</v>
      </c>
      <c r="AO350">
        <v>0</v>
      </c>
      <c r="AP350">
        <v>0</v>
      </c>
      <c r="AQ350">
        <v>0</v>
      </c>
      <c r="AR350">
        <v>0</v>
      </c>
      <c r="AS350">
        <v>0</v>
      </c>
      <c r="AT350">
        <v>0</v>
      </c>
      <c r="AU350">
        <v>0</v>
      </c>
      <c r="AV350">
        <v>0</v>
      </c>
      <c r="AW350">
        <v>0</v>
      </c>
      <c r="AX350">
        <v>0</v>
      </c>
      <c r="AY350">
        <v>0</v>
      </c>
      <c r="AZ350">
        <v>0</v>
      </c>
      <c r="BA350">
        <v>0</v>
      </c>
      <c r="BB350">
        <v>0</v>
      </c>
      <c r="BC350">
        <v>0</v>
      </c>
      <c r="BD350">
        <v>0</v>
      </c>
      <c r="BE350">
        <v>0</v>
      </c>
      <c r="BF350">
        <v>0</v>
      </c>
      <c r="BG350">
        <v>0</v>
      </c>
      <c r="BH350">
        <v>1</v>
      </c>
      <c r="BI350">
        <v>0.3</v>
      </c>
      <c r="BJ350">
        <v>2.5</v>
      </c>
      <c r="BK350">
        <v>2.5</v>
      </c>
      <c r="BL350">
        <v>75.37</v>
      </c>
      <c r="BM350">
        <v>11.31</v>
      </c>
      <c r="BN350">
        <v>86.68</v>
      </c>
      <c r="BO350">
        <v>86.68</v>
      </c>
      <c r="BQ350" t="s">
        <v>688</v>
      </c>
      <c r="BR350" t="s">
        <v>82</v>
      </c>
      <c r="BS350" s="3">
        <v>44602</v>
      </c>
      <c r="BT350" s="4">
        <v>0.38680555555555557</v>
      </c>
      <c r="BU350" t="s">
        <v>1131</v>
      </c>
      <c r="BV350" t="s">
        <v>101</v>
      </c>
      <c r="BY350">
        <v>12346.88</v>
      </c>
      <c r="BZ350" t="s">
        <v>87</v>
      </c>
      <c r="CA350" t="s">
        <v>297</v>
      </c>
      <c r="CC350" t="s">
        <v>203</v>
      </c>
      <c r="CD350">
        <v>1709</v>
      </c>
      <c r="CE350" t="s">
        <v>281</v>
      </c>
      <c r="CF350" s="3">
        <v>44603</v>
      </c>
      <c r="CI350">
        <v>1</v>
      </c>
      <c r="CJ350">
        <v>1</v>
      </c>
      <c r="CK350">
        <v>21</v>
      </c>
      <c r="CL350" t="s">
        <v>84</v>
      </c>
    </row>
    <row r="351" spans="1:90" x14ac:dyDescent="0.25">
      <c r="A351" t="s">
        <v>72</v>
      </c>
      <c r="B351" t="s">
        <v>73</v>
      </c>
      <c r="C351" t="s">
        <v>74</v>
      </c>
      <c r="E351" t="str">
        <f>"GAB2008199"</f>
        <v>GAB2008199</v>
      </c>
      <c r="F351" s="3">
        <v>44601</v>
      </c>
      <c r="G351">
        <v>202208</v>
      </c>
      <c r="H351" t="s">
        <v>75</v>
      </c>
      <c r="I351" t="s">
        <v>76</v>
      </c>
      <c r="J351" t="s">
        <v>77</v>
      </c>
      <c r="K351" t="s">
        <v>78</v>
      </c>
      <c r="L351" t="s">
        <v>761</v>
      </c>
      <c r="M351" t="s">
        <v>762</v>
      </c>
      <c r="N351" t="s">
        <v>1132</v>
      </c>
      <c r="O351" t="s">
        <v>125</v>
      </c>
      <c r="P351" t="str">
        <f>"CT071655                      "</f>
        <v xml:space="preserve">CT071655                      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0</v>
      </c>
      <c r="AH351">
        <v>0</v>
      </c>
      <c r="AI351">
        <v>0</v>
      </c>
      <c r="AJ351">
        <v>0</v>
      </c>
      <c r="AK351">
        <v>32.42</v>
      </c>
      <c r="AL351">
        <v>0</v>
      </c>
      <c r="AM351">
        <v>0</v>
      </c>
      <c r="AN351">
        <v>0</v>
      </c>
      <c r="AO351">
        <v>0</v>
      </c>
      <c r="AP351">
        <v>0</v>
      </c>
      <c r="AQ351">
        <v>0</v>
      </c>
      <c r="AR351">
        <v>0</v>
      </c>
      <c r="AS351">
        <v>0</v>
      </c>
      <c r="AT351">
        <v>0</v>
      </c>
      <c r="AU351">
        <v>0</v>
      </c>
      <c r="AV351">
        <v>0</v>
      </c>
      <c r="AW351">
        <v>0</v>
      </c>
      <c r="AX351">
        <v>0</v>
      </c>
      <c r="AY351">
        <v>0</v>
      </c>
      <c r="AZ351">
        <v>0</v>
      </c>
      <c r="BA351">
        <v>0</v>
      </c>
      <c r="BB351">
        <v>0</v>
      </c>
      <c r="BC351">
        <v>0</v>
      </c>
      <c r="BD351">
        <v>0</v>
      </c>
      <c r="BE351">
        <v>0</v>
      </c>
      <c r="BF351">
        <v>0</v>
      </c>
      <c r="BG351">
        <v>0</v>
      </c>
      <c r="BH351">
        <v>1</v>
      </c>
      <c r="BI351">
        <v>2.2999999999999998</v>
      </c>
      <c r="BJ351">
        <v>7.1</v>
      </c>
      <c r="BK351">
        <v>8</v>
      </c>
      <c r="BL351">
        <v>121.87</v>
      </c>
      <c r="BM351">
        <v>18.28</v>
      </c>
      <c r="BN351">
        <v>140.15</v>
      </c>
      <c r="BO351">
        <v>140.15</v>
      </c>
      <c r="BQ351" t="s">
        <v>301</v>
      </c>
      <c r="BR351" t="s">
        <v>82</v>
      </c>
      <c r="BS351" s="3">
        <v>44603</v>
      </c>
      <c r="BT351" s="4">
        <v>0.5083333333333333</v>
      </c>
      <c r="BU351" t="s">
        <v>1133</v>
      </c>
      <c r="BV351" t="s">
        <v>101</v>
      </c>
      <c r="BY351">
        <v>35275.5</v>
      </c>
      <c r="CA351" t="s">
        <v>1134</v>
      </c>
      <c r="CC351" t="s">
        <v>762</v>
      </c>
      <c r="CD351">
        <v>9301</v>
      </c>
      <c r="CE351" t="s">
        <v>130</v>
      </c>
      <c r="CF351" s="3">
        <v>44606</v>
      </c>
      <c r="CI351">
        <v>3</v>
      </c>
      <c r="CJ351">
        <v>2</v>
      </c>
      <c r="CK351">
        <v>41</v>
      </c>
      <c r="CL351" t="s">
        <v>84</v>
      </c>
    </row>
    <row r="352" spans="1:90" x14ac:dyDescent="0.25">
      <c r="A352" t="s">
        <v>72</v>
      </c>
      <c r="B352" t="s">
        <v>73</v>
      </c>
      <c r="C352" t="s">
        <v>74</v>
      </c>
      <c r="E352" t="str">
        <f>"GAB2008203"</f>
        <v>GAB2008203</v>
      </c>
      <c r="F352" s="3">
        <v>44601</v>
      </c>
      <c r="G352">
        <v>202208</v>
      </c>
      <c r="H352" t="s">
        <v>75</v>
      </c>
      <c r="I352" t="s">
        <v>76</v>
      </c>
      <c r="J352" t="s">
        <v>77</v>
      </c>
      <c r="K352" t="s">
        <v>78</v>
      </c>
      <c r="L352" t="s">
        <v>123</v>
      </c>
      <c r="M352" t="s">
        <v>124</v>
      </c>
      <c r="N352" t="s">
        <v>220</v>
      </c>
      <c r="O352" t="s">
        <v>80</v>
      </c>
      <c r="P352" t="str">
        <f>"ATT:HALEY MARSDEN             "</f>
        <v xml:space="preserve">ATT:HALEY MARSDEN             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0</v>
      </c>
      <c r="AH352">
        <v>0</v>
      </c>
      <c r="AI352">
        <v>0</v>
      </c>
      <c r="AJ352">
        <v>0</v>
      </c>
      <c r="AK352">
        <v>20.95</v>
      </c>
      <c r="AL352">
        <v>0</v>
      </c>
      <c r="AM352">
        <v>0</v>
      </c>
      <c r="AN352">
        <v>0</v>
      </c>
      <c r="AO352">
        <v>0</v>
      </c>
      <c r="AP352">
        <v>0</v>
      </c>
      <c r="AQ352">
        <v>0</v>
      </c>
      <c r="AR352">
        <v>0</v>
      </c>
      <c r="AS352">
        <v>0</v>
      </c>
      <c r="AT352">
        <v>0</v>
      </c>
      <c r="AU352">
        <v>0</v>
      </c>
      <c r="AV352">
        <v>0</v>
      </c>
      <c r="AW352">
        <v>0</v>
      </c>
      <c r="AX352">
        <v>0</v>
      </c>
      <c r="AY352">
        <v>0</v>
      </c>
      <c r="AZ352">
        <v>0</v>
      </c>
      <c r="BA352">
        <v>0</v>
      </c>
      <c r="BB352">
        <v>0</v>
      </c>
      <c r="BC352">
        <v>0</v>
      </c>
      <c r="BD352">
        <v>0</v>
      </c>
      <c r="BE352">
        <v>0</v>
      </c>
      <c r="BF352">
        <v>0</v>
      </c>
      <c r="BG352">
        <v>0</v>
      </c>
      <c r="BH352">
        <v>1</v>
      </c>
      <c r="BI352">
        <v>0.1</v>
      </c>
      <c r="BJ352">
        <v>2.2000000000000002</v>
      </c>
      <c r="BK352">
        <v>2.5</v>
      </c>
      <c r="BL352">
        <v>75.37</v>
      </c>
      <c r="BM352">
        <v>11.31</v>
      </c>
      <c r="BN352">
        <v>86.68</v>
      </c>
      <c r="BO352">
        <v>86.68</v>
      </c>
      <c r="BQ352" t="s">
        <v>685</v>
      </c>
      <c r="BR352" t="s">
        <v>82</v>
      </c>
      <c r="BS352" s="3">
        <v>44602</v>
      </c>
      <c r="BT352" s="4">
        <v>0.5625</v>
      </c>
      <c r="BU352" t="s">
        <v>1041</v>
      </c>
      <c r="BV352" t="s">
        <v>84</v>
      </c>
      <c r="BW352" t="s">
        <v>85</v>
      </c>
      <c r="BX352" t="s">
        <v>392</v>
      </c>
      <c r="BY352">
        <v>10884.15</v>
      </c>
      <c r="BZ352" t="s">
        <v>87</v>
      </c>
      <c r="CA352" t="s">
        <v>223</v>
      </c>
      <c r="CC352" t="s">
        <v>124</v>
      </c>
      <c r="CD352">
        <v>6001</v>
      </c>
      <c r="CE352" t="s">
        <v>700</v>
      </c>
      <c r="CF352" s="3">
        <v>44603</v>
      </c>
      <c r="CI352">
        <v>1</v>
      </c>
      <c r="CJ352">
        <v>1</v>
      </c>
      <c r="CK352">
        <v>21</v>
      </c>
      <c r="CL352" t="s">
        <v>84</v>
      </c>
    </row>
    <row r="353" spans="1:90" x14ac:dyDescent="0.25">
      <c r="A353" t="s">
        <v>72</v>
      </c>
      <c r="B353" t="s">
        <v>73</v>
      </c>
      <c r="C353" t="s">
        <v>74</v>
      </c>
      <c r="E353" t="str">
        <f>"GAB2008205"</f>
        <v>GAB2008205</v>
      </c>
      <c r="F353" s="3">
        <v>44601</v>
      </c>
      <c r="G353">
        <v>202208</v>
      </c>
      <c r="H353" t="s">
        <v>75</v>
      </c>
      <c r="I353" t="s">
        <v>76</v>
      </c>
      <c r="J353" t="s">
        <v>77</v>
      </c>
      <c r="K353" t="s">
        <v>78</v>
      </c>
      <c r="L353" t="s">
        <v>165</v>
      </c>
      <c r="M353" t="s">
        <v>166</v>
      </c>
      <c r="N353" t="s">
        <v>1135</v>
      </c>
      <c r="O353" t="s">
        <v>125</v>
      </c>
      <c r="P353" t="str">
        <f>"CT071805                      "</f>
        <v xml:space="preserve">CT071805                      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0</v>
      </c>
      <c r="AH353">
        <v>0</v>
      </c>
      <c r="AI353">
        <v>0</v>
      </c>
      <c r="AJ353">
        <v>0</v>
      </c>
      <c r="AK353">
        <v>32.42</v>
      </c>
      <c r="AL353">
        <v>0</v>
      </c>
      <c r="AM353">
        <v>0</v>
      </c>
      <c r="AN353">
        <v>0</v>
      </c>
      <c r="AO353">
        <v>0</v>
      </c>
      <c r="AP353">
        <v>0</v>
      </c>
      <c r="AQ353">
        <v>0</v>
      </c>
      <c r="AR353">
        <v>0</v>
      </c>
      <c r="AS353">
        <v>0</v>
      </c>
      <c r="AT353">
        <v>0</v>
      </c>
      <c r="AU353">
        <v>0</v>
      </c>
      <c r="AV353">
        <v>0</v>
      </c>
      <c r="AW353">
        <v>0</v>
      </c>
      <c r="AX353">
        <v>0</v>
      </c>
      <c r="AY353">
        <v>0</v>
      </c>
      <c r="AZ353">
        <v>0</v>
      </c>
      <c r="BA353">
        <v>0</v>
      </c>
      <c r="BB353">
        <v>0</v>
      </c>
      <c r="BC353">
        <v>0</v>
      </c>
      <c r="BD353">
        <v>0</v>
      </c>
      <c r="BE353">
        <v>0</v>
      </c>
      <c r="BF353">
        <v>0</v>
      </c>
      <c r="BG353">
        <v>0</v>
      </c>
      <c r="BH353">
        <v>1</v>
      </c>
      <c r="BI353">
        <v>1</v>
      </c>
      <c r="BJ353">
        <v>3.6</v>
      </c>
      <c r="BK353">
        <v>4</v>
      </c>
      <c r="BL353">
        <v>121.87</v>
      </c>
      <c r="BM353">
        <v>18.28</v>
      </c>
      <c r="BN353">
        <v>140.15</v>
      </c>
      <c r="BO353">
        <v>140.15</v>
      </c>
      <c r="BQ353" t="s">
        <v>1136</v>
      </c>
      <c r="BR353" t="s">
        <v>82</v>
      </c>
      <c r="BS353" s="3">
        <v>44607</v>
      </c>
      <c r="BT353" s="4">
        <v>0.40833333333333338</v>
      </c>
      <c r="BU353" t="s">
        <v>1137</v>
      </c>
      <c r="BV353" t="s">
        <v>84</v>
      </c>
      <c r="BW353" t="s">
        <v>801</v>
      </c>
      <c r="BX353" t="s">
        <v>766</v>
      </c>
      <c r="BY353">
        <v>18005.330000000002</v>
      </c>
      <c r="CA353" t="s">
        <v>1138</v>
      </c>
      <c r="CC353" t="s">
        <v>166</v>
      </c>
      <c r="CD353">
        <v>2</v>
      </c>
      <c r="CE353" t="s">
        <v>130</v>
      </c>
      <c r="CF353" s="3">
        <v>44607</v>
      </c>
      <c r="CI353">
        <v>2</v>
      </c>
      <c r="CJ353">
        <v>4</v>
      </c>
      <c r="CK353">
        <v>41</v>
      </c>
      <c r="CL353" t="s">
        <v>84</v>
      </c>
    </row>
    <row r="354" spans="1:90" x14ac:dyDescent="0.25">
      <c r="A354" t="s">
        <v>72</v>
      </c>
      <c r="B354" t="s">
        <v>73</v>
      </c>
      <c r="C354" t="s">
        <v>74</v>
      </c>
      <c r="E354" t="str">
        <f>"GAB2008201"</f>
        <v>GAB2008201</v>
      </c>
      <c r="F354" s="3">
        <v>44601</v>
      </c>
      <c r="G354">
        <v>202208</v>
      </c>
      <c r="H354" t="s">
        <v>75</v>
      </c>
      <c r="I354" t="s">
        <v>76</v>
      </c>
      <c r="J354" t="s">
        <v>77</v>
      </c>
      <c r="K354" t="s">
        <v>78</v>
      </c>
      <c r="L354" t="s">
        <v>75</v>
      </c>
      <c r="M354" t="s">
        <v>76</v>
      </c>
      <c r="N354" t="s">
        <v>104</v>
      </c>
      <c r="O354" t="s">
        <v>80</v>
      </c>
      <c r="P354" t="str">
        <f>"CT071887 CT071885 CT071886    "</f>
        <v xml:space="preserve">CT071887 CT071885 CT071886    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0</v>
      </c>
      <c r="AH354">
        <v>0</v>
      </c>
      <c r="AI354">
        <v>0</v>
      </c>
      <c r="AJ354">
        <v>0</v>
      </c>
      <c r="AK354">
        <v>13.09</v>
      </c>
      <c r="AL354">
        <v>0</v>
      </c>
      <c r="AM354">
        <v>0</v>
      </c>
      <c r="AN354">
        <v>0</v>
      </c>
      <c r="AO354">
        <v>0</v>
      </c>
      <c r="AP354">
        <v>0</v>
      </c>
      <c r="AQ354">
        <v>0</v>
      </c>
      <c r="AR354">
        <v>0</v>
      </c>
      <c r="AS354">
        <v>0</v>
      </c>
      <c r="AT354">
        <v>0</v>
      </c>
      <c r="AU354">
        <v>0</v>
      </c>
      <c r="AV354">
        <v>0</v>
      </c>
      <c r="AW354">
        <v>0</v>
      </c>
      <c r="AX354">
        <v>0</v>
      </c>
      <c r="AY354">
        <v>0</v>
      </c>
      <c r="AZ354">
        <v>0</v>
      </c>
      <c r="BA354">
        <v>0</v>
      </c>
      <c r="BB354">
        <v>0</v>
      </c>
      <c r="BC354">
        <v>0</v>
      </c>
      <c r="BD354">
        <v>0</v>
      </c>
      <c r="BE354">
        <v>0</v>
      </c>
      <c r="BF354">
        <v>0</v>
      </c>
      <c r="BG354">
        <v>0</v>
      </c>
      <c r="BH354">
        <v>1</v>
      </c>
      <c r="BI354">
        <v>1.6</v>
      </c>
      <c r="BJ354">
        <v>6.3</v>
      </c>
      <c r="BK354">
        <v>6.5</v>
      </c>
      <c r="BL354">
        <v>47.1</v>
      </c>
      <c r="BM354">
        <v>7.07</v>
      </c>
      <c r="BN354">
        <v>54.17</v>
      </c>
      <c r="BO354">
        <v>54.17</v>
      </c>
      <c r="BQ354" t="s">
        <v>105</v>
      </c>
      <c r="BR354" t="s">
        <v>82</v>
      </c>
      <c r="BS354" s="3">
        <v>44602</v>
      </c>
      <c r="BT354" s="4">
        <v>0.40833333333333338</v>
      </c>
      <c r="BU354" t="s">
        <v>813</v>
      </c>
      <c r="BV354" t="s">
        <v>101</v>
      </c>
      <c r="BY354">
        <v>31676.26</v>
      </c>
      <c r="BZ354" t="s">
        <v>87</v>
      </c>
      <c r="CA354" t="s">
        <v>814</v>
      </c>
      <c r="CC354" t="s">
        <v>76</v>
      </c>
      <c r="CD354">
        <v>7441</v>
      </c>
      <c r="CE354" t="s">
        <v>1139</v>
      </c>
      <c r="CF354" s="3">
        <v>44603</v>
      </c>
      <c r="CI354">
        <v>1</v>
      </c>
      <c r="CJ354">
        <v>1</v>
      </c>
      <c r="CK354">
        <v>22</v>
      </c>
      <c r="CL354" t="s">
        <v>84</v>
      </c>
    </row>
    <row r="355" spans="1:90" x14ac:dyDescent="0.25">
      <c r="A355" t="s">
        <v>72</v>
      </c>
      <c r="B355" t="s">
        <v>73</v>
      </c>
      <c r="C355" t="s">
        <v>74</v>
      </c>
      <c r="E355" t="str">
        <f>"GAB2008196"</f>
        <v>GAB2008196</v>
      </c>
      <c r="F355" s="3">
        <v>44601</v>
      </c>
      <c r="G355">
        <v>202208</v>
      </c>
      <c r="H355" t="s">
        <v>75</v>
      </c>
      <c r="I355" t="s">
        <v>76</v>
      </c>
      <c r="J355" t="s">
        <v>77</v>
      </c>
      <c r="K355" t="s">
        <v>78</v>
      </c>
      <c r="L355" t="s">
        <v>815</v>
      </c>
      <c r="M355" t="s">
        <v>816</v>
      </c>
      <c r="N355" t="s">
        <v>1140</v>
      </c>
      <c r="O355" t="s">
        <v>125</v>
      </c>
      <c r="P355" t="str">
        <f>"CT071879                      "</f>
        <v xml:space="preserve">CT071879                      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0</v>
      </c>
      <c r="AH355">
        <v>0</v>
      </c>
      <c r="AI355">
        <v>0</v>
      </c>
      <c r="AJ355">
        <v>0</v>
      </c>
      <c r="AK355">
        <v>45.72</v>
      </c>
      <c r="AL355">
        <v>0</v>
      </c>
      <c r="AM355">
        <v>0</v>
      </c>
      <c r="AN355">
        <v>0</v>
      </c>
      <c r="AO355">
        <v>0</v>
      </c>
      <c r="AP355">
        <v>0</v>
      </c>
      <c r="AQ355">
        <v>0</v>
      </c>
      <c r="AR355">
        <v>0</v>
      </c>
      <c r="AS355">
        <v>0</v>
      </c>
      <c r="AT355">
        <v>0</v>
      </c>
      <c r="AU355">
        <v>0</v>
      </c>
      <c r="AV355">
        <v>0</v>
      </c>
      <c r="AW355">
        <v>0</v>
      </c>
      <c r="AX355">
        <v>0</v>
      </c>
      <c r="AY355">
        <v>0</v>
      </c>
      <c r="AZ355">
        <v>0</v>
      </c>
      <c r="BA355">
        <v>0</v>
      </c>
      <c r="BB355">
        <v>0</v>
      </c>
      <c r="BC355">
        <v>0</v>
      </c>
      <c r="BD355">
        <v>0</v>
      </c>
      <c r="BE355">
        <v>0</v>
      </c>
      <c r="BF355">
        <v>0</v>
      </c>
      <c r="BG355">
        <v>0</v>
      </c>
      <c r="BH355">
        <v>1</v>
      </c>
      <c r="BI355">
        <v>3.9</v>
      </c>
      <c r="BJ355">
        <v>12.9</v>
      </c>
      <c r="BK355">
        <v>13</v>
      </c>
      <c r="BL355">
        <v>169.72</v>
      </c>
      <c r="BM355">
        <v>25.46</v>
      </c>
      <c r="BN355">
        <v>195.18</v>
      </c>
      <c r="BO355">
        <v>195.18</v>
      </c>
      <c r="BQ355" t="s">
        <v>1141</v>
      </c>
      <c r="BR355" t="s">
        <v>82</v>
      </c>
      <c r="BS355" s="3">
        <v>44606</v>
      </c>
      <c r="BT355" s="4">
        <v>0.55555555555555558</v>
      </c>
      <c r="BU355" t="s">
        <v>1142</v>
      </c>
      <c r="BV355" t="s">
        <v>101</v>
      </c>
      <c r="BY355">
        <v>64534.47</v>
      </c>
      <c r="CA355" t="s">
        <v>1143</v>
      </c>
      <c r="CC355" t="s">
        <v>816</v>
      </c>
      <c r="CD355">
        <v>8801</v>
      </c>
      <c r="CE355" t="s">
        <v>130</v>
      </c>
      <c r="CF355" s="3">
        <v>44607</v>
      </c>
      <c r="CI355">
        <v>3</v>
      </c>
      <c r="CJ355">
        <v>3</v>
      </c>
      <c r="CK355">
        <v>43</v>
      </c>
      <c r="CL355" t="s">
        <v>84</v>
      </c>
    </row>
    <row r="356" spans="1:90" x14ac:dyDescent="0.25">
      <c r="A356" t="s">
        <v>72</v>
      </c>
      <c r="B356" t="s">
        <v>73</v>
      </c>
      <c r="C356" t="s">
        <v>74</v>
      </c>
      <c r="E356" t="str">
        <f>"GAB2008188"</f>
        <v>GAB2008188</v>
      </c>
      <c r="F356" s="3">
        <v>44601</v>
      </c>
      <c r="G356">
        <v>202208</v>
      </c>
      <c r="H356" t="s">
        <v>75</v>
      </c>
      <c r="I356" t="s">
        <v>76</v>
      </c>
      <c r="J356" t="s">
        <v>77</v>
      </c>
      <c r="K356" t="s">
        <v>78</v>
      </c>
      <c r="L356" t="s">
        <v>153</v>
      </c>
      <c r="M356" t="s">
        <v>154</v>
      </c>
      <c r="N356" t="s">
        <v>370</v>
      </c>
      <c r="O356" t="s">
        <v>80</v>
      </c>
      <c r="P356" t="str">
        <f>"006947                        "</f>
        <v xml:space="preserve">006947                        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0</v>
      </c>
      <c r="AH356">
        <v>0</v>
      </c>
      <c r="AI356">
        <v>0</v>
      </c>
      <c r="AJ356">
        <v>0</v>
      </c>
      <c r="AK356">
        <v>29.33</v>
      </c>
      <c r="AL356">
        <v>0</v>
      </c>
      <c r="AM356">
        <v>0</v>
      </c>
      <c r="AN356">
        <v>0</v>
      </c>
      <c r="AO356">
        <v>0</v>
      </c>
      <c r="AP356">
        <v>0</v>
      </c>
      <c r="AQ356">
        <v>15</v>
      </c>
      <c r="AR356">
        <v>0</v>
      </c>
      <c r="AS356">
        <v>0</v>
      </c>
      <c r="AT356">
        <v>0</v>
      </c>
      <c r="AU356">
        <v>0</v>
      </c>
      <c r="AV356">
        <v>0</v>
      </c>
      <c r="AW356">
        <v>0</v>
      </c>
      <c r="AX356">
        <v>0</v>
      </c>
      <c r="AY356">
        <v>0</v>
      </c>
      <c r="AZ356">
        <v>0</v>
      </c>
      <c r="BA356">
        <v>0</v>
      </c>
      <c r="BB356">
        <v>0</v>
      </c>
      <c r="BC356">
        <v>0</v>
      </c>
      <c r="BD356">
        <v>0</v>
      </c>
      <c r="BE356">
        <v>0</v>
      </c>
      <c r="BF356">
        <v>0</v>
      </c>
      <c r="BG356">
        <v>0</v>
      </c>
      <c r="BH356">
        <v>1</v>
      </c>
      <c r="BI356">
        <v>0.3</v>
      </c>
      <c r="BJ356">
        <v>3.3</v>
      </c>
      <c r="BK356">
        <v>3.5</v>
      </c>
      <c r="BL356">
        <v>120.51</v>
      </c>
      <c r="BM356">
        <v>18.079999999999998</v>
      </c>
      <c r="BN356">
        <v>138.59</v>
      </c>
      <c r="BO356">
        <v>138.59</v>
      </c>
      <c r="BQ356" t="s">
        <v>371</v>
      </c>
      <c r="BR356" t="s">
        <v>82</v>
      </c>
      <c r="BS356" s="3">
        <v>44602</v>
      </c>
      <c r="BT356" s="4">
        <v>0.36805555555555558</v>
      </c>
      <c r="BU356" t="s">
        <v>1144</v>
      </c>
      <c r="BV356" t="s">
        <v>101</v>
      </c>
      <c r="BY356">
        <v>16594.2</v>
      </c>
      <c r="BZ356" t="s">
        <v>121</v>
      </c>
      <c r="CA356" t="s">
        <v>1145</v>
      </c>
      <c r="CC356" t="s">
        <v>154</v>
      </c>
      <c r="CD356">
        <v>2000</v>
      </c>
      <c r="CE356" t="s">
        <v>108</v>
      </c>
      <c r="CF356" s="3">
        <v>44602</v>
      </c>
      <c r="CI356">
        <v>1</v>
      </c>
      <c r="CJ356">
        <v>1</v>
      </c>
      <c r="CK356">
        <v>21</v>
      </c>
      <c r="CL356" t="s">
        <v>84</v>
      </c>
    </row>
    <row r="357" spans="1:90" x14ac:dyDescent="0.25">
      <c r="A357" t="s">
        <v>72</v>
      </c>
      <c r="B357" t="s">
        <v>73</v>
      </c>
      <c r="C357" t="s">
        <v>74</v>
      </c>
      <c r="E357" t="str">
        <f>"GAB2008206"</f>
        <v>GAB2008206</v>
      </c>
      <c r="F357" s="3">
        <v>44601</v>
      </c>
      <c r="G357">
        <v>202208</v>
      </c>
      <c r="H357" t="s">
        <v>75</v>
      </c>
      <c r="I357" t="s">
        <v>76</v>
      </c>
      <c r="J357" t="s">
        <v>77</v>
      </c>
      <c r="K357" t="s">
        <v>78</v>
      </c>
      <c r="L357" t="s">
        <v>192</v>
      </c>
      <c r="M357" t="s">
        <v>193</v>
      </c>
      <c r="N357" t="s">
        <v>194</v>
      </c>
      <c r="O357" t="s">
        <v>125</v>
      </c>
      <c r="P357" t="str">
        <f>"CT071890                      "</f>
        <v xml:space="preserve">CT071890                      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0</v>
      </c>
      <c r="AH357">
        <v>0</v>
      </c>
      <c r="AI357">
        <v>0</v>
      </c>
      <c r="AJ357">
        <v>0</v>
      </c>
      <c r="AK357">
        <v>45.72</v>
      </c>
      <c r="AL357">
        <v>0</v>
      </c>
      <c r="AM357">
        <v>0</v>
      </c>
      <c r="AN357">
        <v>0</v>
      </c>
      <c r="AO357">
        <v>0</v>
      </c>
      <c r="AP357">
        <v>0</v>
      </c>
      <c r="AQ357">
        <v>0</v>
      </c>
      <c r="AR357">
        <v>0</v>
      </c>
      <c r="AS357">
        <v>0</v>
      </c>
      <c r="AT357">
        <v>0</v>
      </c>
      <c r="AU357">
        <v>0</v>
      </c>
      <c r="AV357">
        <v>0</v>
      </c>
      <c r="AW357">
        <v>0</v>
      </c>
      <c r="AX357">
        <v>0</v>
      </c>
      <c r="AY357">
        <v>0</v>
      </c>
      <c r="AZ357">
        <v>0</v>
      </c>
      <c r="BA357">
        <v>0</v>
      </c>
      <c r="BB357">
        <v>0</v>
      </c>
      <c r="BC357">
        <v>0</v>
      </c>
      <c r="BD357">
        <v>0</v>
      </c>
      <c r="BE357">
        <v>0</v>
      </c>
      <c r="BF357">
        <v>0</v>
      </c>
      <c r="BG357">
        <v>0</v>
      </c>
      <c r="BH357">
        <v>1</v>
      </c>
      <c r="BI357">
        <v>3.8</v>
      </c>
      <c r="BJ357">
        <v>13.5</v>
      </c>
      <c r="BK357">
        <v>14</v>
      </c>
      <c r="BL357">
        <v>169.72</v>
      </c>
      <c r="BM357">
        <v>25.46</v>
      </c>
      <c r="BN357">
        <v>195.18</v>
      </c>
      <c r="BO357">
        <v>195.18</v>
      </c>
      <c r="BQ357" t="s">
        <v>195</v>
      </c>
      <c r="BR357" t="s">
        <v>82</v>
      </c>
      <c r="BS357" s="3">
        <v>44603</v>
      </c>
      <c r="BT357" s="4">
        <v>0.3923611111111111</v>
      </c>
      <c r="BU357" t="s">
        <v>196</v>
      </c>
      <c r="BV357" t="s">
        <v>101</v>
      </c>
      <c r="BY357">
        <v>67371.149999999994</v>
      </c>
      <c r="CA357" t="s">
        <v>197</v>
      </c>
      <c r="CC357" t="s">
        <v>193</v>
      </c>
      <c r="CD357">
        <v>2515</v>
      </c>
      <c r="CE357" t="s">
        <v>130</v>
      </c>
      <c r="CF357" s="3">
        <v>44603</v>
      </c>
      <c r="CI357">
        <v>2</v>
      </c>
      <c r="CJ357">
        <v>2</v>
      </c>
      <c r="CK357">
        <v>43</v>
      </c>
      <c r="CL357" t="s">
        <v>84</v>
      </c>
    </row>
    <row r="358" spans="1:90" x14ac:dyDescent="0.25">
      <c r="A358" t="s">
        <v>72</v>
      </c>
      <c r="B358" t="s">
        <v>73</v>
      </c>
      <c r="C358" t="s">
        <v>74</v>
      </c>
      <c r="E358" t="str">
        <f>"GAB2008187"</f>
        <v>GAB2008187</v>
      </c>
      <c r="F358" s="3">
        <v>44601</v>
      </c>
      <c r="G358">
        <v>202208</v>
      </c>
      <c r="H358" t="s">
        <v>75</v>
      </c>
      <c r="I358" t="s">
        <v>76</v>
      </c>
      <c r="J358" t="s">
        <v>77</v>
      </c>
      <c r="K358" t="s">
        <v>78</v>
      </c>
      <c r="L358" t="s">
        <v>153</v>
      </c>
      <c r="M358" t="s">
        <v>154</v>
      </c>
      <c r="N358" t="s">
        <v>1146</v>
      </c>
      <c r="O358" t="s">
        <v>80</v>
      </c>
      <c r="P358" t="str">
        <f>"CT071872                      "</f>
        <v xml:space="preserve">CT071872                      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0</v>
      </c>
      <c r="AH358">
        <v>0</v>
      </c>
      <c r="AI358">
        <v>0</v>
      </c>
      <c r="AJ358">
        <v>0</v>
      </c>
      <c r="AK358">
        <v>25.14</v>
      </c>
      <c r="AL358">
        <v>0</v>
      </c>
      <c r="AM358">
        <v>0</v>
      </c>
      <c r="AN358">
        <v>0</v>
      </c>
      <c r="AO358">
        <v>0</v>
      </c>
      <c r="AP358">
        <v>0</v>
      </c>
      <c r="AQ358">
        <v>0</v>
      </c>
      <c r="AR358">
        <v>0</v>
      </c>
      <c r="AS358">
        <v>0</v>
      </c>
      <c r="AT358">
        <v>0</v>
      </c>
      <c r="AU358">
        <v>0</v>
      </c>
      <c r="AV358">
        <v>0</v>
      </c>
      <c r="AW358">
        <v>0</v>
      </c>
      <c r="AX358">
        <v>0</v>
      </c>
      <c r="AY358">
        <v>0</v>
      </c>
      <c r="AZ358">
        <v>0</v>
      </c>
      <c r="BA358">
        <v>0</v>
      </c>
      <c r="BB358">
        <v>0</v>
      </c>
      <c r="BC358">
        <v>0</v>
      </c>
      <c r="BD358">
        <v>0</v>
      </c>
      <c r="BE358">
        <v>0</v>
      </c>
      <c r="BF358">
        <v>0</v>
      </c>
      <c r="BG358">
        <v>0</v>
      </c>
      <c r="BH358">
        <v>1</v>
      </c>
      <c r="BI358">
        <v>0.1</v>
      </c>
      <c r="BJ358">
        <v>2.6</v>
      </c>
      <c r="BK358">
        <v>3</v>
      </c>
      <c r="BL358">
        <v>90.44</v>
      </c>
      <c r="BM358">
        <v>13.57</v>
      </c>
      <c r="BN358">
        <v>104.01</v>
      </c>
      <c r="BO358">
        <v>104.01</v>
      </c>
      <c r="BQ358" t="s">
        <v>1147</v>
      </c>
      <c r="BR358" t="s">
        <v>82</v>
      </c>
      <c r="BS358" s="3">
        <v>44602</v>
      </c>
      <c r="BT358" s="4">
        <v>0.36041666666666666</v>
      </c>
      <c r="BU358" t="s">
        <v>1148</v>
      </c>
      <c r="BV358" t="s">
        <v>101</v>
      </c>
      <c r="BY358">
        <v>12841.2</v>
      </c>
      <c r="BZ358" t="s">
        <v>87</v>
      </c>
      <c r="CA358" t="s">
        <v>465</v>
      </c>
      <c r="CC358" t="s">
        <v>154</v>
      </c>
      <c r="CD358">
        <v>2021</v>
      </c>
      <c r="CE358" t="s">
        <v>103</v>
      </c>
      <c r="CF358" s="3">
        <v>44603</v>
      </c>
      <c r="CI358">
        <v>1</v>
      </c>
      <c r="CJ358">
        <v>1</v>
      </c>
      <c r="CK358">
        <v>21</v>
      </c>
      <c r="CL358" t="s">
        <v>84</v>
      </c>
    </row>
    <row r="359" spans="1:90" x14ac:dyDescent="0.25">
      <c r="A359" t="s">
        <v>72</v>
      </c>
      <c r="B359" t="s">
        <v>73</v>
      </c>
      <c r="C359" t="s">
        <v>74</v>
      </c>
      <c r="E359" t="str">
        <f>"GAB2008169"</f>
        <v>GAB2008169</v>
      </c>
      <c r="F359" s="3">
        <v>44601</v>
      </c>
      <c r="G359">
        <v>202208</v>
      </c>
      <c r="H359" t="s">
        <v>75</v>
      </c>
      <c r="I359" t="s">
        <v>76</v>
      </c>
      <c r="J359" t="s">
        <v>77</v>
      </c>
      <c r="K359" t="s">
        <v>78</v>
      </c>
      <c r="L359" t="s">
        <v>761</v>
      </c>
      <c r="M359" t="s">
        <v>762</v>
      </c>
      <c r="N359" t="s">
        <v>1026</v>
      </c>
      <c r="O359" t="s">
        <v>125</v>
      </c>
      <c r="P359" t="str">
        <f>"CT071810                      "</f>
        <v xml:space="preserve">CT071810                      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0</v>
      </c>
      <c r="AH359">
        <v>0</v>
      </c>
      <c r="AI359">
        <v>0</v>
      </c>
      <c r="AJ359">
        <v>0</v>
      </c>
      <c r="AK359">
        <v>32.42</v>
      </c>
      <c r="AL359">
        <v>0</v>
      </c>
      <c r="AM359">
        <v>0</v>
      </c>
      <c r="AN359">
        <v>0</v>
      </c>
      <c r="AO359">
        <v>0</v>
      </c>
      <c r="AP359">
        <v>0</v>
      </c>
      <c r="AQ359">
        <v>0</v>
      </c>
      <c r="AR359">
        <v>0</v>
      </c>
      <c r="AS359">
        <v>0</v>
      </c>
      <c r="AT359">
        <v>0</v>
      </c>
      <c r="AU359">
        <v>0</v>
      </c>
      <c r="AV359">
        <v>0</v>
      </c>
      <c r="AW359">
        <v>0</v>
      </c>
      <c r="AX359">
        <v>0</v>
      </c>
      <c r="AY359">
        <v>0</v>
      </c>
      <c r="AZ359">
        <v>0</v>
      </c>
      <c r="BA359">
        <v>0</v>
      </c>
      <c r="BB359">
        <v>0</v>
      </c>
      <c r="BC359">
        <v>0</v>
      </c>
      <c r="BD359">
        <v>0</v>
      </c>
      <c r="BE359">
        <v>0</v>
      </c>
      <c r="BF359">
        <v>0</v>
      </c>
      <c r="BG359">
        <v>0</v>
      </c>
      <c r="BH359">
        <v>1</v>
      </c>
      <c r="BI359">
        <v>0.9</v>
      </c>
      <c r="BJ359">
        <v>2.7</v>
      </c>
      <c r="BK359">
        <v>3</v>
      </c>
      <c r="BL359">
        <v>121.87</v>
      </c>
      <c r="BM359">
        <v>18.28</v>
      </c>
      <c r="BN359">
        <v>140.15</v>
      </c>
      <c r="BO359">
        <v>140.15</v>
      </c>
      <c r="BQ359" t="s">
        <v>1027</v>
      </c>
      <c r="BR359" t="s">
        <v>82</v>
      </c>
      <c r="BS359" s="3">
        <v>44603</v>
      </c>
      <c r="BT359" s="4">
        <v>0.40625</v>
      </c>
      <c r="BU359" t="s">
        <v>1149</v>
      </c>
      <c r="BV359" t="s">
        <v>101</v>
      </c>
      <c r="BY359">
        <v>13426.88</v>
      </c>
      <c r="CA359" t="s">
        <v>1028</v>
      </c>
      <c r="CC359" t="s">
        <v>762</v>
      </c>
      <c r="CD359">
        <v>9301</v>
      </c>
      <c r="CE359" t="s">
        <v>130</v>
      </c>
      <c r="CF359" s="3">
        <v>44607</v>
      </c>
      <c r="CI359">
        <v>3</v>
      </c>
      <c r="CJ359">
        <v>2</v>
      </c>
      <c r="CK359">
        <v>41</v>
      </c>
      <c r="CL359" t="s">
        <v>84</v>
      </c>
    </row>
    <row r="360" spans="1:90" x14ac:dyDescent="0.25">
      <c r="A360" t="s">
        <v>72</v>
      </c>
      <c r="B360" t="s">
        <v>73</v>
      </c>
      <c r="C360" t="s">
        <v>74</v>
      </c>
      <c r="E360" t="str">
        <f>"GAB2008186"</f>
        <v>GAB2008186</v>
      </c>
      <c r="F360" s="3">
        <v>44601</v>
      </c>
      <c r="G360">
        <v>202208</v>
      </c>
      <c r="H360" t="s">
        <v>75</v>
      </c>
      <c r="I360" t="s">
        <v>76</v>
      </c>
      <c r="J360" t="s">
        <v>77</v>
      </c>
      <c r="K360" t="s">
        <v>78</v>
      </c>
      <c r="L360" t="s">
        <v>165</v>
      </c>
      <c r="M360" t="s">
        <v>166</v>
      </c>
      <c r="N360" t="s">
        <v>428</v>
      </c>
      <c r="O360" t="s">
        <v>80</v>
      </c>
      <c r="P360" t="str">
        <f>"006932                        "</f>
        <v xml:space="preserve">006932                        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0</v>
      </c>
      <c r="AH360">
        <v>0</v>
      </c>
      <c r="AI360">
        <v>0</v>
      </c>
      <c r="AJ360">
        <v>0</v>
      </c>
      <c r="AK360">
        <v>16.760000000000002</v>
      </c>
      <c r="AL360">
        <v>0</v>
      </c>
      <c r="AM360">
        <v>0</v>
      </c>
      <c r="AN360">
        <v>0</v>
      </c>
      <c r="AO360">
        <v>0</v>
      </c>
      <c r="AP360">
        <v>0</v>
      </c>
      <c r="AQ360">
        <v>0</v>
      </c>
      <c r="AR360">
        <v>0</v>
      </c>
      <c r="AS360">
        <v>0</v>
      </c>
      <c r="AT360">
        <v>0</v>
      </c>
      <c r="AU360">
        <v>0</v>
      </c>
      <c r="AV360">
        <v>0</v>
      </c>
      <c r="AW360">
        <v>0</v>
      </c>
      <c r="AX360">
        <v>0</v>
      </c>
      <c r="AY360">
        <v>0</v>
      </c>
      <c r="AZ360">
        <v>0</v>
      </c>
      <c r="BA360">
        <v>0</v>
      </c>
      <c r="BB360">
        <v>0</v>
      </c>
      <c r="BC360">
        <v>0</v>
      </c>
      <c r="BD360">
        <v>0</v>
      </c>
      <c r="BE360">
        <v>0</v>
      </c>
      <c r="BF360">
        <v>0</v>
      </c>
      <c r="BG360">
        <v>0</v>
      </c>
      <c r="BH360">
        <v>1</v>
      </c>
      <c r="BI360">
        <v>0.2</v>
      </c>
      <c r="BJ360">
        <v>1.8</v>
      </c>
      <c r="BK360">
        <v>2</v>
      </c>
      <c r="BL360">
        <v>60.3</v>
      </c>
      <c r="BM360">
        <v>9.0500000000000007</v>
      </c>
      <c r="BN360">
        <v>69.349999999999994</v>
      </c>
      <c r="BO360">
        <v>69.349999999999994</v>
      </c>
      <c r="BQ360" t="s">
        <v>429</v>
      </c>
      <c r="BR360" t="s">
        <v>82</v>
      </c>
      <c r="BS360" s="3">
        <v>44602</v>
      </c>
      <c r="BT360" s="4">
        <v>0.33333333333333331</v>
      </c>
      <c r="BU360" t="s">
        <v>1150</v>
      </c>
      <c r="BV360" t="s">
        <v>101</v>
      </c>
      <c r="BY360">
        <v>8870.4</v>
      </c>
      <c r="BZ360" t="s">
        <v>87</v>
      </c>
      <c r="CA360" t="s">
        <v>858</v>
      </c>
      <c r="CC360" t="s">
        <v>166</v>
      </c>
      <c r="CD360">
        <v>2</v>
      </c>
      <c r="CE360" t="s">
        <v>432</v>
      </c>
      <c r="CF360" s="3">
        <v>44603</v>
      </c>
      <c r="CI360">
        <v>1</v>
      </c>
      <c r="CJ360">
        <v>1</v>
      </c>
      <c r="CK360">
        <v>21</v>
      </c>
      <c r="CL360" t="s">
        <v>84</v>
      </c>
    </row>
    <row r="361" spans="1:90" x14ac:dyDescent="0.25">
      <c r="A361" t="s">
        <v>72</v>
      </c>
      <c r="B361" t="s">
        <v>73</v>
      </c>
      <c r="C361" t="s">
        <v>74</v>
      </c>
      <c r="E361" t="str">
        <f>"GAB2008202"</f>
        <v>GAB2008202</v>
      </c>
      <c r="F361" s="3">
        <v>44601</v>
      </c>
      <c r="G361">
        <v>202208</v>
      </c>
      <c r="H361" t="s">
        <v>75</v>
      </c>
      <c r="I361" t="s">
        <v>76</v>
      </c>
      <c r="J361" t="s">
        <v>77</v>
      </c>
      <c r="K361" t="s">
        <v>78</v>
      </c>
      <c r="L361" t="s">
        <v>252</v>
      </c>
      <c r="M361" t="s">
        <v>253</v>
      </c>
      <c r="N361" t="s">
        <v>1151</v>
      </c>
      <c r="O361" t="s">
        <v>125</v>
      </c>
      <c r="P361" t="str">
        <f>"CT071880                      "</f>
        <v xml:space="preserve">CT071880                      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0</v>
      </c>
      <c r="AH361">
        <v>0</v>
      </c>
      <c r="AI361">
        <v>0</v>
      </c>
      <c r="AJ361">
        <v>0</v>
      </c>
      <c r="AK361">
        <v>45.72</v>
      </c>
      <c r="AL361">
        <v>0</v>
      </c>
      <c r="AM361">
        <v>0</v>
      </c>
      <c r="AN361">
        <v>0</v>
      </c>
      <c r="AO361">
        <v>0</v>
      </c>
      <c r="AP361">
        <v>0</v>
      </c>
      <c r="AQ361">
        <v>0</v>
      </c>
      <c r="AR361">
        <v>0</v>
      </c>
      <c r="AS361">
        <v>0</v>
      </c>
      <c r="AT361">
        <v>0</v>
      </c>
      <c r="AU361">
        <v>0</v>
      </c>
      <c r="AV361">
        <v>0</v>
      </c>
      <c r="AW361">
        <v>0</v>
      </c>
      <c r="AX361">
        <v>0</v>
      </c>
      <c r="AY361">
        <v>0</v>
      </c>
      <c r="AZ361">
        <v>0</v>
      </c>
      <c r="BA361">
        <v>0</v>
      </c>
      <c r="BB361">
        <v>0</v>
      </c>
      <c r="BC361">
        <v>0</v>
      </c>
      <c r="BD361">
        <v>0</v>
      </c>
      <c r="BE361">
        <v>0</v>
      </c>
      <c r="BF361">
        <v>0</v>
      </c>
      <c r="BG361">
        <v>0</v>
      </c>
      <c r="BH361">
        <v>1</v>
      </c>
      <c r="BI361">
        <v>1.9</v>
      </c>
      <c r="BJ361">
        <v>6.5</v>
      </c>
      <c r="BK361">
        <v>7</v>
      </c>
      <c r="BL361">
        <v>169.72</v>
      </c>
      <c r="BM361">
        <v>25.46</v>
      </c>
      <c r="BN361">
        <v>195.18</v>
      </c>
      <c r="BO361">
        <v>195.18</v>
      </c>
      <c r="BQ361" t="s">
        <v>1152</v>
      </c>
      <c r="BR361" t="s">
        <v>82</v>
      </c>
      <c r="BS361" s="3">
        <v>44603</v>
      </c>
      <c r="BT361" s="4">
        <v>0.59305555555555556</v>
      </c>
      <c r="BU361" t="s">
        <v>1153</v>
      </c>
      <c r="BV361" t="s">
        <v>101</v>
      </c>
      <c r="BY361">
        <v>32400.2</v>
      </c>
      <c r="CA361" t="s">
        <v>257</v>
      </c>
      <c r="CC361" t="s">
        <v>253</v>
      </c>
      <c r="CD361">
        <v>4420</v>
      </c>
      <c r="CE361" t="s">
        <v>130</v>
      </c>
      <c r="CF361" s="3">
        <v>44606</v>
      </c>
      <c r="CI361">
        <v>3</v>
      </c>
      <c r="CJ361">
        <v>2</v>
      </c>
      <c r="CK361">
        <v>43</v>
      </c>
      <c r="CL361" t="s">
        <v>84</v>
      </c>
    </row>
    <row r="362" spans="1:90" x14ac:dyDescent="0.25">
      <c r="A362" t="s">
        <v>72</v>
      </c>
      <c r="B362" t="s">
        <v>73</v>
      </c>
      <c r="C362" t="s">
        <v>74</v>
      </c>
      <c r="E362" t="str">
        <f>"GAB2008185"</f>
        <v>GAB2008185</v>
      </c>
      <c r="F362" s="3">
        <v>44601</v>
      </c>
      <c r="G362">
        <v>202208</v>
      </c>
      <c r="H362" t="s">
        <v>75</v>
      </c>
      <c r="I362" t="s">
        <v>76</v>
      </c>
      <c r="J362" t="s">
        <v>77</v>
      </c>
      <c r="K362" t="s">
        <v>78</v>
      </c>
      <c r="L362" t="s">
        <v>131</v>
      </c>
      <c r="M362" t="s">
        <v>132</v>
      </c>
      <c r="N362" t="s">
        <v>903</v>
      </c>
      <c r="O362" t="s">
        <v>80</v>
      </c>
      <c r="P362" t="str">
        <f>"006931                        "</f>
        <v xml:space="preserve">006931                        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0</v>
      </c>
      <c r="AI362">
        <v>0</v>
      </c>
      <c r="AJ362">
        <v>0</v>
      </c>
      <c r="AK362">
        <v>20.95</v>
      </c>
      <c r="AL362">
        <v>0</v>
      </c>
      <c r="AM362">
        <v>0</v>
      </c>
      <c r="AN362">
        <v>0</v>
      </c>
      <c r="AO362">
        <v>0</v>
      </c>
      <c r="AP362">
        <v>0</v>
      </c>
      <c r="AQ362">
        <v>0</v>
      </c>
      <c r="AR362">
        <v>0</v>
      </c>
      <c r="AS362">
        <v>0</v>
      </c>
      <c r="AT362">
        <v>0</v>
      </c>
      <c r="AU362">
        <v>0</v>
      </c>
      <c r="AV362">
        <v>0</v>
      </c>
      <c r="AW362">
        <v>0</v>
      </c>
      <c r="AX362">
        <v>0</v>
      </c>
      <c r="AY362">
        <v>0</v>
      </c>
      <c r="AZ362">
        <v>0</v>
      </c>
      <c r="BA362">
        <v>0</v>
      </c>
      <c r="BB362">
        <v>0</v>
      </c>
      <c r="BC362">
        <v>0</v>
      </c>
      <c r="BD362">
        <v>0</v>
      </c>
      <c r="BE362">
        <v>0</v>
      </c>
      <c r="BF362">
        <v>0</v>
      </c>
      <c r="BG362">
        <v>0</v>
      </c>
      <c r="BH362">
        <v>1</v>
      </c>
      <c r="BI362">
        <v>0.1</v>
      </c>
      <c r="BJ362">
        <v>2.2000000000000002</v>
      </c>
      <c r="BK362">
        <v>2.5</v>
      </c>
      <c r="BL362">
        <v>75.37</v>
      </c>
      <c r="BM362">
        <v>11.31</v>
      </c>
      <c r="BN362">
        <v>86.68</v>
      </c>
      <c r="BO362">
        <v>86.68</v>
      </c>
      <c r="BQ362" t="s">
        <v>904</v>
      </c>
      <c r="BR362" t="s">
        <v>82</v>
      </c>
      <c r="BS362" s="3">
        <v>44603</v>
      </c>
      <c r="BT362" s="4">
        <v>0.35416666666666669</v>
      </c>
      <c r="BU362" t="s">
        <v>1154</v>
      </c>
      <c r="BV362" t="s">
        <v>84</v>
      </c>
      <c r="BW362" t="s">
        <v>268</v>
      </c>
      <c r="BX362" t="s">
        <v>240</v>
      </c>
      <c r="BY362">
        <v>10937.55</v>
      </c>
      <c r="BZ362" t="s">
        <v>87</v>
      </c>
      <c r="CA362" t="s">
        <v>270</v>
      </c>
      <c r="CC362" t="s">
        <v>132</v>
      </c>
      <c r="CD362">
        <v>3629</v>
      </c>
      <c r="CE362" t="s">
        <v>152</v>
      </c>
      <c r="CF362" s="3">
        <v>44603</v>
      </c>
      <c r="CI362">
        <v>1</v>
      </c>
      <c r="CJ362">
        <v>2</v>
      </c>
      <c r="CK362">
        <v>21</v>
      </c>
      <c r="CL362" t="s">
        <v>84</v>
      </c>
    </row>
    <row r="363" spans="1:90" x14ac:dyDescent="0.25">
      <c r="A363" t="s">
        <v>72</v>
      </c>
      <c r="B363" t="s">
        <v>73</v>
      </c>
      <c r="C363" t="s">
        <v>74</v>
      </c>
      <c r="E363" t="str">
        <f>"GAB2008198"</f>
        <v>GAB2008198</v>
      </c>
      <c r="F363" s="3">
        <v>44601</v>
      </c>
      <c r="G363">
        <v>202208</v>
      </c>
      <c r="H363" t="s">
        <v>75</v>
      </c>
      <c r="I363" t="s">
        <v>76</v>
      </c>
      <c r="J363" t="s">
        <v>77</v>
      </c>
      <c r="K363" t="s">
        <v>78</v>
      </c>
      <c r="L363" t="s">
        <v>761</v>
      </c>
      <c r="M363" t="s">
        <v>762</v>
      </c>
      <c r="N363" t="s">
        <v>1155</v>
      </c>
      <c r="O363" t="s">
        <v>125</v>
      </c>
      <c r="P363" t="str">
        <f>"CT071648                      "</f>
        <v xml:space="preserve">CT071648                      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0</v>
      </c>
      <c r="AH363">
        <v>0</v>
      </c>
      <c r="AI363">
        <v>0</v>
      </c>
      <c r="AJ363">
        <v>0</v>
      </c>
      <c r="AK363">
        <v>32.42</v>
      </c>
      <c r="AL363">
        <v>0</v>
      </c>
      <c r="AM363">
        <v>0</v>
      </c>
      <c r="AN363">
        <v>0</v>
      </c>
      <c r="AO363">
        <v>0</v>
      </c>
      <c r="AP363">
        <v>0</v>
      </c>
      <c r="AQ363">
        <v>0</v>
      </c>
      <c r="AR363">
        <v>0</v>
      </c>
      <c r="AS363">
        <v>0</v>
      </c>
      <c r="AT363">
        <v>0</v>
      </c>
      <c r="AU363">
        <v>0</v>
      </c>
      <c r="AV363">
        <v>0</v>
      </c>
      <c r="AW363">
        <v>0</v>
      </c>
      <c r="AX363">
        <v>0</v>
      </c>
      <c r="AY363">
        <v>0</v>
      </c>
      <c r="AZ363">
        <v>0</v>
      </c>
      <c r="BA363">
        <v>0</v>
      </c>
      <c r="BB363">
        <v>0</v>
      </c>
      <c r="BC363">
        <v>0</v>
      </c>
      <c r="BD363">
        <v>0</v>
      </c>
      <c r="BE363">
        <v>0</v>
      </c>
      <c r="BF363">
        <v>0</v>
      </c>
      <c r="BG363">
        <v>0</v>
      </c>
      <c r="BH363">
        <v>1</v>
      </c>
      <c r="BI363">
        <v>1.8</v>
      </c>
      <c r="BJ363">
        <v>6.2</v>
      </c>
      <c r="BK363">
        <v>7</v>
      </c>
      <c r="BL363">
        <v>121.87</v>
      </c>
      <c r="BM363">
        <v>18.28</v>
      </c>
      <c r="BN363">
        <v>140.15</v>
      </c>
      <c r="BO363">
        <v>140.15</v>
      </c>
      <c r="BQ363" t="s">
        <v>1156</v>
      </c>
      <c r="BR363" t="s">
        <v>82</v>
      </c>
      <c r="BS363" s="3">
        <v>44603</v>
      </c>
      <c r="BT363" s="4">
        <v>0.49652777777777773</v>
      </c>
      <c r="BU363" t="s">
        <v>1157</v>
      </c>
      <c r="BV363" t="s">
        <v>101</v>
      </c>
      <c r="BY363">
        <v>30932.23</v>
      </c>
      <c r="CA363" t="s">
        <v>1158</v>
      </c>
      <c r="CC363" t="s">
        <v>762</v>
      </c>
      <c r="CD363">
        <v>9301</v>
      </c>
      <c r="CE363" t="s">
        <v>130</v>
      </c>
      <c r="CF363" s="3">
        <v>44606</v>
      </c>
      <c r="CI363">
        <v>3</v>
      </c>
      <c r="CJ363">
        <v>2</v>
      </c>
      <c r="CK363">
        <v>41</v>
      </c>
      <c r="CL363" t="s">
        <v>84</v>
      </c>
    </row>
    <row r="364" spans="1:90" x14ac:dyDescent="0.25">
      <c r="A364" t="s">
        <v>72</v>
      </c>
      <c r="B364" t="s">
        <v>73</v>
      </c>
      <c r="C364" t="s">
        <v>74</v>
      </c>
      <c r="E364" t="str">
        <f>"GAB2008184"</f>
        <v>GAB2008184</v>
      </c>
      <c r="F364" s="3">
        <v>44601</v>
      </c>
      <c r="G364">
        <v>202208</v>
      </c>
      <c r="H364" t="s">
        <v>75</v>
      </c>
      <c r="I364" t="s">
        <v>76</v>
      </c>
      <c r="J364" t="s">
        <v>77</v>
      </c>
      <c r="K364" t="s">
        <v>78</v>
      </c>
      <c r="L364" t="s">
        <v>75</v>
      </c>
      <c r="M364" t="s">
        <v>76</v>
      </c>
      <c r="N364" t="s">
        <v>374</v>
      </c>
      <c r="O364" t="s">
        <v>80</v>
      </c>
      <c r="P364" t="str">
        <f>"CT071870                      "</f>
        <v xml:space="preserve">CT071870                      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0</v>
      </c>
      <c r="AI364">
        <v>0</v>
      </c>
      <c r="AJ364">
        <v>0</v>
      </c>
      <c r="AK364">
        <v>13.09</v>
      </c>
      <c r="AL364">
        <v>0</v>
      </c>
      <c r="AM364">
        <v>0</v>
      </c>
      <c r="AN364">
        <v>0</v>
      </c>
      <c r="AO364">
        <v>0</v>
      </c>
      <c r="AP364">
        <v>0</v>
      </c>
      <c r="AQ364">
        <v>0</v>
      </c>
      <c r="AR364">
        <v>0</v>
      </c>
      <c r="AS364">
        <v>0</v>
      </c>
      <c r="AT364">
        <v>0</v>
      </c>
      <c r="AU364">
        <v>0</v>
      </c>
      <c r="AV364">
        <v>0</v>
      </c>
      <c r="AW364">
        <v>0</v>
      </c>
      <c r="AX364">
        <v>0</v>
      </c>
      <c r="AY364">
        <v>0</v>
      </c>
      <c r="AZ364">
        <v>0</v>
      </c>
      <c r="BA364">
        <v>0</v>
      </c>
      <c r="BB364">
        <v>0</v>
      </c>
      <c r="BC364">
        <v>0</v>
      </c>
      <c r="BD364">
        <v>0</v>
      </c>
      <c r="BE364">
        <v>0</v>
      </c>
      <c r="BF364">
        <v>0</v>
      </c>
      <c r="BG364">
        <v>0</v>
      </c>
      <c r="BH364">
        <v>1</v>
      </c>
      <c r="BI364">
        <v>0.2</v>
      </c>
      <c r="BJ364">
        <v>3.4</v>
      </c>
      <c r="BK364">
        <v>3.5</v>
      </c>
      <c r="BL364">
        <v>47.1</v>
      </c>
      <c r="BM364">
        <v>7.07</v>
      </c>
      <c r="BN364">
        <v>54.17</v>
      </c>
      <c r="BO364">
        <v>54.17</v>
      </c>
      <c r="BQ364" t="s">
        <v>596</v>
      </c>
      <c r="BR364" t="s">
        <v>82</v>
      </c>
      <c r="BS364" s="3">
        <v>44602</v>
      </c>
      <c r="BT364" s="4">
        <v>0.62916666666666665</v>
      </c>
      <c r="BU364" t="s">
        <v>1159</v>
      </c>
      <c r="BV364" t="s">
        <v>84</v>
      </c>
      <c r="BW364" t="s">
        <v>95</v>
      </c>
      <c r="BX364" t="s">
        <v>233</v>
      </c>
      <c r="BY364">
        <v>16826.939999999999</v>
      </c>
      <c r="BZ364" t="s">
        <v>87</v>
      </c>
      <c r="CA364" t="s">
        <v>102</v>
      </c>
      <c r="CC364" t="s">
        <v>76</v>
      </c>
      <c r="CD364">
        <v>7806</v>
      </c>
      <c r="CE364" t="s">
        <v>1160</v>
      </c>
      <c r="CF364" s="3">
        <v>44603</v>
      </c>
      <c r="CI364">
        <v>1</v>
      </c>
      <c r="CJ364">
        <v>1</v>
      </c>
      <c r="CK364">
        <v>22</v>
      </c>
      <c r="CL364" t="s">
        <v>84</v>
      </c>
    </row>
    <row r="365" spans="1:90" x14ac:dyDescent="0.25">
      <c r="A365" t="s">
        <v>72</v>
      </c>
      <c r="B365" t="s">
        <v>73</v>
      </c>
      <c r="C365" t="s">
        <v>74</v>
      </c>
      <c r="E365" t="str">
        <f>"GAB2008200"</f>
        <v>GAB2008200</v>
      </c>
      <c r="F365" s="3">
        <v>44601</v>
      </c>
      <c r="G365">
        <v>202208</v>
      </c>
      <c r="H365" t="s">
        <v>75</v>
      </c>
      <c r="I365" t="s">
        <v>76</v>
      </c>
      <c r="J365" t="s">
        <v>77</v>
      </c>
      <c r="K365" t="s">
        <v>78</v>
      </c>
      <c r="L365" t="s">
        <v>165</v>
      </c>
      <c r="M365" t="s">
        <v>166</v>
      </c>
      <c r="N365" t="s">
        <v>1085</v>
      </c>
      <c r="O365" t="s">
        <v>125</v>
      </c>
      <c r="P365" t="str">
        <f>"CT071881 CT071883 CT071882    "</f>
        <v xml:space="preserve">CT071881 CT071883 CT071882    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0</v>
      </c>
      <c r="AI365">
        <v>0</v>
      </c>
      <c r="AJ365">
        <v>0</v>
      </c>
      <c r="AK365">
        <v>95.21</v>
      </c>
      <c r="AL365">
        <v>0</v>
      </c>
      <c r="AM365">
        <v>0</v>
      </c>
      <c r="AN365">
        <v>0</v>
      </c>
      <c r="AO365">
        <v>0</v>
      </c>
      <c r="AP365">
        <v>0</v>
      </c>
      <c r="AQ365">
        <v>0</v>
      </c>
      <c r="AR365">
        <v>0</v>
      </c>
      <c r="AS365">
        <v>0</v>
      </c>
      <c r="AT365">
        <v>0</v>
      </c>
      <c r="AU365">
        <v>0</v>
      </c>
      <c r="AV365">
        <v>0</v>
      </c>
      <c r="AW365">
        <v>0</v>
      </c>
      <c r="AX365">
        <v>0</v>
      </c>
      <c r="AY365">
        <v>0</v>
      </c>
      <c r="AZ365">
        <v>0</v>
      </c>
      <c r="BA365">
        <v>0</v>
      </c>
      <c r="BB365">
        <v>0</v>
      </c>
      <c r="BC365">
        <v>0</v>
      </c>
      <c r="BD365">
        <v>0</v>
      </c>
      <c r="BE365">
        <v>0</v>
      </c>
      <c r="BF365">
        <v>0</v>
      </c>
      <c r="BG365">
        <v>0</v>
      </c>
      <c r="BH365">
        <v>5</v>
      </c>
      <c r="BI365">
        <v>18.5</v>
      </c>
      <c r="BJ365">
        <v>61.2</v>
      </c>
      <c r="BK365">
        <v>62</v>
      </c>
      <c r="BL365">
        <v>347.75</v>
      </c>
      <c r="BM365">
        <v>52.16</v>
      </c>
      <c r="BN365">
        <v>399.91</v>
      </c>
      <c r="BO365">
        <v>399.91</v>
      </c>
      <c r="BQ365" t="s">
        <v>1161</v>
      </c>
      <c r="BR365" t="s">
        <v>82</v>
      </c>
      <c r="BS365" s="3">
        <v>44603</v>
      </c>
      <c r="BT365" s="4">
        <v>0.48888888888888887</v>
      </c>
      <c r="BU365" t="s">
        <v>1162</v>
      </c>
      <c r="BV365" t="s">
        <v>101</v>
      </c>
      <c r="BY365">
        <v>305919.65999999997</v>
      </c>
      <c r="CA365" t="s">
        <v>1163</v>
      </c>
      <c r="CC365" t="s">
        <v>166</v>
      </c>
      <c r="CD365">
        <v>84</v>
      </c>
      <c r="CE365" t="s">
        <v>130</v>
      </c>
      <c r="CF365" s="3">
        <v>44603</v>
      </c>
      <c r="CI365">
        <v>2</v>
      </c>
      <c r="CJ365">
        <v>2</v>
      </c>
      <c r="CK365">
        <v>41</v>
      </c>
      <c r="CL365" t="s">
        <v>84</v>
      </c>
    </row>
    <row r="366" spans="1:90" x14ac:dyDescent="0.25">
      <c r="A366" t="s">
        <v>72</v>
      </c>
      <c r="B366" t="s">
        <v>73</v>
      </c>
      <c r="C366" t="s">
        <v>74</v>
      </c>
      <c r="E366" t="str">
        <f>"GAB2008182"</f>
        <v>GAB2008182</v>
      </c>
      <c r="F366" s="3">
        <v>44601</v>
      </c>
      <c r="G366">
        <v>202208</v>
      </c>
      <c r="H366" t="s">
        <v>75</v>
      </c>
      <c r="I366" t="s">
        <v>76</v>
      </c>
      <c r="J366" t="s">
        <v>77</v>
      </c>
      <c r="K366" t="s">
        <v>78</v>
      </c>
      <c r="L366" t="s">
        <v>234</v>
      </c>
      <c r="M366" t="s">
        <v>235</v>
      </c>
      <c r="N366" t="s">
        <v>754</v>
      </c>
      <c r="O366" t="s">
        <v>125</v>
      </c>
      <c r="P366" t="str">
        <f>"CT071807                      "</f>
        <v xml:space="preserve">CT071807                      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67.150000000000006</v>
      </c>
      <c r="AL366">
        <v>0</v>
      </c>
      <c r="AM366">
        <v>0</v>
      </c>
      <c r="AN366">
        <v>0</v>
      </c>
      <c r="AO366">
        <v>0</v>
      </c>
      <c r="AP366">
        <v>0</v>
      </c>
      <c r="AQ366">
        <v>0</v>
      </c>
      <c r="AR366">
        <v>0</v>
      </c>
      <c r="AS366">
        <v>0</v>
      </c>
      <c r="AT366">
        <v>0</v>
      </c>
      <c r="AU366">
        <v>0</v>
      </c>
      <c r="AV366">
        <v>0</v>
      </c>
      <c r="AW366">
        <v>0</v>
      </c>
      <c r="AX366">
        <v>0</v>
      </c>
      <c r="AY366">
        <v>0</v>
      </c>
      <c r="AZ366">
        <v>0</v>
      </c>
      <c r="BA366">
        <v>0</v>
      </c>
      <c r="BB366">
        <v>0</v>
      </c>
      <c r="BC366">
        <v>0</v>
      </c>
      <c r="BD366">
        <v>0</v>
      </c>
      <c r="BE366">
        <v>0</v>
      </c>
      <c r="BF366">
        <v>0</v>
      </c>
      <c r="BG366">
        <v>0</v>
      </c>
      <c r="BH366">
        <v>3</v>
      </c>
      <c r="BI366">
        <v>12</v>
      </c>
      <c r="BJ366">
        <v>41</v>
      </c>
      <c r="BK366">
        <v>41</v>
      </c>
      <c r="BL366">
        <v>246.82</v>
      </c>
      <c r="BM366">
        <v>37.020000000000003</v>
      </c>
      <c r="BN366">
        <v>283.83999999999997</v>
      </c>
      <c r="BO366">
        <v>283.83999999999997</v>
      </c>
      <c r="BQ366" t="s">
        <v>756</v>
      </c>
      <c r="BR366" t="s">
        <v>82</v>
      </c>
      <c r="BS366" s="3">
        <v>44606</v>
      </c>
      <c r="BT366" s="4">
        <v>0.39930555555555558</v>
      </c>
      <c r="BU366" t="s">
        <v>1164</v>
      </c>
      <c r="BV366" t="s">
        <v>101</v>
      </c>
      <c r="BY366">
        <v>204789.85</v>
      </c>
      <c r="CC366" t="s">
        <v>235</v>
      </c>
      <c r="CD366">
        <v>3201</v>
      </c>
      <c r="CE366" t="s">
        <v>130</v>
      </c>
      <c r="CF366" s="3">
        <v>44608</v>
      </c>
      <c r="CI366">
        <v>3</v>
      </c>
      <c r="CJ366">
        <v>3</v>
      </c>
      <c r="CK366">
        <v>41</v>
      </c>
      <c r="CL366" t="s">
        <v>84</v>
      </c>
    </row>
    <row r="367" spans="1:90" x14ac:dyDescent="0.25">
      <c r="A367" t="s">
        <v>72</v>
      </c>
      <c r="B367" t="s">
        <v>73</v>
      </c>
      <c r="C367" t="s">
        <v>74</v>
      </c>
      <c r="E367" t="str">
        <f>"GAB2008174"</f>
        <v>GAB2008174</v>
      </c>
      <c r="F367" s="3">
        <v>44601</v>
      </c>
      <c r="G367">
        <v>202208</v>
      </c>
      <c r="H367" t="s">
        <v>75</v>
      </c>
      <c r="I367" t="s">
        <v>76</v>
      </c>
      <c r="J367" t="s">
        <v>77</v>
      </c>
      <c r="K367" t="s">
        <v>78</v>
      </c>
      <c r="L367" t="s">
        <v>1165</v>
      </c>
      <c r="M367" t="s">
        <v>1166</v>
      </c>
      <c r="N367" t="s">
        <v>1167</v>
      </c>
      <c r="O367" t="s">
        <v>125</v>
      </c>
      <c r="P367" t="str">
        <f>"CT071869                      "</f>
        <v xml:space="preserve">CT071869                      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0</v>
      </c>
      <c r="AH367">
        <v>0</v>
      </c>
      <c r="AI367">
        <v>0</v>
      </c>
      <c r="AJ367">
        <v>0</v>
      </c>
      <c r="AK367">
        <v>32.42</v>
      </c>
      <c r="AL367">
        <v>0</v>
      </c>
      <c r="AM367">
        <v>0</v>
      </c>
      <c r="AN367">
        <v>0</v>
      </c>
      <c r="AO367">
        <v>0</v>
      </c>
      <c r="AP367">
        <v>0</v>
      </c>
      <c r="AQ367">
        <v>0</v>
      </c>
      <c r="AR367">
        <v>0</v>
      </c>
      <c r="AS367">
        <v>0</v>
      </c>
      <c r="AT367">
        <v>0</v>
      </c>
      <c r="AU367">
        <v>0</v>
      </c>
      <c r="AV367">
        <v>0</v>
      </c>
      <c r="AW367">
        <v>0</v>
      </c>
      <c r="AX367">
        <v>0</v>
      </c>
      <c r="AY367">
        <v>0</v>
      </c>
      <c r="AZ367">
        <v>0</v>
      </c>
      <c r="BA367">
        <v>0</v>
      </c>
      <c r="BB367">
        <v>0</v>
      </c>
      <c r="BC367">
        <v>0</v>
      </c>
      <c r="BD367">
        <v>0</v>
      </c>
      <c r="BE367">
        <v>0</v>
      </c>
      <c r="BF367">
        <v>0</v>
      </c>
      <c r="BG367">
        <v>0</v>
      </c>
      <c r="BH367">
        <v>1</v>
      </c>
      <c r="BI367">
        <v>1.1000000000000001</v>
      </c>
      <c r="BJ367">
        <v>2.6</v>
      </c>
      <c r="BK367">
        <v>3</v>
      </c>
      <c r="BL367">
        <v>121.87</v>
      </c>
      <c r="BM367">
        <v>18.28</v>
      </c>
      <c r="BN367">
        <v>140.15</v>
      </c>
      <c r="BO367">
        <v>140.15</v>
      </c>
      <c r="BQ367" t="s">
        <v>1168</v>
      </c>
      <c r="BR367" t="s">
        <v>82</v>
      </c>
      <c r="BS367" s="3">
        <v>44603</v>
      </c>
      <c r="BT367" s="4">
        <v>0.63194444444444442</v>
      </c>
      <c r="BU367" t="s">
        <v>1169</v>
      </c>
      <c r="BV367" t="s">
        <v>101</v>
      </c>
      <c r="BY367">
        <v>12854.72</v>
      </c>
      <c r="CA367" t="s">
        <v>1170</v>
      </c>
      <c r="CC367" t="s">
        <v>1166</v>
      </c>
      <c r="CD367">
        <v>6230</v>
      </c>
      <c r="CE367" t="s">
        <v>130</v>
      </c>
      <c r="CF367" s="3">
        <v>44603</v>
      </c>
      <c r="CI367">
        <v>2</v>
      </c>
      <c r="CJ367">
        <v>2</v>
      </c>
      <c r="CK367">
        <v>41</v>
      </c>
      <c r="CL367" t="s">
        <v>84</v>
      </c>
    </row>
    <row r="368" spans="1:90" x14ac:dyDescent="0.25">
      <c r="A368" t="s">
        <v>72</v>
      </c>
      <c r="B368" t="s">
        <v>73</v>
      </c>
      <c r="C368" t="s">
        <v>74</v>
      </c>
      <c r="E368" t="str">
        <f>"GAB2008175"</f>
        <v>GAB2008175</v>
      </c>
      <c r="F368" s="3">
        <v>44601</v>
      </c>
      <c r="G368">
        <v>202208</v>
      </c>
      <c r="H368" t="s">
        <v>75</v>
      </c>
      <c r="I368" t="s">
        <v>76</v>
      </c>
      <c r="J368" t="s">
        <v>77</v>
      </c>
      <c r="K368" t="s">
        <v>78</v>
      </c>
      <c r="L368" t="s">
        <v>159</v>
      </c>
      <c r="M368" t="s">
        <v>160</v>
      </c>
      <c r="N368" t="s">
        <v>161</v>
      </c>
      <c r="O368" t="s">
        <v>125</v>
      </c>
      <c r="P368" t="str">
        <f>"CT071802                      "</f>
        <v xml:space="preserve">CT071802                      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0</v>
      </c>
      <c r="AH368">
        <v>0</v>
      </c>
      <c r="AI368">
        <v>0</v>
      </c>
      <c r="AJ368">
        <v>0</v>
      </c>
      <c r="AK368">
        <v>45.72</v>
      </c>
      <c r="AL368">
        <v>0</v>
      </c>
      <c r="AM368">
        <v>0</v>
      </c>
      <c r="AN368">
        <v>0</v>
      </c>
      <c r="AO368">
        <v>0</v>
      </c>
      <c r="AP368">
        <v>0</v>
      </c>
      <c r="AQ368">
        <v>0</v>
      </c>
      <c r="AR368">
        <v>0</v>
      </c>
      <c r="AS368">
        <v>0</v>
      </c>
      <c r="AT368">
        <v>0</v>
      </c>
      <c r="AU368">
        <v>0</v>
      </c>
      <c r="AV368">
        <v>0</v>
      </c>
      <c r="AW368">
        <v>0</v>
      </c>
      <c r="AX368">
        <v>0</v>
      </c>
      <c r="AY368">
        <v>0</v>
      </c>
      <c r="AZ368">
        <v>0</v>
      </c>
      <c r="BA368">
        <v>0</v>
      </c>
      <c r="BB368">
        <v>0</v>
      </c>
      <c r="BC368">
        <v>0</v>
      </c>
      <c r="BD368">
        <v>0</v>
      </c>
      <c r="BE368">
        <v>0</v>
      </c>
      <c r="BF368">
        <v>0</v>
      </c>
      <c r="BG368">
        <v>0</v>
      </c>
      <c r="BH368">
        <v>1</v>
      </c>
      <c r="BI368">
        <v>3.1</v>
      </c>
      <c r="BJ368">
        <v>13.9</v>
      </c>
      <c r="BK368">
        <v>14</v>
      </c>
      <c r="BL368">
        <v>169.72</v>
      </c>
      <c r="BM368">
        <v>25.46</v>
      </c>
      <c r="BN368">
        <v>195.18</v>
      </c>
      <c r="BO368">
        <v>195.18</v>
      </c>
      <c r="BQ368" t="s">
        <v>162</v>
      </c>
      <c r="BR368" t="s">
        <v>82</v>
      </c>
      <c r="BS368" s="3">
        <v>44603</v>
      </c>
      <c r="BT368" s="4">
        <v>0.58124999999999993</v>
      </c>
      <c r="BU368" t="s">
        <v>365</v>
      </c>
      <c r="BV368" t="s">
        <v>101</v>
      </c>
      <c r="BY368">
        <v>69346.2</v>
      </c>
      <c r="CC368" t="s">
        <v>160</v>
      </c>
      <c r="CD368">
        <v>9459</v>
      </c>
      <c r="CE368" t="s">
        <v>130</v>
      </c>
      <c r="CF368" s="3">
        <v>44603</v>
      </c>
      <c r="CI368">
        <v>3</v>
      </c>
      <c r="CJ368">
        <v>2</v>
      </c>
      <c r="CK368">
        <v>43</v>
      </c>
      <c r="CL368" t="s">
        <v>84</v>
      </c>
    </row>
    <row r="369" spans="1:90" x14ac:dyDescent="0.25">
      <c r="A369" t="s">
        <v>72</v>
      </c>
      <c r="B369" t="s">
        <v>73</v>
      </c>
      <c r="C369" t="s">
        <v>74</v>
      </c>
      <c r="E369" t="str">
        <f>"GAB2008177"</f>
        <v>GAB2008177</v>
      </c>
      <c r="F369" s="3">
        <v>44601</v>
      </c>
      <c r="G369">
        <v>202208</v>
      </c>
      <c r="H369" t="s">
        <v>75</v>
      </c>
      <c r="I369" t="s">
        <v>76</v>
      </c>
      <c r="J369" t="s">
        <v>77</v>
      </c>
      <c r="K369" t="s">
        <v>78</v>
      </c>
      <c r="L369" t="s">
        <v>1171</v>
      </c>
      <c r="M369" t="s">
        <v>1172</v>
      </c>
      <c r="N369" t="s">
        <v>1173</v>
      </c>
      <c r="O369" t="s">
        <v>125</v>
      </c>
      <c r="P369" t="str">
        <f>"CT071769                      "</f>
        <v xml:space="preserve">CT071769                      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0</v>
      </c>
      <c r="AH369">
        <v>0</v>
      </c>
      <c r="AI369">
        <v>0</v>
      </c>
      <c r="AJ369">
        <v>0</v>
      </c>
      <c r="AK369">
        <v>45.72</v>
      </c>
      <c r="AL369">
        <v>0</v>
      </c>
      <c r="AM369">
        <v>0</v>
      </c>
      <c r="AN369">
        <v>0</v>
      </c>
      <c r="AO369">
        <v>0</v>
      </c>
      <c r="AP369">
        <v>0</v>
      </c>
      <c r="AQ369">
        <v>0</v>
      </c>
      <c r="AR369">
        <v>0</v>
      </c>
      <c r="AS369">
        <v>0</v>
      </c>
      <c r="AT369">
        <v>0</v>
      </c>
      <c r="AU369">
        <v>0</v>
      </c>
      <c r="AV369">
        <v>0</v>
      </c>
      <c r="AW369">
        <v>0</v>
      </c>
      <c r="AX369">
        <v>0</v>
      </c>
      <c r="AY369">
        <v>0</v>
      </c>
      <c r="AZ369">
        <v>0</v>
      </c>
      <c r="BA369">
        <v>0</v>
      </c>
      <c r="BB369">
        <v>0</v>
      </c>
      <c r="BC369">
        <v>0</v>
      </c>
      <c r="BD369">
        <v>0</v>
      </c>
      <c r="BE369">
        <v>0</v>
      </c>
      <c r="BF369">
        <v>0</v>
      </c>
      <c r="BG369">
        <v>0</v>
      </c>
      <c r="BH369">
        <v>1</v>
      </c>
      <c r="BI369">
        <v>4.4000000000000004</v>
      </c>
      <c r="BJ369">
        <v>14.2</v>
      </c>
      <c r="BK369">
        <v>15</v>
      </c>
      <c r="BL369">
        <v>169.72</v>
      </c>
      <c r="BM369">
        <v>25.46</v>
      </c>
      <c r="BN369">
        <v>195.18</v>
      </c>
      <c r="BO369">
        <v>195.18</v>
      </c>
      <c r="BQ369" t="s">
        <v>1174</v>
      </c>
      <c r="BR369" t="s">
        <v>82</v>
      </c>
      <c r="BS369" s="3">
        <v>44603</v>
      </c>
      <c r="BT369" s="4">
        <v>0.40763888888888888</v>
      </c>
      <c r="BU369" t="s">
        <v>1175</v>
      </c>
      <c r="BV369" t="s">
        <v>101</v>
      </c>
      <c r="BY369">
        <v>70863</v>
      </c>
      <c r="CA369" t="s">
        <v>197</v>
      </c>
      <c r="CC369" t="s">
        <v>1172</v>
      </c>
      <c r="CD369">
        <v>2499</v>
      </c>
      <c r="CE369" t="s">
        <v>130</v>
      </c>
      <c r="CF369" s="3">
        <v>44603</v>
      </c>
      <c r="CI369">
        <v>2</v>
      </c>
      <c r="CJ369">
        <v>2</v>
      </c>
      <c r="CK369">
        <v>43</v>
      </c>
      <c r="CL369" t="s">
        <v>84</v>
      </c>
    </row>
    <row r="370" spans="1:90" x14ac:dyDescent="0.25">
      <c r="A370" t="s">
        <v>72</v>
      </c>
      <c r="B370" t="s">
        <v>73</v>
      </c>
      <c r="C370" t="s">
        <v>74</v>
      </c>
      <c r="E370" t="str">
        <f>"GAB2008176"</f>
        <v>GAB2008176</v>
      </c>
      <c r="F370" s="3">
        <v>44601</v>
      </c>
      <c r="G370">
        <v>202208</v>
      </c>
      <c r="H370" t="s">
        <v>75</v>
      </c>
      <c r="I370" t="s">
        <v>76</v>
      </c>
      <c r="J370" t="s">
        <v>77</v>
      </c>
      <c r="K370" t="s">
        <v>78</v>
      </c>
      <c r="L370" t="s">
        <v>401</v>
      </c>
      <c r="M370" t="s">
        <v>402</v>
      </c>
      <c r="N370" t="s">
        <v>957</v>
      </c>
      <c r="O370" t="s">
        <v>125</v>
      </c>
      <c r="P370" t="str">
        <f>"CT070955                      "</f>
        <v xml:space="preserve">CT070955                      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0</v>
      </c>
      <c r="AH370">
        <v>0</v>
      </c>
      <c r="AI370">
        <v>0</v>
      </c>
      <c r="AJ370">
        <v>0</v>
      </c>
      <c r="AK370">
        <v>87.19</v>
      </c>
      <c r="AL370">
        <v>0</v>
      </c>
      <c r="AM370">
        <v>0</v>
      </c>
      <c r="AN370">
        <v>0</v>
      </c>
      <c r="AO370">
        <v>0</v>
      </c>
      <c r="AP370">
        <v>0</v>
      </c>
      <c r="AQ370">
        <v>0</v>
      </c>
      <c r="AR370">
        <v>0</v>
      </c>
      <c r="AS370">
        <v>0</v>
      </c>
      <c r="AT370">
        <v>0</v>
      </c>
      <c r="AU370">
        <v>0</v>
      </c>
      <c r="AV370">
        <v>0</v>
      </c>
      <c r="AW370">
        <v>0</v>
      </c>
      <c r="AX370">
        <v>0</v>
      </c>
      <c r="AY370">
        <v>0</v>
      </c>
      <c r="AZ370">
        <v>0</v>
      </c>
      <c r="BA370">
        <v>0</v>
      </c>
      <c r="BB370">
        <v>0</v>
      </c>
      <c r="BC370">
        <v>0</v>
      </c>
      <c r="BD370">
        <v>0</v>
      </c>
      <c r="BE370">
        <v>0</v>
      </c>
      <c r="BF370">
        <v>0</v>
      </c>
      <c r="BG370">
        <v>0</v>
      </c>
      <c r="BH370">
        <v>4</v>
      </c>
      <c r="BI370">
        <v>14.9</v>
      </c>
      <c r="BJ370">
        <v>55.6</v>
      </c>
      <c r="BK370">
        <v>56</v>
      </c>
      <c r="BL370">
        <v>318.91000000000003</v>
      </c>
      <c r="BM370">
        <v>47.84</v>
      </c>
      <c r="BN370">
        <v>366.75</v>
      </c>
      <c r="BO370">
        <v>366.75</v>
      </c>
      <c r="BQ370" t="s">
        <v>958</v>
      </c>
      <c r="BR370" t="s">
        <v>82</v>
      </c>
      <c r="BS370" s="3">
        <v>44603</v>
      </c>
      <c r="BT370" s="4">
        <v>0.47638888888888892</v>
      </c>
      <c r="BU370" t="s">
        <v>959</v>
      </c>
      <c r="BV370" t="s">
        <v>101</v>
      </c>
      <c r="BY370">
        <v>277916.26</v>
      </c>
      <c r="CA370" t="s">
        <v>960</v>
      </c>
      <c r="CC370" t="s">
        <v>402</v>
      </c>
      <c r="CD370">
        <v>700</v>
      </c>
      <c r="CE370" t="s">
        <v>130</v>
      </c>
      <c r="CF370" s="3">
        <v>44603</v>
      </c>
      <c r="CI370">
        <v>3</v>
      </c>
      <c r="CJ370">
        <v>2</v>
      </c>
      <c r="CK370">
        <v>41</v>
      </c>
      <c r="CL370" t="s">
        <v>84</v>
      </c>
    </row>
    <row r="371" spans="1:90" x14ac:dyDescent="0.25">
      <c r="A371" t="s">
        <v>72</v>
      </c>
      <c r="B371" t="s">
        <v>73</v>
      </c>
      <c r="C371" t="s">
        <v>74</v>
      </c>
      <c r="E371" t="str">
        <f>"GAB2008195"</f>
        <v>GAB2008195</v>
      </c>
      <c r="F371" s="3">
        <v>44601</v>
      </c>
      <c r="G371">
        <v>202208</v>
      </c>
      <c r="H371" t="s">
        <v>75</v>
      </c>
      <c r="I371" t="s">
        <v>76</v>
      </c>
      <c r="J371" t="s">
        <v>77</v>
      </c>
      <c r="K371" t="s">
        <v>78</v>
      </c>
      <c r="L371" t="s">
        <v>75</v>
      </c>
      <c r="M371" t="s">
        <v>76</v>
      </c>
      <c r="N371" t="s">
        <v>1176</v>
      </c>
      <c r="O371" t="s">
        <v>125</v>
      </c>
      <c r="P371" t="str">
        <f>"CT071878                      "</f>
        <v xml:space="preserve">CT071878                      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0</v>
      </c>
      <c r="AH371">
        <v>0</v>
      </c>
      <c r="AI371">
        <v>0</v>
      </c>
      <c r="AJ371">
        <v>0</v>
      </c>
      <c r="AK371">
        <v>25.01</v>
      </c>
      <c r="AL371">
        <v>0</v>
      </c>
      <c r="AM371">
        <v>0</v>
      </c>
      <c r="AN371">
        <v>0</v>
      </c>
      <c r="AO371">
        <v>0</v>
      </c>
      <c r="AP371">
        <v>0</v>
      </c>
      <c r="AQ371">
        <v>0</v>
      </c>
      <c r="AR371">
        <v>0</v>
      </c>
      <c r="AS371">
        <v>0</v>
      </c>
      <c r="AT371">
        <v>0</v>
      </c>
      <c r="AU371">
        <v>0</v>
      </c>
      <c r="AV371">
        <v>0</v>
      </c>
      <c r="AW371">
        <v>0</v>
      </c>
      <c r="AX371">
        <v>0</v>
      </c>
      <c r="AY371">
        <v>0</v>
      </c>
      <c r="AZ371">
        <v>0</v>
      </c>
      <c r="BA371">
        <v>0</v>
      </c>
      <c r="BB371">
        <v>0</v>
      </c>
      <c r="BC371">
        <v>0</v>
      </c>
      <c r="BD371">
        <v>0</v>
      </c>
      <c r="BE371">
        <v>0</v>
      </c>
      <c r="BF371">
        <v>0</v>
      </c>
      <c r="BG371">
        <v>0</v>
      </c>
      <c r="BH371">
        <v>1</v>
      </c>
      <c r="BI371">
        <v>3.8</v>
      </c>
      <c r="BJ371">
        <v>14.9</v>
      </c>
      <c r="BK371">
        <v>15</v>
      </c>
      <c r="BL371">
        <v>95.23</v>
      </c>
      <c r="BM371">
        <v>14.28</v>
      </c>
      <c r="BN371">
        <v>109.51</v>
      </c>
      <c r="BO371">
        <v>109.51</v>
      </c>
      <c r="BQ371" t="s">
        <v>741</v>
      </c>
      <c r="BR371" t="s">
        <v>82</v>
      </c>
      <c r="BS371" s="3">
        <v>44602</v>
      </c>
      <c r="BT371" s="4">
        <v>0.39166666666666666</v>
      </c>
      <c r="BU371" t="s">
        <v>1177</v>
      </c>
      <c r="BV371" t="s">
        <v>101</v>
      </c>
      <c r="BY371">
        <v>74675.25</v>
      </c>
      <c r="CA371" t="s">
        <v>533</v>
      </c>
      <c r="CC371" t="s">
        <v>76</v>
      </c>
      <c r="CD371">
        <v>7460</v>
      </c>
      <c r="CE371" t="s">
        <v>130</v>
      </c>
      <c r="CF371" s="3">
        <v>44603</v>
      </c>
      <c r="CI371">
        <v>1</v>
      </c>
      <c r="CJ371">
        <v>1</v>
      </c>
      <c r="CK371">
        <v>42</v>
      </c>
      <c r="CL371" t="s">
        <v>84</v>
      </c>
    </row>
    <row r="372" spans="1:90" x14ac:dyDescent="0.25">
      <c r="A372" t="s">
        <v>72</v>
      </c>
      <c r="B372" t="s">
        <v>73</v>
      </c>
      <c r="C372" t="s">
        <v>74</v>
      </c>
      <c r="E372" t="str">
        <f>"GAB2008194"</f>
        <v>GAB2008194</v>
      </c>
      <c r="F372" s="3">
        <v>44601</v>
      </c>
      <c r="G372">
        <v>202208</v>
      </c>
      <c r="H372" t="s">
        <v>75</v>
      </c>
      <c r="I372" t="s">
        <v>76</v>
      </c>
      <c r="J372" t="s">
        <v>77</v>
      </c>
      <c r="K372" t="s">
        <v>78</v>
      </c>
      <c r="L372" t="s">
        <v>234</v>
      </c>
      <c r="M372" t="s">
        <v>235</v>
      </c>
      <c r="N372" t="s">
        <v>1178</v>
      </c>
      <c r="O372" t="s">
        <v>125</v>
      </c>
      <c r="P372" t="str">
        <f>"CT071871                      "</f>
        <v xml:space="preserve">CT071871                      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  <c r="AG372">
        <v>0</v>
      </c>
      <c r="AH372">
        <v>0</v>
      </c>
      <c r="AI372">
        <v>0</v>
      </c>
      <c r="AJ372">
        <v>0</v>
      </c>
      <c r="AK372">
        <v>84.52</v>
      </c>
      <c r="AL372">
        <v>0</v>
      </c>
      <c r="AM372">
        <v>0</v>
      </c>
      <c r="AN372">
        <v>0</v>
      </c>
      <c r="AO372">
        <v>0</v>
      </c>
      <c r="AP372">
        <v>0</v>
      </c>
      <c r="AQ372">
        <v>0</v>
      </c>
      <c r="AR372">
        <v>0</v>
      </c>
      <c r="AS372">
        <v>0</v>
      </c>
      <c r="AT372">
        <v>0</v>
      </c>
      <c r="AU372">
        <v>0</v>
      </c>
      <c r="AV372">
        <v>0</v>
      </c>
      <c r="AW372">
        <v>0</v>
      </c>
      <c r="AX372">
        <v>0</v>
      </c>
      <c r="AY372">
        <v>0</v>
      </c>
      <c r="AZ372">
        <v>0</v>
      </c>
      <c r="BA372">
        <v>0</v>
      </c>
      <c r="BB372">
        <v>0</v>
      </c>
      <c r="BC372">
        <v>0</v>
      </c>
      <c r="BD372">
        <v>0</v>
      </c>
      <c r="BE372">
        <v>0</v>
      </c>
      <c r="BF372">
        <v>0</v>
      </c>
      <c r="BG372">
        <v>0</v>
      </c>
      <c r="BH372">
        <v>4</v>
      </c>
      <c r="BI372">
        <v>16.2</v>
      </c>
      <c r="BJ372">
        <v>53.6</v>
      </c>
      <c r="BK372">
        <v>54</v>
      </c>
      <c r="BL372">
        <v>309.3</v>
      </c>
      <c r="BM372">
        <v>46.4</v>
      </c>
      <c r="BN372">
        <v>355.7</v>
      </c>
      <c r="BO372">
        <v>355.7</v>
      </c>
      <c r="BQ372" t="s">
        <v>1179</v>
      </c>
      <c r="BR372" t="s">
        <v>82</v>
      </c>
      <c r="BS372" s="3">
        <v>44606</v>
      </c>
      <c r="BT372" s="4">
        <v>0.50694444444444442</v>
      </c>
      <c r="BU372" t="s">
        <v>1180</v>
      </c>
      <c r="BV372" t="s">
        <v>101</v>
      </c>
      <c r="BY372">
        <v>268241.34000000003</v>
      </c>
      <c r="CC372" t="s">
        <v>235</v>
      </c>
      <c r="CD372">
        <v>3201</v>
      </c>
      <c r="CE372" t="s">
        <v>130</v>
      </c>
      <c r="CF372" s="3">
        <v>44608</v>
      </c>
      <c r="CI372">
        <v>3</v>
      </c>
      <c r="CJ372">
        <v>3</v>
      </c>
      <c r="CK372">
        <v>41</v>
      </c>
      <c r="CL372" t="s">
        <v>84</v>
      </c>
    </row>
    <row r="373" spans="1:90" x14ac:dyDescent="0.25">
      <c r="A373" t="s">
        <v>72</v>
      </c>
      <c r="B373" t="s">
        <v>73</v>
      </c>
      <c r="C373" t="s">
        <v>74</v>
      </c>
      <c r="E373" t="str">
        <f>"GAB2008193"</f>
        <v>GAB2008193</v>
      </c>
      <c r="F373" s="3">
        <v>44601</v>
      </c>
      <c r="G373">
        <v>202208</v>
      </c>
      <c r="H373" t="s">
        <v>75</v>
      </c>
      <c r="I373" t="s">
        <v>76</v>
      </c>
      <c r="J373" t="s">
        <v>77</v>
      </c>
      <c r="K373" t="s">
        <v>78</v>
      </c>
      <c r="L373" t="s">
        <v>1181</v>
      </c>
      <c r="M373" t="s">
        <v>1182</v>
      </c>
      <c r="N373" t="s">
        <v>1183</v>
      </c>
      <c r="O373" t="s">
        <v>125</v>
      </c>
      <c r="P373" t="str">
        <f>"CT071399                      "</f>
        <v xml:space="preserve">CT071399                      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  <c r="AG373">
        <v>0</v>
      </c>
      <c r="AH373">
        <v>0</v>
      </c>
      <c r="AI373">
        <v>0</v>
      </c>
      <c r="AJ373">
        <v>0</v>
      </c>
      <c r="AK373">
        <v>45.72</v>
      </c>
      <c r="AL373">
        <v>0</v>
      </c>
      <c r="AM373">
        <v>0</v>
      </c>
      <c r="AN373">
        <v>0</v>
      </c>
      <c r="AO373">
        <v>0</v>
      </c>
      <c r="AP373">
        <v>0</v>
      </c>
      <c r="AQ373">
        <v>0</v>
      </c>
      <c r="AR373">
        <v>0</v>
      </c>
      <c r="AS373">
        <v>0</v>
      </c>
      <c r="AT373">
        <v>0</v>
      </c>
      <c r="AU373">
        <v>0</v>
      </c>
      <c r="AV373">
        <v>0</v>
      </c>
      <c r="AW373">
        <v>0</v>
      </c>
      <c r="AX373">
        <v>0</v>
      </c>
      <c r="AY373">
        <v>0</v>
      </c>
      <c r="AZ373">
        <v>0</v>
      </c>
      <c r="BA373">
        <v>0</v>
      </c>
      <c r="BB373">
        <v>0</v>
      </c>
      <c r="BC373">
        <v>0</v>
      </c>
      <c r="BD373">
        <v>0</v>
      </c>
      <c r="BE373">
        <v>0</v>
      </c>
      <c r="BF373">
        <v>0</v>
      </c>
      <c r="BG373">
        <v>0</v>
      </c>
      <c r="BH373">
        <v>1</v>
      </c>
      <c r="BI373">
        <v>0.2</v>
      </c>
      <c r="BJ373">
        <v>2.8</v>
      </c>
      <c r="BK373">
        <v>3</v>
      </c>
      <c r="BL373">
        <v>169.72</v>
      </c>
      <c r="BM373">
        <v>25.46</v>
      </c>
      <c r="BN373">
        <v>195.18</v>
      </c>
      <c r="BO373">
        <v>195.18</v>
      </c>
      <c r="BQ373" t="s">
        <v>311</v>
      </c>
      <c r="BR373" t="s">
        <v>82</v>
      </c>
      <c r="BS373" s="3">
        <v>44603</v>
      </c>
      <c r="BT373" s="4">
        <v>0.58333333333333337</v>
      </c>
      <c r="BU373" t="s">
        <v>1184</v>
      </c>
      <c r="BV373" t="s">
        <v>101</v>
      </c>
      <c r="BY373">
        <v>14168</v>
      </c>
      <c r="CC373" t="s">
        <v>1182</v>
      </c>
      <c r="CD373">
        <v>7070</v>
      </c>
      <c r="CE373" t="s">
        <v>130</v>
      </c>
      <c r="CF373" s="3">
        <v>44608</v>
      </c>
      <c r="CI373">
        <v>5</v>
      </c>
      <c r="CJ373">
        <v>2</v>
      </c>
      <c r="CK373">
        <v>43</v>
      </c>
      <c r="CL373" t="s">
        <v>84</v>
      </c>
    </row>
    <row r="374" spans="1:90" x14ac:dyDescent="0.25">
      <c r="A374" t="s">
        <v>72</v>
      </c>
      <c r="B374" t="s">
        <v>73</v>
      </c>
      <c r="C374" t="s">
        <v>74</v>
      </c>
      <c r="E374" t="str">
        <f>"GAB2008192"</f>
        <v>GAB2008192</v>
      </c>
      <c r="F374" s="3">
        <v>44601</v>
      </c>
      <c r="G374">
        <v>202208</v>
      </c>
      <c r="H374" t="s">
        <v>75</v>
      </c>
      <c r="I374" t="s">
        <v>76</v>
      </c>
      <c r="J374" t="s">
        <v>77</v>
      </c>
      <c r="K374" t="s">
        <v>78</v>
      </c>
      <c r="L374" t="s">
        <v>1185</v>
      </c>
      <c r="M374" t="s">
        <v>1186</v>
      </c>
      <c r="N374" t="s">
        <v>1187</v>
      </c>
      <c r="O374" t="s">
        <v>125</v>
      </c>
      <c r="P374" t="str">
        <f>"CT071286                      "</f>
        <v xml:space="preserve">CT071286                      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0</v>
      </c>
      <c r="AH374">
        <v>0</v>
      </c>
      <c r="AI374">
        <v>0</v>
      </c>
      <c r="AJ374">
        <v>0</v>
      </c>
      <c r="AK374">
        <v>45.72</v>
      </c>
      <c r="AL374">
        <v>0</v>
      </c>
      <c r="AM374">
        <v>0</v>
      </c>
      <c r="AN374">
        <v>0</v>
      </c>
      <c r="AO374">
        <v>0</v>
      </c>
      <c r="AP374">
        <v>0</v>
      </c>
      <c r="AQ374">
        <v>0</v>
      </c>
      <c r="AR374">
        <v>0</v>
      </c>
      <c r="AS374">
        <v>0</v>
      </c>
      <c r="AT374">
        <v>0</v>
      </c>
      <c r="AU374">
        <v>0</v>
      </c>
      <c r="AV374">
        <v>0</v>
      </c>
      <c r="AW374">
        <v>0</v>
      </c>
      <c r="AX374">
        <v>0</v>
      </c>
      <c r="AY374">
        <v>0</v>
      </c>
      <c r="AZ374">
        <v>0</v>
      </c>
      <c r="BA374">
        <v>0</v>
      </c>
      <c r="BB374">
        <v>0</v>
      </c>
      <c r="BC374">
        <v>0</v>
      </c>
      <c r="BD374">
        <v>0</v>
      </c>
      <c r="BE374">
        <v>0</v>
      </c>
      <c r="BF374">
        <v>0</v>
      </c>
      <c r="BG374">
        <v>0</v>
      </c>
      <c r="BH374">
        <v>1</v>
      </c>
      <c r="BI374">
        <v>0.7</v>
      </c>
      <c r="BJ374">
        <v>1.9</v>
      </c>
      <c r="BK374">
        <v>2</v>
      </c>
      <c r="BL374">
        <v>169.72</v>
      </c>
      <c r="BM374">
        <v>25.46</v>
      </c>
      <c r="BN374">
        <v>195.18</v>
      </c>
      <c r="BO374">
        <v>195.18</v>
      </c>
      <c r="BQ374" t="s">
        <v>1188</v>
      </c>
      <c r="BR374" t="s">
        <v>82</v>
      </c>
      <c r="BS374" s="3">
        <v>44603</v>
      </c>
      <c r="BT374" s="4">
        <v>0.61319444444444449</v>
      </c>
      <c r="BU374" t="s">
        <v>1189</v>
      </c>
      <c r="BV374" t="s">
        <v>101</v>
      </c>
      <c r="BY374">
        <v>9618.48</v>
      </c>
      <c r="CA374" t="s">
        <v>1190</v>
      </c>
      <c r="CC374" t="s">
        <v>1186</v>
      </c>
      <c r="CD374">
        <v>727</v>
      </c>
      <c r="CE374" t="s">
        <v>130</v>
      </c>
      <c r="CF374" s="3">
        <v>44603</v>
      </c>
      <c r="CI374">
        <v>3</v>
      </c>
      <c r="CJ374">
        <v>2</v>
      </c>
      <c r="CK374">
        <v>43</v>
      </c>
      <c r="CL374" t="s">
        <v>84</v>
      </c>
    </row>
    <row r="375" spans="1:90" x14ac:dyDescent="0.25">
      <c r="A375" t="s">
        <v>72</v>
      </c>
      <c r="B375" t="s">
        <v>73</v>
      </c>
      <c r="C375" t="s">
        <v>74</v>
      </c>
      <c r="E375" t="str">
        <f>"GAB2008191"</f>
        <v>GAB2008191</v>
      </c>
      <c r="F375" s="3">
        <v>44601</v>
      </c>
      <c r="G375">
        <v>202208</v>
      </c>
      <c r="H375" t="s">
        <v>75</v>
      </c>
      <c r="I375" t="s">
        <v>76</v>
      </c>
      <c r="J375" t="s">
        <v>77</v>
      </c>
      <c r="K375" t="s">
        <v>78</v>
      </c>
      <c r="L375" t="s">
        <v>1191</v>
      </c>
      <c r="M375" t="s">
        <v>1192</v>
      </c>
      <c r="N375" t="s">
        <v>1193</v>
      </c>
      <c r="O375" t="s">
        <v>125</v>
      </c>
      <c r="P375" t="str">
        <f>"006219                        "</f>
        <v xml:space="preserve">006219                        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0</v>
      </c>
      <c r="AH375">
        <v>0</v>
      </c>
      <c r="AI375">
        <v>0</v>
      </c>
      <c r="AJ375">
        <v>0</v>
      </c>
      <c r="AK375">
        <v>45.72</v>
      </c>
      <c r="AL375">
        <v>0</v>
      </c>
      <c r="AM375">
        <v>0</v>
      </c>
      <c r="AN375">
        <v>0</v>
      </c>
      <c r="AO375">
        <v>0</v>
      </c>
      <c r="AP375">
        <v>0</v>
      </c>
      <c r="AQ375">
        <v>0</v>
      </c>
      <c r="AR375">
        <v>0</v>
      </c>
      <c r="AS375">
        <v>0</v>
      </c>
      <c r="AT375">
        <v>0</v>
      </c>
      <c r="AU375">
        <v>0</v>
      </c>
      <c r="AV375">
        <v>0</v>
      </c>
      <c r="AW375">
        <v>0</v>
      </c>
      <c r="AX375">
        <v>0</v>
      </c>
      <c r="AY375">
        <v>0</v>
      </c>
      <c r="AZ375">
        <v>0</v>
      </c>
      <c r="BA375">
        <v>0</v>
      </c>
      <c r="BB375">
        <v>0</v>
      </c>
      <c r="BC375">
        <v>0</v>
      </c>
      <c r="BD375">
        <v>0</v>
      </c>
      <c r="BE375">
        <v>0</v>
      </c>
      <c r="BF375">
        <v>0</v>
      </c>
      <c r="BG375">
        <v>0</v>
      </c>
      <c r="BH375">
        <v>1</v>
      </c>
      <c r="BI375">
        <v>1.2</v>
      </c>
      <c r="BJ375">
        <v>2.8</v>
      </c>
      <c r="BK375">
        <v>3</v>
      </c>
      <c r="BL375">
        <v>169.72</v>
      </c>
      <c r="BM375">
        <v>25.46</v>
      </c>
      <c r="BN375">
        <v>195.18</v>
      </c>
      <c r="BO375">
        <v>195.18</v>
      </c>
      <c r="BR375" t="s">
        <v>82</v>
      </c>
      <c r="BS375" s="3">
        <v>44606</v>
      </c>
      <c r="BT375" s="4">
        <v>0.51111111111111118</v>
      </c>
      <c r="BU375" t="s">
        <v>1194</v>
      </c>
      <c r="BV375" t="s">
        <v>101</v>
      </c>
      <c r="BY375">
        <v>14076</v>
      </c>
      <c r="CC375" t="s">
        <v>1192</v>
      </c>
      <c r="CD375">
        <v>4680</v>
      </c>
      <c r="CE375" t="s">
        <v>130</v>
      </c>
      <c r="CF375" s="3">
        <v>44609</v>
      </c>
      <c r="CI375">
        <v>3</v>
      </c>
      <c r="CJ375">
        <v>3</v>
      </c>
      <c r="CK375">
        <v>43</v>
      </c>
      <c r="CL375" t="s">
        <v>84</v>
      </c>
    </row>
    <row r="376" spans="1:90" x14ac:dyDescent="0.25">
      <c r="A376" t="s">
        <v>72</v>
      </c>
      <c r="B376" t="s">
        <v>73</v>
      </c>
      <c r="C376" t="s">
        <v>74</v>
      </c>
      <c r="E376" t="str">
        <f>"GAB2008190"</f>
        <v>GAB2008190</v>
      </c>
      <c r="F376" s="3">
        <v>44601</v>
      </c>
      <c r="G376">
        <v>202208</v>
      </c>
      <c r="H376" t="s">
        <v>75</v>
      </c>
      <c r="I376" t="s">
        <v>76</v>
      </c>
      <c r="J376" t="s">
        <v>77</v>
      </c>
      <c r="K376" t="s">
        <v>78</v>
      </c>
      <c r="L376" t="s">
        <v>649</v>
      </c>
      <c r="M376" t="s">
        <v>650</v>
      </c>
      <c r="N376" t="s">
        <v>1195</v>
      </c>
      <c r="O376" t="s">
        <v>125</v>
      </c>
      <c r="P376" t="str">
        <f>"CT071877                      "</f>
        <v xml:space="preserve">CT071877                      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  <c r="AG376">
        <v>0</v>
      </c>
      <c r="AH376">
        <v>0</v>
      </c>
      <c r="AI376">
        <v>0</v>
      </c>
      <c r="AJ376">
        <v>0</v>
      </c>
      <c r="AK376">
        <v>32.42</v>
      </c>
      <c r="AL376">
        <v>0</v>
      </c>
      <c r="AM376">
        <v>0</v>
      </c>
      <c r="AN376">
        <v>0</v>
      </c>
      <c r="AO376">
        <v>0</v>
      </c>
      <c r="AP376">
        <v>0</v>
      </c>
      <c r="AQ376">
        <v>0</v>
      </c>
      <c r="AR376">
        <v>0</v>
      </c>
      <c r="AS376">
        <v>0</v>
      </c>
      <c r="AT376">
        <v>0</v>
      </c>
      <c r="AU376">
        <v>0</v>
      </c>
      <c r="AV376">
        <v>0</v>
      </c>
      <c r="AW376">
        <v>0</v>
      </c>
      <c r="AX376">
        <v>0</v>
      </c>
      <c r="AY376">
        <v>0</v>
      </c>
      <c r="AZ376">
        <v>0</v>
      </c>
      <c r="BA376">
        <v>0</v>
      </c>
      <c r="BB376">
        <v>0</v>
      </c>
      <c r="BC376">
        <v>0</v>
      </c>
      <c r="BD376">
        <v>0</v>
      </c>
      <c r="BE376">
        <v>0</v>
      </c>
      <c r="BF376">
        <v>0</v>
      </c>
      <c r="BG376">
        <v>0</v>
      </c>
      <c r="BH376">
        <v>1</v>
      </c>
      <c r="BI376">
        <v>0.2</v>
      </c>
      <c r="BJ376">
        <v>2.2999999999999998</v>
      </c>
      <c r="BK376">
        <v>3</v>
      </c>
      <c r="BL376">
        <v>121.87</v>
      </c>
      <c r="BM376">
        <v>18.28</v>
      </c>
      <c r="BN376">
        <v>140.15</v>
      </c>
      <c r="BO376">
        <v>140.15</v>
      </c>
      <c r="BQ376" t="s">
        <v>1196</v>
      </c>
      <c r="BR376" t="s">
        <v>82</v>
      </c>
      <c r="BS376" s="3">
        <v>44603</v>
      </c>
      <c r="BT376" s="4">
        <v>0.5854166666666667</v>
      </c>
      <c r="BU376" t="s">
        <v>1197</v>
      </c>
      <c r="BV376" t="s">
        <v>101</v>
      </c>
      <c r="BY376">
        <v>11261.25</v>
      </c>
      <c r="CA376" t="s">
        <v>1198</v>
      </c>
      <c r="CC376" t="s">
        <v>650</v>
      </c>
      <c r="CD376">
        <v>5241</v>
      </c>
      <c r="CE376" t="s">
        <v>130</v>
      </c>
      <c r="CF376" s="3">
        <v>44603</v>
      </c>
      <c r="CI376">
        <v>2</v>
      </c>
      <c r="CJ376">
        <v>2</v>
      </c>
      <c r="CK376">
        <v>41</v>
      </c>
      <c r="CL376" t="s">
        <v>84</v>
      </c>
    </row>
    <row r="377" spans="1:90" x14ac:dyDescent="0.25">
      <c r="A377" t="s">
        <v>72</v>
      </c>
      <c r="B377" t="s">
        <v>73</v>
      </c>
      <c r="C377" t="s">
        <v>74</v>
      </c>
      <c r="E377" t="str">
        <f>"GAB2008189"</f>
        <v>GAB2008189</v>
      </c>
      <c r="F377" s="3">
        <v>44601</v>
      </c>
      <c r="G377">
        <v>202208</v>
      </c>
      <c r="H377" t="s">
        <v>75</v>
      </c>
      <c r="I377" t="s">
        <v>76</v>
      </c>
      <c r="J377" t="s">
        <v>77</v>
      </c>
      <c r="K377" t="s">
        <v>78</v>
      </c>
      <c r="L377" t="s">
        <v>761</v>
      </c>
      <c r="M377" t="s">
        <v>762</v>
      </c>
      <c r="N377" t="s">
        <v>1199</v>
      </c>
      <c r="O377" t="s">
        <v>125</v>
      </c>
      <c r="P377" t="str">
        <f>"CT071867                      "</f>
        <v xml:space="preserve">CT071867                      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0</v>
      </c>
      <c r="AH377">
        <v>0</v>
      </c>
      <c r="AI377">
        <v>0</v>
      </c>
      <c r="AJ377">
        <v>0</v>
      </c>
      <c r="AK377">
        <v>32.42</v>
      </c>
      <c r="AL377">
        <v>0</v>
      </c>
      <c r="AM377">
        <v>0</v>
      </c>
      <c r="AN377">
        <v>0</v>
      </c>
      <c r="AO377">
        <v>0</v>
      </c>
      <c r="AP377">
        <v>0</v>
      </c>
      <c r="AQ377">
        <v>0</v>
      </c>
      <c r="AR377">
        <v>0</v>
      </c>
      <c r="AS377">
        <v>0</v>
      </c>
      <c r="AT377">
        <v>0</v>
      </c>
      <c r="AU377">
        <v>0</v>
      </c>
      <c r="AV377">
        <v>0</v>
      </c>
      <c r="AW377">
        <v>0</v>
      </c>
      <c r="AX377">
        <v>0</v>
      </c>
      <c r="AY377">
        <v>0</v>
      </c>
      <c r="AZ377">
        <v>0</v>
      </c>
      <c r="BA377">
        <v>0</v>
      </c>
      <c r="BB377">
        <v>0</v>
      </c>
      <c r="BC377">
        <v>0</v>
      </c>
      <c r="BD377">
        <v>0</v>
      </c>
      <c r="BE377">
        <v>0</v>
      </c>
      <c r="BF377">
        <v>0</v>
      </c>
      <c r="BG377">
        <v>0</v>
      </c>
      <c r="BH377">
        <v>1</v>
      </c>
      <c r="BI377">
        <v>1</v>
      </c>
      <c r="BJ377">
        <v>2.7</v>
      </c>
      <c r="BK377">
        <v>3</v>
      </c>
      <c r="BL377">
        <v>121.87</v>
      </c>
      <c r="BM377">
        <v>18.28</v>
      </c>
      <c r="BN377">
        <v>140.15</v>
      </c>
      <c r="BO377">
        <v>140.15</v>
      </c>
      <c r="BQ377" t="s">
        <v>659</v>
      </c>
      <c r="BR377" t="s">
        <v>82</v>
      </c>
      <c r="BS377" s="3">
        <v>44603</v>
      </c>
      <c r="BT377" s="4">
        <v>0.53819444444444442</v>
      </c>
      <c r="BU377" t="s">
        <v>1200</v>
      </c>
      <c r="BV377" t="s">
        <v>101</v>
      </c>
      <c r="BY377">
        <v>13326.43</v>
      </c>
      <c r="CA377" t="s">
        <v>1158</v>
      </c>
      <c r="CC377" t="s">
        <v>762</v>
      </c>
      <c r="CD377">
        <v>9301</v>
      </c>
      <c r="CE377" t="s">
        <v>130</v>
      </c>
      <c r="CF377" s="3">
        <v>44606</v>
      </c>
      <c r="CI377">
        <v>3</v>
      </c>
      <c r="CJ377">
        <v>2</v>
      </c>
      <c r="CK377">
        <v>41</v>
      </c>
      <c r="CL377" t="s">
        <v>84</v>
      </c>
    </row>
    <row r="378" spans="1:90" x14ac:dyDescent="0.25">
      <c r="A378" t="s">
        <v>72</v>
      </c>
      <c r="B378" t="s">
        <v>73</v>
      </c>
      <c r="C378" t="s">
        <v>74</v>
      </c>
      <c r="E378" t="str">
        <f>"GAB2008183"</f>
        <v>GAB2008183</v>
      </c>
      <c r="F378" s="3">
        <v>44601</v>
      </c>
      <c r="G378">
        <v>202208</v>
      </c>
      <c r="H378" t="s">
        <v>75</v>
      </c>
      <c r="I378" t="s">
        <v>76</v>
      </c>
      <c r="J378" t="s">
        <v>77</v>
      </c>
      <c r="K378" t="s">
        <v>78</v>
      </c>
      <c r="L378" t="s">
        <v>153</v>
      </c>
      <c r="M378" t="s">
        <v>154</v>
      </c>
      <c r="N378" t="s">
        <v>1201</v>
      </c>
      <c r="O378" t="s">
        <v>125</v>
      </c>
      <c r="P378" t="str">
        <f>"CT070806                      "</f>
        <v xml:space="preserve">CT070806                      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0</v>
      </c>
      <c r="AH378">
        <v>0</v>
      </c>
      <c r="AI378">
        <v>0</v>
      </c>
      <c r="AJ378">
        <v>0</v>
      </c>
      <c r="AK378">
        <v>32.42</v>
      </c>
      <c r="AL378">
        <v>0</v>
      </c>
      <c r="AM378">
        <v>0</v>
      </c>
      <c r="AN378">
        <v>0</v>
      </c>
      <c r="AO378">
        <v>0</v>
      </c>
      <c r="AP378">
        <v>0</v>
      </c>
      <c r="AQ378">
        <v>0</v>
      </c>
      <c r="AR378">
        <v>0</v>
      </c>
      <c r="AS378">
        <v>0</v>
      </c>
      <c r="AT378">
        <v>0</v>
      </c>
      <c r="AU378">
        <v>0</v>
      </c>
      <c r="AV378">
        <v>0</v>
      </c>
      <c r="AW378">
        <v>0</v>
      </c>
      <c r="AX378">
        <v>0</v>
      </c>
      <c r="AY378">
        <v>0</v>
      </c>
      <c r="AZ378">
        <v>0</v>
      </c>
      <c r="BA378">
        <v>0</v>
      </c>
      <c r="BB378">
        <v>0</v>
      </c>
      <c r="BC378">
        <v>0</v>
      </c>
      <c r="BD378">
        <v>0</v>
      </c>
      <c r="BE378">
        <v>0</v>
      </c>
      <c r="BF378">
        <v>0</v>
      </c>
      <c r="BG378">
        <v>0</v>
      </c>
      <c r="BH378">
        <v>1</v>
      </c>
      <c r="BI378">
        <v>1.6</v>
      </c>
      <c r="BJ378">
        <v>6.8</v>
      </c>
      <c r="BK378">
        <v>7</v>
      </c>
      <c r="BL378">
        <v>121.87</v>
      </c>
      <c r="BM378">
        <v>18.28</v>
      </c>
      <c r="BN378">
        <v>140.15</v>
      </c>
      <c r="BO378">
        <v>140.15</v>
      </c>
      <c r="BQ378" t="s">
        <v>1202</v>
      </c>
      <c r="BR378" t="s">
        <v>82</v>
      </c>
      <c r="BS378" s="3">
        <v>44606</v>
      </c>
      <c r="BT378" s="4">
        <v>0.41666666666666669</v>
      </c>
      <c r="BU378" t="s">
        <v>1203</v>
      </c>
      <c r="BV378" t="s">
        <v>84</v>
      </c>
      <c r="BW378" t="s">
        <v>268</v>
      </c>
      <c r="BX378" t="s">
        <v>240</v>
      </c>
      <c r="BY378">
        <v>33860.129999999997</v>
      </c>
      <c r="CC378" t="s">
        <v>154</v>
      </c>
      <c r="CD378">
        <v>2010</v>
      </c>
      <c r="CE378" t="s">
        <v>130</v>
      </c>
      <c r="CF378" s="3">
        <v>44607</v>
      </c>
      <c r="CI378">
        <v>2</v>
      </c>
      <c r="CJ378">
        <v>3</v>
      </c>
      <c r="CK378">
        <v>41</v>
      </c>
      <c r="CL378" t="s">
        <v>84</v>
      </c>
    </row>
    <row r="379" spans="1:90" x14ac:dyDescent="0.25">
      <c r="A379" t="s">
        <v>72</v>
      </c>
      <c r="B379" t="s">
        <v>73</v>
      </c>
      <c r="C379" t="s">
        <v>74</v>
      </c>
      <c r="E379" t="str">
        <f>"GAB2008180"</f>
        <v>GAB2008180</v>
      </c>
      <c r="F379" s="3">
        <v>44601</v>
      </c>
      <c r="G379">
        <v>202208</v>
      </c>
      <c r="H379" t="s">
        <v>75</v>
      </c>
      <c r="I379" t="s">
        <v>76</v>
      </c>
      <c r="J379" t="s">
        <v>77</v>
      </c>
      <c r="K379" t="s">
        <v>78</v>
      </c>
      <c r="L379" t="s">
        <v>555</v>
      </c>
      <c r="M379" t="s">
        <v>556</v>
      </c>
      <c r="N379" t="s">
        <v>1204</v>
      </c>
      <c r="O379" t="s">
        <v>125</v>
      </c>
      <c r="P379" t="str">
        <f>"CT071809 CT071811             "</f>
        <v xml:space="preserve">CT071809 CT071811             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0</v>
      </c>
      <c r="AH379">
        <v>0</v>
      </c>
      <c r="AI379">
        <v>0</v>
      </c>
      <c r="AJ379">
        <v>0</v>
      </c>
      <c r="AK379">
        <v>143.87</v>
      </c>
      <c r="AL379">
        <v>0</v>
      </c>
      <c r="AM379">
        <v>0</v>
      </c>
      <c r="AN379">
        <v>0</v>
      </c>
      <c r="AO379">
        <v>0</v>
      </c>
      <c r="AP379">
        <v>0</v>
      </c>
      <c r="AQ379">
        <v>0</v>
      </c>
      <c r="AR379">
        <v>0</v>
      </c>
      <c r="AS379">
        <v>0</v>
      </c>
      <c r="AT379">
        <v>0</v>
      </c>
      <c r="AU379">
        <v>0</v>
      </c>
      <c r="AV379">
        <v>0</v>
      </c>
      <c r="AW379">
        <v>0</v>
      </c>
      <c r="AX379">
        <v>0</v>
      </c>
      <c r="AY379">
        <v>0</v>
      </c>
      <c r="AZ379">
        <v>0</v>
      </c>
      <c r="BA379">
        <v>0</v>
      </c>
      <c r="BB379">
        <v>0</v>
      </c>
      <c r="BC379">
        <v>0</v>
      </c>
      <c r="BD379">
        <v>0</v>
      </c>
      <c r="BE379">
        <v>0</v>
      </c>
      <c r="BF379">
        <v>0</v>
      </c>
      <c r="BG379">
        <v>0</v>
      </c>
      <c r="BH379">
        <v>4</v>
      </c>
      <c r="BI379">
        <v>13</v>
      </c>
      <c r="BJ379">
        <v>56.2</v>
      </c>
      <c r="BK379">
        <v>57</v>
      </c>
      <c r="BL379">
        <v>522.80999999999995</v>
      </c>
      <c r="BM379">
        <v>78.42</v>
      </c>
      <c r="BN379">
        <v>601.23</v>
      </c>
      <c r="BO379">
        <v>601.23</v>
      </c>
      <c r="BQ379" t="s">
        <v>1205</v>
      </c>
      <c r="BR379" t="s">
        <v>82</v>
      </c>
      <c r="BS379" s="3">
        <v>44603</v>
      </c>
      <c r="BT379" s="4">
        <v>0.53749999999999998</v>
      </c>
      <c r="BU379" t="s">
        <v>1206</v>
      </c>
      <c r="BV379" t="s">
        <v>101</v>
      </c>
      <c r="BY379">
        <v>281214.78000000003</v>
      </c>
      <c r="CA379" t="s">
        <v>1207</v>
      </c>
      <c r="CC379" t="s">
        <v>556</v>
      </c>
      <c r="CD379">
        <v>1759</v>
      </c>
      <c r="CE379" t="s">
        <v>130</v>
      </c>
      <c r="CF379" s="3">
        <v>44603</v>
      </c>
      <c r="CI379">
        <v>2</v>
      </c>
      <c r="CJ379">
        <v>2</v>
      </c>
      <c r="CK379">
        <v>43</v>
      </c>
      <c r="CL379" t="s">
        <v>84</v>
      </c>
    </row>
    <row r="380" spans="1:90" x14ac:dyDescent="0.25">
      <c r="A380" t="s">
        <v>72</v>
      </c>
      <c r="B380" t="s">
        <v>73</v>
      </c>
      <c r="C380" t="s">
        <v>74</v>
      </c>
      <c r="E380" t="str">
        <f>"GAB2008179"</f>
        <v>GAB2008179</v>
      </c>
      <c r="F380" s="3">
        <v>44601</v>
      </c>
      <c r="G380">
        <v>202208</v>
      </c>
      <c r="H380" t="s">
        <v>75</v>
      </c>
      <c r="I380" t="s">
        <v>76</v>
      </c>
      <c r="J380" t="s">
        <v>77</v>
      </c>
      <c r="K380" t="s">
        <v>78</v>
      </c>
      <c r="L380" t="s">
        <v>153</v>
      </c>
      <c r="M380" t="s">
        <v>154</v>
      </c>
      <c r="N380" t="s">
        <v>1093</v>
      </c>
      <c r="O380" t="s">
        <v>125</v>
      </c>
      <c r="P380" t="str">
        <f>"CT071838                      "</f>
        <v xml:space="preserve">CT071838                      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0</v>
      </c>
      <c r="AH380">
        <v>0</v>
      </c>
      <c r="AI380">
        <v>0</v>
      </c>
      <c r="AJ380">
        <v>0</v>
      </c>
      <c r="AK380">
        <v>52.46</v>
      </c>
      <c r="AL380">
        <v>0</v>
      </c>
      <c r="AM380">
        <v>0</v>
      </c>
      <c r="AN380">
        <v>0</v>
      </c>
      <c r="AO380">
        <v>0</v>
      </c>
      <c r="AP380">
        <v>0</v>
      </c>
      <c r="AQ380">
        <v>0</v>
      </c>
      <c r="AR380">
        <v>0</v>
      </c>
      <c r="AS380">
        <v>0</v>
      </c>
      <c r="AT380">
        <v>0</v>
      </c>
      <c r="AU380">
        <v>0</v>
      </c>
      <c r="AV380">
        <v>0</v>
      </c>
      <c r="AW380">
        <v>0</v>
      </c>
      <c r="AX380">
        <v>0</v>
      </c>
      <c r="AY380">
        <v>0</v>
      </c>
      <c r="AZ380">
        <v>0</v>
      </c>
      <c r="BA380">
        <v>0</v>
      </c>
      <c r="BB380">
        <v>0</v>
      </c>
      <c r="BC380">
        <v>0</v>
      </c>
      <c r="BD380">
        <v>0</v>
      </c>
      <c r="BE380">
        <v>0</v>
      </c>
      <c r="BF380">
        <v>0</v>
      </c>
      <c r="BG380">
        <v>0</v>
      </c>
      <c r="BH380">
        <v>2</v>
      </c>
      <c r="BI380">
        <v>7.5</v>
      </c>
      <c r="BJ380">
        <v>30</v>
      </c>
      <c r="BK380">
        <v>30</v>
      </c>
      <c r="BL380">
        <v>193.96</v>
      </c>
      <c r="BM380">
        <v>29.09</v>
      </c>
      <c r="BN380">
        <v>223.05</v>
      </c>
      <c r="BO380">
        <v>223.05</v>
      </c>
      <c r="BQ380" t="s">
        <v>1208</v>
      </c>
      <c r="BR380" t="s">
        <v>82</v>
      </c>
      <c r="BS380" s="3">
        <v>44603</v>
      </c>
      <c r="BT380" s="4">
        <v>0.3659722222222222</v>
      </c>
      <c r="BU380" t="s">
        <v>1094</v>
      </c>
      <c r="BV380" t="s">
        <v>101</v>
      </c>
      <c r="BY380">
        <v>149970.6</v>
      </c>
      <c r="CA380" t="s">
        <v>465</v>
      </c>
      <c r="CC380" t="s">
        <v>154</v>
      </c>
      <c r="CD380">
        <v>2021</v>
      </c>
      <c r="CE380" t="s">
        <v>130</v>
      </c>
      <c r="CF380" s="3">
        <v>44603</v>
      </c>
      <c r="CI380">
        <v>2</v>
      </c>
      <c r="CJ380">
        <v>2</v>
      </c>
      <c r="CK380">
        <v>41</v>
      </c>
      <c r="CL380" t="s">
        <v>84</v>
      </c>
    </row>
    <row r="381" spans="1:90" x14ac:dyDescent="0.25">
      <c r="A381" t="s">
        <v>72</v>
      </c>
      <c r="B381" t="s">
        <v>73</v>
      </c>
      <c r="C381" t="s">
        <v>74</v>
      </c>
      <c r="E381" t="str">
        <f>"GAB2008178"</f>
        <v>GAB2008178</v>
      </c>
      <c r="F381" s="3">
        <v>44601</v>
      </c>
      <c r="G381">
        <v>202208</v>
      </c>
      <c r="H381" t="s">
        <v>75</v>
      </c>
      <c r="I381" t="s">
        <v>76</v>
      </c>
      <c r="J381" t="s">
        <v>77</v>
      </c>
      <c r="K381" t="s">
        <v>78</v>
      </c>
      <c r="L381" t="s">
        <v>710</v>
      </c>
      <c r="M381" t="s">
        <v>711</v>
      </c>
      <c r="N381" t="s">
        <v>1209</v>
      </c>
      <c r="O381" t="s">
        <v>125</v>
      </c>
      <c r="P381" t="str">
        <f>"CT071808                      "</f>
        <v xml:space="preserve">CT071808                      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0</v>
      </c>
      <c r="AH381">
        <v>0</v>
      </c>
      <c r="AI381">
        <v>0</v>
      </c>
      <c r="AJ381">
        <v>0</v>
      </c>
      <c r="AK381">
        <v>32.42</v>
      </c>
      <c r="AL381">
        <v>0</v>
      </c>
      <c r="AM381">
        <v>0</v>
      </c>
      <c r="AN381">
        <v>0</v>
      </c>
      <c r="AO381">
        <v>0</v>
      </c>
      <c r="AP381">
        <v>0</v>
      </c>
      <c r="AQ381">
        <v>0</v>
      </c>
      <c r="AR381">
        <v>0</v>
      </c>
      <c r="AS381">
        <v>0</v>
      </c>
      <c r="AT381">
        <v>0</v>
      </c>
      <c r="AU381">
        <v>0</v>
      </c>
      <c r="AV381">
        <v>0</v>
      </c>
      <c r="AW381">
        <v>0</v>
      </c>
      <c r="AX381">
        <v>0</v>
      </c>
      <c r="AY381">
        <v>0</v>
      </c>
      <c r="AZ381">
        <v>0</v>
      </c>
      <c r="BA381">
        <v>0</v>
      </c>
      <c r="BB381">
        <v>0</v>
      </c>
      <c r="BC381">
        <v>0</v>
      </c>
      <c r="BD381">
        <v>0</v>
      </c>
      <c r="BE381">
        <v>0</v>
      </c>
      <c r="BF381">
        <v>0</v>
      </c>
      <c r="BG381">
        <v>0</v>
      </c>
      <c r="BH381">
        <v>1</v>
      </c>
      <c r="BI381">
        <v>3.9</v>
      </c>
      <c r="BJ381">
        <v>13.3</v>
      </c>
      <c r="BK381">
        <v>14</v>
      </c>
      <c r="BL381">
        <v>121.87</v>
      </c>
      <c r="BM381">
        <v>18.28</v>
      </c>
      <c r="BN381">
        <v>140.15</v>
      </c>
      <c r="BO381">
        <v>140.15</v>
      </c>
      <c r="BQ381" t="s">
        <v>1210</v>
      </c>
      <c r="BR381" t="s">
        <v>82</v>
      </c>
      <c r="BS381" s="3">
        <v>44603</v>
      </c>
      <c r="BT381" s="4">
        <v>0.5</v>
      </c>
      <c r="BU381" t="s">
        <v>1211</v>
      </c>
      <c r="BV381" t="s">
        <v>101</v>
      </c>
      <c r="BY381">
        <v>66493.350000000006</v>
      </c>
      <c r="CC381" t="s">
        <v>711</v>
      </c>
      <c r="CD381">
        <v>1449</v>
      </c>
      <c r="CE381" t="s">
        <v>130</v>
      </c>
      <c r="CF381" s="3">
        <v>44604</v>
      </c>
      <c r="CI381">
        <v>2</v>
      </c>
      <c r="CJ381">
        <v>2</v>
      </c>
      <c r="CK381">
        <v>41</v>
      </c>
      <c r="CL381" t="s">
        <v>84</v>
      </c>
    </row>
    <row r="382" spans="1:90" x14ac:dyDescent="0.25">
      <c r="A382" t="s">
        <v>72</v>
      </c>
      <c r="B382" t="s">
        <v>73</v>
      </c>
      <c r="C382" t="s">
        <v>74</v>
      </c>
      <c r="E382" t="str">
        <f>"009940857732"</f>
        <v>009940857732</v>
      </c>
      <c r="F382" s="3">
        <v>44600</v>
      </c>
      <c r="G382">
        <v>202208</v>
      </c>
      <c r="H382" t="s">
        <v>109</v>
      </c>
      <c r="I382" t="s">
        <v>110</v>
      </c>
      <c r="J382" t="s">
        <v>1212</v>
      </c>
      <c r="K382" t="s">
        <v>78</v>
      </c>
      <c r="L382" t="s">
        <v>761</v>
      </c>
      <c r="M382" t="s">
        <v>762</v>
      </c>
      <c r="N382" t="s">
        <v>1213</v>
      </c>
      <c r="O382" t="s">
        <v>125</v>
      </c>
      <c r="P382" t="str">
        <f>"NA                            "</f>
        <v xml:space="preserve">NA                            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0</v>
      </c>
      <c r="AH382">
        <v>0</v>
      </c>
      <c r="AI382">
        <v>0</v>
      </c>
      <c r="AJ382">
        <v>0</v>
      </c>
      <c r="AK382">
        <v>32.42</v>
      </c>
      <c r="AL382">
        <v>0</v>
      </c>
      <c r="AM382">
        <v>0</v>
      </c>
      <c r="AN382">
        <v>0</v>
      </c>
      <c r="AO382">
        <v>0</v>
      </c>
      <c r="AP382">
        <v>0</v>
      </c>
      <c r="AQ382">
        <v>0</v>
      </c>
      <c r="AR382">
        <v>0</v>
      </c>
      <c r="AS382">
        <v>0</v>
      </c>
      <c r="AT382">
        <v>0</v>
      </c>
      <c r="AU382">
        <v>0</v>
      </c>
      <c r="AV382">
        <v>0</v>
      </c>
      <c r="AW382">
        <v>0</v>
      </c>
      <c r="AX382">
        <v>0</v>
      </c>
      <c r="AY382">
        <v>0</v>
      </c>
      <c r="AZ382">
        <v>0</v>
      </c>
      <c r="BA382">
        <v>0</v>
      </c>
      <c r="BB382">
        <v>0</v>
      </c>
      <c r="BC382">
        <v>0</v>
      </c>
      <c r="BD382">
        <v>0</v>
      </c>
      <c r="BE382">
        <v>0</v>
      </c>
      <c r="BF382">
        <v>0</v>
      </c>
      <c r="BG382">
        <v>0</v>
      </c>
      <c r="BH382">
        <v>1</v>
      </c>
      <c r="BI382">
        <v>1</v>
      </c>
      <c r="BJ382">
        <v>0.5</v>
      </c>
      <c r="BK382">
        <v>1</v>
      </c>
      <c r="BL382">
        <v>121.87</v>
      </c>
      <c r="BM382">
        <v>18.28</v>
      </c>
      <c r="BN382">
        <v>140.15</v>
      </c>
      <c r="BO382">
        <v>140.15</v>
      </c>
      <c r="BQ382" t="s">
        <v>1214</v>
      </c>
      <c r="BR382" t="s">
        <v>140</v>
      </c>
      <c r="BS382" s="3">
        <v>44602</v>
      </c>
      <c r="BT382" s="4">
        <v>0.58333333333333337</v>
      </c>
      <c r="BU382" t="s">
        <v>1215</v>
      </c>
      <c r="BV382" t="s">
        <v>84</v>
      </c>
      <c r="BW382" t="s">
        <v>727</v>
      </c>
      <c r="BX382" t="s">
        <v>899</v>
      </c>
      <c r="BY382">
        <v>2400</v>
      </c>
      <c r="BZ382" t="s">
        <v>87</v>
      </c>
      <c r="CA382" t="s">
        <v>1216</v>
      </c>
      <c r="CC382" t="s">
        <v>762</v>
      </c>
      <c r="CD382">
        <v>9300</v>
      </c>
      <c r="CE382" t="s">
        <v>130</v>
      </c>
      <c r="CF382" s="3">
        <v>44603</v>
      </c>
      <c r="CI382">
        <v>1</v>
      </c>
      <c r="CJ382">
        <v>2</v>
      </c>
      <c r="CK382">
        <v>41</v>
      </c>
      <c r="CL382" t="s">
        <v>84</v>
      </c>
    </row>
    <row r="383" spans="1:90" x14ac:dyDescent="0.25">
      <c r="A383" t="s">
        <v>72</v>
      </c>
      <c r="B383" t="s">
        <v>73</v>
      </c>
      <c r="C383" t="s">
        <v>74</v>
      </c>
      <c r="E383" t="str">
        <f>"009941918412"</f>
        <v>009941918412</v>
      </c>
      <c r="F383" s="3">
        <v>44600</v>
      </c>
      <c r="G383">
        <v>202208</v>
      </c>
      <c r="H383" t="s">
        <v>202</v>
      </c>
      <c r="I383" t="s">
        <v>203</v>
      </c>
      <c r="J383" t="s">
        <v>1217</v>
      </c>
      <c r="K383" t="s">
        <v>78</v>
      </c>
      <c r="L383" t="s">
        <v>75</v>
      </c>
      <c r="M383" t="s">
        <v>76</v>
      </c>
      <c r="N383" t="s">
        <v>476</v>
      </c>
      <c r="O383" t="s">
        <v>125</v>
      </c>
      <c r="P383" t="str">
        <f>"NA                            "</f>
        <v xml:space="preserve">NA                            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0</v>
      </c>
      <c r="AH383">
        <v>0</v>
      </c>
      <c r="AI383">
        <v>0</v>
      </c>
      <c r="AJ383">
        <v>0</v>
      </c>
      <c r="AK383">
        <v>32.42</v>
      </c>
      <c r="AL383">
        <v>0</v>
      </c>
      <c r="AM383">
        <v>0</v>
      </c>
      <c r="AN383">
        <v>0</v>
      </c>
      <c r="AO383">
        <v>0</v>
      </c>
      <c r="AP383">
        <v>0</v>
      </c>
      <c r="AQ383">
        <v>0</v>
      </c>
      <c r="AR383">
        <v>0</v>
      </c>
      <c r="AS383">
        <v>0</v>
      </c>
      <c r="AT383">
        <v>0</v>
      </c>
      <c r="AU383">
        <v>0</v>
      </c>
      <c r="AV383">
        <v>0</v>
      </c>
      <c r="AW383">
        <v>0</v>
      </c>
      <c r="AX383">
        <v>0</v>
      </c>
      <c r="AY383">
        <v>0</v>
      </c>
      <c r="AZ383">
        <v>0</v>
      </c>
      <c r="BA383">
        <v>0</v>
      </c>
      <c r="BB383">
        <v>0</v>
      </c>
      <c r="BC383">
        <v>0</v>
      </c>
      <c r="BD383">
        <v>0</v>
      </c>
      <c r="BE383">
        <v>0</v>
      </c>
      <c r="BF383">
        <v>0</v>
      </c>
      <c r="BG383">
        <v>0</v>
      </c>
      <c r="BH383">
        <v>1</v>
      </c>
      <c r="BI383">
        <v>2.7</v>
      </c>
      <c r="BJ383">
        <v>4.0999999999999996</v>
      </c>
      <c r="BK383">
        <v>5</v>
      </c>
      <c r="BL383">
        <v>121.87</v>
      </c>
      <c r="BM383">
        <v>18.28</v>
      </c>
      <c r="BN383">
        <v>140.15</v>
      </c>
      <c r="BO383">
        <v>140.15</v>
      </c>
      <c r="BQ383" t="s">
        <v>733</v>
      </c>
      <c r="BR383" t="s">
        <v>1218</v>
      </c>
      <c r="BS383" s="3">
        <v>44603</v>
      </c>
      <c r="BT383" s="4">
        <v>0.44097222222222227</v>
      </c>
      <c r="BU383" t="s">
        <v>273</v>
      </c>
      <c r="BV383" t="s">
        <v>84</v>
      </c>
      <c r="BW383" t="s">
        <v>85</v>
      </c>
      <c r="BX383" t="s">
        <v>233</v>
      </c>
      <c r="BY383">
        <v>20308.54</v>
      </c>
      <c r="BZ383" t="s">
        <v>137</v>
      </c>
      <c r="CA383" t="s">
        <v>274</v>
      </c>
      <c r="CC383" t="s">
        <v>76</v>
      </c>
      <c r="CD383">
        <v>7460</v>
      </c>
      <c r="CE383" t="s">
        <v>130</v>
      </c>
      <c r="CF383" s="3">
        <v>44606</v>
      </c>
      <c r="CI383">
        <v>2</v>
      </c>
      <c r="CJ383">
        <v>3</v>
      </c>
      <c r="CK383">
        <v>41</v>
      </c>
      <c r="CL383" t="s">
        <v>84</v>
      </c>
    </row>
    <row r="384" spans="1:90" x14ac:dyDescent="0.25">
      <c r="A384" t="s">
        <v>72</v>
      </c>
      <c r="B384" t="s">
        <v>73</v>
      </c>
      <c r="C384" t="s">
        <v>74</v>
      </c>
      <c r="E384" t="str">
        <f>"GAB2008215"</f>
        <v>GAB2008215</v>
      </c>
      <c r="F384" s="3">
        <v>44602</v>
      </c>
      <c r="G384">
        <v>202208</v>
      </c>
      <c r="H384" t="s">
        <v>75</v>
      </c>
      <c r="I384" t="s">
        <v>76</v>
      </c>
      <c r="J384" t="s">
        <v>77</v>
      </c>
      <c r="K384" t="s">
        <v>78</v>
      </c>
      <c r="L384" t="s">
        <v>1219</v>
      </c>
      <c r="M384" t="s">
        <v>1220</v>
      </c>
      <c r="N384" t="s">
        <v>1221</v>
      </c>
      <c r="O384" t="s">
        <v>125</v>
      </c>
      <c r="P384" t="str">
        <f>"CT071903                      "</f>
        <v xml:space="preserve">CT071903                      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0</v>
      </c>
      <c r="AH384">
        <v>0</v>
      </c>
      <c r="AI384">
        <v>0</v>
      </c>
      <c r="AJ384">
        <v>0</v>
      </c>
      <c r="AK384">
        <v>45.72</v>
      </c>
      <c r="AL384">
        <v>0</v>
      </c>
      <c r="AM384">
        <v>0</v>
      </c>
      <c r="AN384">
        <v>0</v>
      </c>
      <c r="AO384">
        <v>0</v>
      </c>
      <c r="AP384">
        <v>0</v>
      </c>
      <c r="AQ384">
        <v>0</v>
      </c>
      <c r="AR384">
        <v>0</v>
      </c>
      <c r="AS384">
        <v>0</v>
      </c>
      <c r="AT384">
        <v>0</v>
      </c>
      <c r="AU384">
        <v>0</v>
      </c>
      <c r="AV384">
        <v>0</v>
      </c>
      <c r="AW384">
        <v>0</v>
      </c>
      <c r="AX384">
        <v>0</v>
      </c>
      <c r="AY384">
        <v>0</v>
      </c>
      <c r="AZ384">
        <v>0</v>
      </c>
      <c r="BA384">
        <v>0</v>
      </c>
      <c r="BB384">
        <v>0</v>
      </c>
      <c r="BC384">
        <v>0</v>
      </c>
      <c r="BD384">
        <v>0</v>
      </c>
      <c r="BE384">
        <v>0</v>
      </c>
      <c r="BF384">
        <v>0</v>
      </c>
      <c r="BG384">
        <v>0</v>
      </c>
      <c r="BH384">
        <v>1</v>
      </c>
      <c r="BI384">
        <v>0.7</v>
      </c>
      <c r="BJ384">
        <v>1.8</v>
      </c>
      <c r="BK384">
        <v>2</v>
      </c>
      <c r="BL384">
        <v>169.72</v>
      </c>
      <c r="BM384">
        <v>25.46</v>
      </c>
      <c r="BN384">
        <v>195.18</v>
      </c>
      <c r="BO384">
        <v>195.18</v>
      </c>
      <c r="BQ384" t="s">
        <v>1222</v>
      </c>
      <c r="BR384" t="s">
        <v>82</v>
      </c>
      <c r="BS384" s="3">
        <v>44607</v>
      </c>
      <c r="BT384" s="4">
        <v>0.63958333333333328</v>
      </c>
      <c r="BU384" t="s">
        <v>1223</v>
      </c>
      <c r="BV384" t="s">
        <v>101</v>
      </c>
      <c r="BY384">
        <v>8812.65</v>
      </c>
      <c r="CA384" t="s">
        <v>1224</v>
      </c>
      <c r="CC384" t="s">
        <v>1220</v>
      </c>
      <c r="CD384">
        <v>9866</v>
      </c>
      <c r="CE384" t="s">
        <v>130</v>
      </c>
      <c r="CF384" s="3">
        <v>44609</v>
      </c>
      <c r="CI384">
        <v>3</v>
      </c>
      <c r="CJ384">
        <v>3</v>
      </c>
      <c r="CK384">
        <v>43</v>
      </c>
      <c r="CL384" t="s">
        <v>84</v>
      </c>
    </row>
    <row r="385" spans="1:90" x14ac:dyDescent="0.25">
      <c r="A385" t="s">
        <v>72</v>
      </c>
      <c r="B385" t="s">
        <v>73</v>
      </c>
      <c r="C385" t="s">
        <v>74</v>
      </c>
      <c r="E385" t="str">
        <f>"GAB2008234"</f>
        <v>GAB2008234</v>
      </c>
      <c r="F385" s="3">
        <v>44602</v>
      </c>
      <c r="G385">
        <v>202208</v>
      </c>
      <c r="H385" t="s">
        <v>75</v>
      </c>
      <c r="I385" t="s">
        <v>76</v>
      </c>
      <c r="J385" t="s">
        <v>77</v>
      </c>
      <c r="K385" t="s">
        <v>78</v>
      </c>
      <c r="L385" t="s">
        <v>75</v>
      </c>
      <c r="M385" t="s">
        <v>76</v>
      </c>
      <c r="N385" t="s">
        <v>104</v>
      </c>
      <c r="O385" t="s">
        <v>80</v>
      </c>
      <c r="P385" t="str">
        <f>"CT071923 CT071919             "</f>
        <v xml:space="preserve">CT071923 CT071919             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  <c r="AG385">
        <v>0</v>
      </c>
      <c r="AH385">
        <v>0</v>
      </c>
      <c r="AI385">
        <v>0</v>
      </c>
      <c r="AJ385">
        <v>0</v>
      </c>
      <c r="AK385">
        <v>13.09</v>
      </c>
      <c r="AL385">
        <v>0</v>
      </c>
      <c r="AM385">
        <v>0</v>
      </c>
      <c r="AN385">
        <v>0</v>
      </c>
      <c r="AO385">
        <v>0</v>
      </c>
      <c r="AP385">
        <v>0</v>
      </c>
      <c r="AQ385">
        <v>0</v>
      </c>
      <c r="AR385">
        <v>0</v>
      </c>
      <c r="AS385">
        <v>0</v>
      </c>
      <c r="AT385">
        <v>0</v>
      </c>
      <c r="AU385">
        <v>0</v>
      </c>
      <c r="AV385">
        <v>0</v>
      </c>
      <c r="AW385">
        <v>0</v>
      </c>
      <c r="AX385">
        <v>0</v>
      </c>
      <c r="AY385">
        <v>0</v>
      </c>
      <c r="AZ385">
        <v>0</v>
      </c>
      <c r="BA385">
        <v>0</v>
      </c>
      <c r="BB385">
        <v>0</v>
      </c>
      <c r="BC385">
        <v>0</v>
      </c>
      <c r="BD385">
        <v>0</v>
      </c>
      <c r="BE385">
        <v>0</v>
      </c>
      <c r="BF385">
        <v>0</v>
      </c>
      <c r="BG385">
        <v>0</v>
      </c>
      <c r="BH385">
        <v>1</v>
      </c>
      <c r="BI385">
        <v>0.6</v>
      </c>
      <c r="BJ385">
        <v>1.8</v>
      </c>
      <c r="BK385">
        <v>2</v>
      </c>
      <c r="BL385">
        <v>47.1</v>
      </c>
      <c r="BM385">
        <v>7.07</v>
      </c>
      <c r="BN385">
        <v>54.17</v>
      </c>
      <c r="BO385">
        <v>54.17</v>
      </c>
      <c r="BQ385" t="s">
        <v>105</v>
      </c>
      <c r="BR385" t="s">
        <v>82</v>
      </c>
      <c r="BS385" s="3">
        <v>44603</v>
      </c>
      <c r="BT385" s="4">
        <v>0.39444444444444443</v>
      </c>
      <c r="BU385" t="s">
        <v>106</v>
      </c>
      <c r="BV385" t="s">
        <v>101</v>
      </c>
      <c r="BY385">
        <v>9147.6</v>
      </c>
      <c r="BZ385" t="s">
        <v>87</v>
      </c>
      <c r="CA385" t="s">
        <v>107</v>
      </c>
      <c r="CC385" t="s">
        <v>76</v>
      </c>
      <c r="CD385">
        <v>7441</v>
      </c>
      <c r="CE385" t="s">
        <v>333</v>
      </c>
      <c r="CF385" s="3">
        <v>44606</v>
      </c>
      <c r="CI385">
        <v>1</v>
      </c>
      <c r="CJ385">
        <v>1</v>
      </c>
      <c r="CK385">
        <v>22</v>
      </c>
      <c r="CL385" t="s">
        <v>84</v>
      </c>
    </row>
    <row r="386" spans="1:90" x14ac:dyDescent="0.25">
      <c r="A386" t="s">
        <v>72</v>
      </c>
      <c r="B386" t="s">
        <v>73</v>
      </c>
      <c r="C386" t="s">
        <v>74</v>
      </c>
      <c r="E386" t="str">
        <f>"GAB2008216"</f>
        <v>GAB2008216</v>
      </c>
      <c r="F386" s="3">
        <v>44602</v>
      </c>
      <c r="G386">
        <v>202208</v>
      </c>
      <c r="H386" t="s">
        <v>75</v>
      </c>
      <c r="I386" t="s">
        <v>76</v>
      </c>
      <c r="J386" t="s">
        <v>77</v>
      </c>
      <c r="K386" t="s">
        <v>78</v>
      </c>
      <c r="L386" t="s">
        <v>153</v>
      </c>
      <c r="M386" t="s">
        <v>154</v>
      </c>
      <c r="N386" t="s">
        <v>1225</v>
      </c>
      <c r="O386" t="s">
        <v>125</v>
      </c>
      <c r="P386" t="str">
        <f>"CT071904                      "</f>
        <v xml:space="preserve">CT071904                      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0</v>
      </c>
      <c r="AH386">
        <v>0</v>
      </c>
      <c r="AI386">
        <v>0</v>
      </c>
      <c r="AJ386">
        <v>0</v>
      </c>
      <c r="AK386">
        <v>32.42</v>
      </c>
      <c r="AL386">
        <v>0</v>
      </c>
      <c r="AM386">
        <v>0</v>
      </c>
      <c r="AN386">
        <v>0</v>
      </c>
      <c r="AO386">
        <v>0</v>
      </c>
      <c r="AP386">
        <v>0</v>
      </c>
      <c r="AQ386">
        <v>0</v>
      </c>
      <c r="AR386">
        <v>0</v>
      </c>
      <c r="AS386">
        <v>0</v>
      </c>
      <c r="AT386">
        <v>0</v>
      </c>
      <c r="AU386">
        <v>0</v>
      </c>
      <c r="AV386">
        <v>0</v>
      </c>
      <c r="AW386">
        <v>0</v>
      </c>
      <c r="AX386">
        <v>0</v>
      </c>
      <c r="AY386">
        <v>0</v>
      </c>
      <c r="AZ386">
        <v>0</v>
      </c>
      <c r="BA386">
        <v>0</v>
      </c>
      <c r="BB386">
        <v>0</v>
      </c>
      <c r="BC386">
        <v>0</v>
      </c>
      <c r="BD386">
        <v>0</v>
      </c>
      <c r="BE386">
        <v>0</v>
      </c>
      <c r="BF386">
        <v>0</v>
      </c>
      <c r="BG386">
        <v>0</v>
      </c>
      <c r="BH386">
        <v>1</v>
      </c>
      <c r="BI386">
        <v>0.1</v>
      </c>
      <c r="BJ386">
        <v>2.4</v>
      </c>
      <c r="BK386">
        <v>3</v>
      </c>
      <c r="BL386">
        <v>121.87</v>
      </c>
      <c r="BM386">
        <v>18.28</v>
      </c>
      <c r="BN386">
        <v>140.15</v>
      </c>
      <c r="BO386">
        <v>140.15</v>
      </c>
      <c r="BQ386" t="s">
        <v>1226</v>
      </c>
      <c r="BR386" t="s">
        <v>82</v>
      </c>
      <c r="BS386" s="3">
        <v>44606</v>
      </c>
      <c r="BT386" s="4">
        <v>0.35972222222222222</v>
      </c>
      <c r="BU386" t="s">
        <v>1227</v>
      </c>
      <c r="BV386" t="s">
        <v>101</v>
      </c>
      <c r="BY386">
        <v>11869.2</v>
      </c>
      <c r="CA386" t="s">
        <v>1228</v>
      </c>
      <c r="CC386" t="s">
        <v>154</v>
      </c>
      <c r="CD386">
        <v>2196</v>
      </c>
      <c r="CE386" t="s">
        <v>130</v>
      </c>
      <c r="CF386" s="3">
        <v>44607</v>
      </c>
      <c r="CI386">
        <v>2</v>
      </c>
      <c r="CJ386">
        <v>2</v>
      </c>
      <c r="CK386">
        <v>41</v>
      </c>
      <c r="CL386" t="s">
        <v>84</v>
      </c>
    </row>
    <row r="387" spans="1:90" x14ac:dyDescent="0.25">
      <c r="A387" t="s">
        <v>72</v>
      </c>
      <c r="B387" t="s">
        <v>73</v>
      </c>
      <c r="C387" t="s">
        <v>74</v>
      </c>
      <c r="E387" t="str">
        <f>"GAB2008230"</f>
        <v>GAB2008230</v>
      </c>
      <c r="F387" s="3">
        <v>44602</v>
      </c>
      <c r="G387">
        <v>202208</v>
      </c>
      <c r="H387" t="s">
        <v>75</v>
      </c>
      <c r="I387" t="s">
        <v>76</v>
      </c>
      <c r="J387" t="s">
        <v>77</v>
      </c>
      <c r="K387" t="s">
        <v>78</v>
      </c>
      <c r="L387" t="s">
        <v>75</v>
      </c>
      <c r="M387" t="s">
        <v>76</v>
      </c>
      <c r="N387" t="s">
        <v>98</v>
      </c>
      <c r="O387" t="s">
        <v>80</v>
      </c>
      <c r="P387" t="str">
        <f>"CT071916                      "</f>
        <v xml:space="preserve">CT071916                      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0</v>
      </c>
      <c r="AF387">
        <v>0</v>
      </c>
      <c r="AG387">
        <v>0</v>
      </c>
      <c r="AH387">
        <v>0</v>
      </c>
      <c r="AI387">
        <v>0</v>
      </c>
      <c r="AJ387">
        <v>0</v>
      </c>
      <c r="AK387">
        <v>13.09</v>
      </c>
      <c r="AL387">
        <v>0</v>
      </c>
      <c r="AM387">
        <v>0</v>
      </c>
      <c r="AN387">
        <v>0</v>
      </c>
      <c r="AO387">
        <v>0</v>
      </c>
      <c r="AP387">
        <v>0</v>
      </c>
      <c r="AQ387">
        <v>0</v>
      </c>
      <c r="AR387">
        <v>0</v>
      </c>
      <c r="AS387">
        <v>0</v>
      </c>
      <c r="AT387">
        <v>0</v>
      </c>
      <c r="AU387">
        <v>0</v>
      </c>
      <c r="AV387">
        <v>0</v>
      </c>
      <c r="AW387">
        <v>0</v>
      </c>
      <c r="AX387">
        <v>0</v>
      </c>
      <c r="AY387">
        <v>0</v>
      </c>
      <c r="AZ387">
        <v>0</v>
      </c>
      <c r="BA387">
        <v>0</v>
      </c>
      <c r="BB387">
        <v>0</v>
      </c>
      <c r="BC387">
        <v>0</v>
      </c>
      <c r="BD387">
        <v>0</v>
      </c>
      <c r="BE387">
        <v>0</v>
      </c>
      <c r="BF387">
        <v>0</v>
      </c>
      <c r="BG387">
        <v>0</v>
      </c>
      <c r="BH387">
        <v>1</v>
      </c>
      <c r="BI387">
        <v>0.2</v>
      </c>
      <c r="BJ387">
        <v>2.4</v>
      </c>
      <c r="BK387">
        <v>2.5</v>
      </c>
      <c r="BL387">
        <v>47.1</v>
      </c>
      <c r="BM387">
        <v>7.07</v>
      </c>
      <c r="BN387">
        <v>54.17</v>
      </c>
      <c r="BO387">
        <v>54.17</v>
      </c>
      <c r="BQ387" t="s">
        <v>99</v>
      </c>
      <c r="BR387" t="s">
        <v>82</v>
      </c>
      <c r="BS387" s="3">
        <v>44603</v>
      </c>
      <c r="BT387" s="4">
        <v>0.4375</v>
      </c>
      <c r="BU387" t="s">
        <v>100</v>
      </c>
      <c r="BV387" t="s">
        <v>101</v>
      </c>
      <c r="BY387">
        <v>11771.76</v>
      </c>
      <c r="BZ387" t="s">
        <v>87</v>
      </c>
      <c r="CA387" t="s">
        <v>102</v>
      </c>
      <c r="CC387" t="s">
        <v>76</v>
      </c>
      <c r="CD387">
        <v>7800</v>
      </c>
      <c r="CE387" t="s">
        <v>97</v>
      </c>
      <c r="CF387" s="3">
        <v>44606</v>
      </c>
      <c r="CI387">
        <v>1</v>
      </c>
      <c r="CJ387">
        <v>1</v>
      </c>
      <c r="CK387">
        <v>22</v>
      </c>
      <c r="CL387" t="s">
        <v>84</v>
      </c>
    </row>
    <row r="388" spans="1:90" x14ac:dyDescent="0.25">
      <c r="A388" t="s">
        <v>72</v>
      </c>
      <c r="B388" t="s">
        <v>73</v>
      </c>
      <c r="C388" t="s">
        <v>74</v>
      </c>
      <c r="E388" t="str">
        <f>"GAB2008214"</f>
        <v>GAB2008214</v>
      </c>
      <c r="F388" s="3">
        <v>44602</v>
      </c>
      <c r="G388">
        <v>202208</v>
      </c>
      <c r="H388" t="s">
        <v>75</v>
      </c>
      <c r="I388" t="s">
        <v>76</v>
      </c>
      <c r="J388" t="s">
        <v>77</v>
      </c>
      <c r="K388" t="s">
        <v>78</v>
      </c>
      <c r="L388" t="s">
        <v>1229</v>
      </c>
      <c r="M388" t="s">
        <v>1230</v>
      </c>
      <c r="N388" t="s">
        <v>1231</v>
      </c>
      <c r="O388" t="s">
        <v>125</v>
      </c>
      <c r="P388" t="str">
        <f>"CT071902                      "</f>
        <v xml:space="preserve">CT071902                      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0</v>
      </c>
      <c r="AH388">
        <v>0</v>
      </c>
      <c r="AI388">
        <v>0</v>
      </c>
      <c r="AJ388">
        <v>0</v>
      </c>
      <c r="AK388">
        <v>45.72</v>
      </c>
      <c r="AL388">
        <v>0</v>
      </c>
      <c r="AM388">
        <v>0</v>
      </c>
      <c r="AN388">
        <v>0</v>
      </c>
      <c r="AO388">
        <v>0</v>
      </c>
      <c r="AP388">
        <v>0</v>
      </c>
      <c r="AQ388">
        <v>0</v>
      </c>
      <c r="AR388">
        <v>0</v>
      </c>
      <c r="AS388">
        <v>0</v>
      </c>
      <c r="AT388">
        <v>0</v>
      </c>
      <c r="AU388">
        <v>0</v>
      </c>
      <c r="AV388">
        <v>0</v>
      </c>
      <c r="AW388">
        <v>0</v>
      </c>
      <c r="AX388">
        <v>0</v>
      </c>
      <c r="AY388">
        <v>0</v>
      </c>
      <c r="AZ388">
        <v>0</v>
      </c>
      <c r="BA388">
        <v>0</v>
      </c>
      <c r="BB388">
        <v>0</v>
      </c>
      <c r="BC388">
        <v>0</v>
      </c>
      <c r="BD388">
        <v>0</v>
      </c>
      <c r="BE388">
        <v>0</v>
      </c>
      <c r="BF388">
        <v>0</v>
      </c>
      <c r="BG388">
        <v>0</v>
      </c>
      <c r="BH388">
        <v>1</v>
      </c>
      <c r="BI388">
        <v>0.3</v>
      </c>
      <c r="BJ388">
        <v>2.5</v>
      </c>
      <c r="BK388">
        <v>3</v>
      </c>
      <c r="BL388">
        <v>169.72</v>
      </c>
      <c r="BM388">
        <v>25.46</v>
      </c>
      <c r="BN388">
        <v>195.18</v>
      </c>
      <c r="BO388">
        <v>195.18</v>
      </c>
      <c r="BQ388" t="s">
        <v>1232</v>
      </c>
      <c r="BR388" t="s">
        <v>82</v>
      </c>
      <c r="BS388" s="3">
        <v>44606</v>
      </c>
      <c r="BT388" s="4">
        <v>0.62152777777777779</v>
      </c>
      <c r="BU388" t="s">
        <v>1233</v>
      </c>
      <c r="BV388" t="s">
        <v>101</v>
      </c>
      <c r="BY388">
        <v>12355.2</v>
      </c>
      <c r="CA388" t="s">
        <v>1234</v>
      </c>
      <c r="CC388" t="s">
        <v>1230</v>
      </c>
      <c r="CD388">
        <v>1000</v>
      </c>
      <c r="CE388" t="s">
        <v>130</v>
      </c>
      <c r="CF388" s="3">
        <v>44606</v>
      </c>
      <c r="CI388">
        <v>2</v>
      </c>
      <c r="CJ388">
        <v>2</v>
      </c>
      <c r="CK388">
        <v>43</v>
      </c>
      <c r="CL388" t="s">
        <v>84</v>
      </c>
    </row>
    <row r="389" spans="1:90" x14ac:dyDescent="0.25">
      <c r="A389" t="s">
        <v>72</v>
      </c>
      <c r="B389" t="s">
        <v>73</v>
      </c>
      <c r="C389" t="s">
        <v>74</v>
      </c>
      <c r="E389" t="str">
        <f>"GAB2008223"</f>
        <v>GAB2008223</v>
      </c>
      <c r="F389" s="3">
        <v>44602</v>
      </c>
      <c r="G389">
        <v>202208</v>
      </c>
      <c r="H389" t="s">
        <v>75</v>
      </c>
      <c r="I389" t="s">
        <v>76</v>
      </c>
      <c r="J389" t="s">
        <v>77</v>
      </c>
      <c r="K389" t="s">
        <v>78</v>
      </c>
      <c r="L389" t="s">
        <v>159</v>
      </c>
      <c r="M389" t="s">
        <v>160</v>
      </c>
      <c r="N389" t="s">
        <v>161</v>
      </c>
      <c r="O389" t="s">
        <v>80</v>
      </c>
      <c r="P389" t="str">
        <f>"CT071913                      "</f>
        <v xml:space="preserve">CT071913                      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  <c r="AG389">
        <v>0</v>
      </c>
      <c r="AH389">
        <v>0</v>
      </c>
      <c r="AI389">
        <v>0</v>
      </c>
      <c r="AJ389">
        <v>0</v>
      </c>
      <c r="AK389">
        <v>47.15</v>
      </c>
      <c r="AL389">
        <v>0</v>
      </c>
      <c r="AM389">
        <v>0</v>
      </c>
      <c r="AN389">
        <v>0</v>
      </c>
      <c r="AO389">
        <v>0</v>
      </c>
      <c r="AP389">
        <v>0</v>
      </c>
      <c r="AQ389">
        <v>0</v>
      </c>
      <c r="AR389">
        <v>0</v>
      </c>
      <c r="AS389">
        <v>0</v>
      </c>
      <c r="AT389">
        <v>0</v>
      </c>
      <c r="AU389">
        <v>0</v>
      </c>
      <c r="AV389">
        <v>0</v>
      </c>
      <c r="AW389">
        <v>0</v>
      </c>
      <c r="AX389">
        <v>0</v>
      </c>
      <c r="AY389">
        <v>0</v>
      </c>
      <c r="AZ389">
        <v>0</v>
      </c>
      <c r="BA389">
        <v>0</v>
      </c>
      <c r="BB389">
        <v>0</v>
      </c>
      <c r="BC389">
        <v>0</v>
      </c>
      <c r="BD389">
        <v>0</v>
      </c>
      <c r="BE389">
        <v>0</v>
      </c>
      <c r="BF389">
        <v>0</v>
      </c>
      <c r="BG389">
        <v>0</v>
      </c>
      <c r="BH389">
        <v>1</v>
      </c>
      <c r="BI389">
        <v>0.3</v>
      </c>
      <c r="BJ389">
        <v>3</v>
      </c>
      <c r="BK389">
        <v>3</v>
      </c>
      <c r="BL389">
        <v>169.61</v>
      </c>
      <c r="BM389">
        <v>25.44</v>
      </c>
      <c r="BN389">
        <v>195.05</v>
      </c>
      <c r="BO389">
        <v>195.05</v>
      </c>
      <c r="BQ389" t="s">
        <v>162</v>
      </c>
      <c r="BR389" t="s">
        <v>82</v>
      </c>
      <c r="BS389" s="3">
        <v>44603</v>
      </c>
      <c r="BT389" s="4">
        <v>0.58263888888888882</v>
      </c>
      <c r="BU389" t="s">
        <v>1235</v>
      </c>
      <c r="BV389" t="s">
        <v>84</v>
      </c>
      <c r="BW389" t="s">
        <v>964</v>
      </c>
      <c r="BX389" t="s">
        <v>1236</v>
      </c>
      <c r="BY389">
        <v>15050.28</v>
      </c>
      <c r="BZ389" t="s">
        <v>87</v>
      </c>
      <c r="CA389" t="s">
        <v>422</v>
      </c>
      <c r="CC389" t="s">
        <v>160</v>
      </c>
      <c r="CD389">
        <v>9459</v>
      </c>
      <c r="CE389" t="s">
        <v>108</v>
      </c>
      <c r="CF389" s="3">
        <v>44603</v>
      </c>
      <c r="CI389">
        <v>1</v>
      </c>
      <c r="CJ389">
        <v>1</v>
      </c>
      <c r="CK389">
        <v>23</v>
      </c>
      <c r="CL389" t="s">
        <v>84</v>
      </c>
    </row>
    <row r="390" spans="1:90" x14ac:dyDescent="0.25">
      <c r="A390" t="s">
        <v>72</v>
      </c>
      <c r="B390" t="s">
        <v>73</v>
      </c>
      <c r="C390" t="s">
        <v>74</v>
      </c>
      <c r="E390" t="str">
        <f>"GAB2008212"</f>
        <v>GAB2008212</v>
      </c>
      <c r="F390" s="3">
        <v>44602</v>
      </c>
      <c r="G390">
        <v>202208</v>
      </c>
      <c r="H390" t="s">
        <v>75</v>
      </c>
      <c r="I390" t="s">
        <v>76</v>
      </c>
      <c r="J390" t="s">
        <v>77</v>
      </c>
      <c r="K390" t="s">
        <v>78</v>
      </c>
      <c r="L390" t="s">
        <v>761</v>
      </c>
      <c r="M390" t="s">
        <v>762</v>
      </c>
      <c r="N390" t="s">
        <v>1237</v>
      </c>
      <c r="O390" t="s">
        <v>125</v>
      </c>
      <c r="P390" t="str">
        <f>"CT071849                      "</f>
        <v xml:space="preserve">CT071849                      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0</v>
      </c>
      <c r="AG390">
        <v>0</v>
      </c>
      <c r="AH390">
        <v>0</v>
      </c>
      <c r="AI390">
        <v>0</v>
      </c>
      <c r="AJ390">
        <v>0</v>
      </c>
      <c r="AK390">
        <v>32.42</v>
      </c>
      <c r="AL390">
        <v>0</v>
      </c>
      <c r="AM390">
        <v>0</v>
      </c>
      <c r="AN390">
        <v>0</v>
      </c>
      <c r="AO390">
        <v>0</v>
      </c>
      <c r="AP390">
        <v>0</v>
      </c>
      <c r="AQ390">
        <v>0</v>
      </c>
      <c r="AR390">
        <v>0</v>
      </c>
      <c r="AS390">
        <v>0</v>
      </c>
      <c r="AT390">
        <v>0</v>
      </c>
      <c r="AU390">
        <v>0</v>
      </c>
      <c r="AV390">
        <v>0</v>
      </c>
      <c r="AW390">
        <v>0</v>
      </c>
      <c r="AX390">
        <v>0</v>
      </c>
      <c r="AY390">
        <v>0</v>
      </c>
      <c r="AZ390">
        <v>0</v>
      </c>
      <c r="BA390">
        <v>0</v>
      </c>
      <c r="BB390">
        <v>0</v>
      </c>
      <c r="BC390">
        <v>0</v>
      </c>
      <c r="BD390">
        <v>0</v>
      </c>
      <c r="BE390">
        <v>0</v>
      </c>
      <c r="BF390">
        <v>0</v>
      </c>
      <c r="BG390">
        <v>0</v>
      </c>
      <c r="BH390">
        <v>1</v>
      </c>
      <c r="BI390">
        <v>1.3</v>
      </c>
      <c r="BJ390">
        <v>1.8</v>
      </c>
      <c r="BK390">
        <v>2</v>
      </c>
      <c r="BL390">
        <v>121.87</v>
      </c>
      <c r="BM390">
        <v>18.28</v>
      </c>
      <c r="BN390">
        <v>140.15</v>
      </c>
      <c r="BO390">
        <v>140.15</v>
      </c>
      <c r="BQ390" t="s">
        <v>1238</v>
      </c>
      <c r="BR390" t="s">
        <v>82</v>
      </c>
      <c r="BS390" s="3">
        <v>44607</v>
      </c>
      <c r="BT390" s="4">
        <v>0.57291666666666663</v>
      </c>
      <c r="BU390" t="s">
        <v>1239</v>
      </c>
      <c r="BV390" t="s">
        <v>101</v>
      </c>
      <c r="BY390">
        <v>9086</v>
      </c>
      <c r="CA390" t="s">
        <v>1158</v>
      </c>
      <c r="CC390" t="s">
        <v>762</v>
      </c>
      <c r="CD390">
        <v>9301</v>
      </c>
      <c r="CE390" t="s">
        <v>130</v>
      </c>
      <c r="CF390" s="3">
        <v>44608</v>
      </c>
      <c r="CI390">
        <v>3</v>
      </c>
      <c r="CJ390">
        <v>3</v>
      </c>
      <c r="CK390">
        <v>41</v>
      </c>
      <c r="CL390" t="s">
        <v>84</v>
      </c>
    </row>
    <row r="391" spans="1:90" x14ac:dyDescent="0.25">
      <c r="A391" t="s">
        <v>72</v>
      </c>
      <c r="B391" t="s">
        <v>73</v>
      </c>
      <c r="C391" t="s">
        <v>74</v>
      </c>
      <c r="E391" t="str">
        <f>"GAB2008222"</f>
        <v>GAB2008222</v>
      </c>
      <c r="F391" s="3">
        <v>44602</v>
      </c>
      <c r="G391">
        <v>202208</v>
      </c>
      <c r="H391" t="s">
        <v>75</v>
      </c>
      <c r="I391" t="s">
        <v>76</v>
      </c>
      <c r="J391" t="s">
        <v>77</v>
      </c>
      <c r="K391" t="s">
        <v>78</v>
      </c>
      <c r="L391" t="s">
        <v>109</v>
      </c>
      <c r="M391" t="s">
        <v>110</v>
      </c>
      <c r="N391" t="s">
        <v>111</v>
      </c>
      <c r="O391" t="s">
        <v>80</v>
      </c>
      <c r="P391" t="str">
        <f>"ATT:DE WET                    "</f>
        <v xml:space="preserve">ATT:DE WET                    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  <c r="AG391">
        <v>0</v>
      </c>
      <c r="AH391">
        <v>0</v>
      </c>
      <c r="AI391">
        <v>0</v>
      </c>
      <c r="AJ391">
        <v>0</v>
      </c>
      <c r="AK391">
        <v>25.14</v>
      </c>
      <c r="AL391">
        <v>0</v>
      </c>
      <c r="AM391">
        <v>0</v>
      </c>
      <c r="AN391">
        <v>0</v>
      </c>
      <c r="AO391">
        <v>0</v>
      </c>
      <c r="AP391">
        <v>0</v>
      </c>
      <c r="AQ391">
        <v>0</v>
      </c>
      <c r="AR391">
        <v>0</v>
      </c>
      <c r="AS391">
        <v>0</v>
      </c>
      <c r="AT391">
        <v>0</v>
      </c>
      <c r="AU391">
        <v>0</v>
      </c>
      <c r="AV391">
        <v>0</v>
      </c>
      <c r="AW391">
        <v>0</v>
      </c>
      <c r="AX391">
        <v>0</v>
      </c>
      <c r="AY391">
        <v>0</v>
      </c>
      <c r="AZ391">
        <v>0</v>
      </c>
      <c r="BA391">
        <v>0</v>
      </c>
      <c r="BB391">
        <v>0</v>
      </c>
      <c r="BC391">
        <v>0</v>
      </c>
      <c r="BD391">
        <v>0</v>
      </c>
      <c r="BE391">
        <v>0</v>
      </c>
      <c r="BF391">
        <v>0</v>
      </c>
      <c r="BG391">
        <v>0</v>
      </c>
      <c r="BH391">
        <v>1</v>
      </c>
      <c r="BI391">
        <v>0.5</v>
      </c>
      <c r="BJ391">
        <v>2.6</v>
      </c>
      <c r="BK391">
        <v>3</v>
      </c>
      <c r="BL391">
        <v>90.44</v>
      </c>
      <c r="BM391">
        <v>13.57</v>
      </c>
      <c r="BN391">
        <v>104.01</v>
      </c>
      <c r="BO391">
        <v>104.01</v>
      </c>
      <c r="BQ391" t="s">
        <v>1240</v>
      </c>
      <c r="BR391" t="s">
        <v>82</v>
      </c>
      <c r="BS391" s="3">
        <v>44603</v>
      </c>
      <c r="BT391" s="4">
        <v>0.4465277777777778</v>
      </c>
      <c r="BU391" t="s">
        <v>128</v>
      </c>
      <c r="BV391" t="s">
        <v>84</v>
      </c>
      <c r="BY391">
        <v>13230</v>
      </c>
      <c r="BZ391" t="s">
        <v>87</v>
      </c>
      <c r="CA391" t="s">
        <v>129</v>
      </c>
      <c r="CC391" t="s">
        <v>110</v>
      </c>
      <c r="CD391">
        <v>157</v>
      </c>
      <c r="CE391" t="s">
        <v>1057</v>
      </c>
      <c r="CF391" s="3">
        <v>44603</v>
      </c>
      <c r="CI391">
        <v>1</v>
      </c>
      <c r="CJ391">
        <v>1</v>
      </c>
      <c r="CK391">
        <v>21</v>
      </c>
      <c r="CL391" t="s">
        <v>84</v>
      </c>
    </row>
    <row r="392" spans="1:90" x14ac:dyDescent="0.25">
      <c r="A392" t="s">
        <v>72</v>
      </c>
      <c r="B392" t="s">
        <v>73</v>
      </c>
      <c r="C392" t="s">
        <v>74</v>
      </c>
      <c r="E392" t="str">
        <f>"GAB2008213"</f>
        <v>GAB2008213</v>
      </c>
      <c r="F392" s="3">
        <v>44602</v>
      </c>
      <c r="G392">
        <v>202208</v>
      </c>
      <c r="H392" t="s">
        <v>75</v>
      </c>
      <c r="I392" t="s">
        <v>76</v>
      </c>
      <c r="J392" t="s">
        <v>77</v>
      </c>
      <c r="K392" t="s">
        <v>78</v>
      </c>
      <c r="L392" t="s">
        <v>116</v>
      </c>
      <c r="M392" t="s">
        <v>117</v>
      </c>
      <c r="N392" t="s">
        <v>334</v>
      </c>
      <c r="O392" t="s">
        <v>125</v>
      </c>
      <c r="P392" t="str">
        <f>"CT071792                      "</f>
        <v xml:space="preserve">CT071792                      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0</v>
      </c>
      <c r="AH392">
        <v>0</v>
      </c>
      <c r="AI392">
        <v>0</v>
      </c>
      <c r="AJ392">
        <v>0</v>
      </c>
      <c r="AK392">
        <v>32.42</v>
      </c>
      <c r="AL392">
        <v>0</v>
      </c>
      <c r="AM392">
        <v>0</v>
      </c>
      <c r="AN392">
        <v>0</v>
      </c>
      <c r="AO392">
        <v>0</v>
      </c>
      <c r="AP392">
        <v>0</v>
      </c>
      <c r="AQ392">
        <v>0</v>
      </c>
      <c r="AR392">
        <v>0</v>
      </c>
      <c r="AS392">
        <v>0</v>
      </c>
      <c r="AT392">
        <v>0</v>
      </c>
      <c r="AU392">
        <v>0</v>
      </c>
      <c r="AV392">
        <v>0</v>
      </c>
      <c r="AW392">
        <v>0</v>
      </c>
      <c r="AX392">
        <v>0</v>
      </c>
      <c r="AY392">
        <v>0</v>
      </c>
      <c r="AZ392">
        <v>0</v>
      </c>
      <c r="BA392">
        <v>0</v>
      </c>
      <c r="BB392">
        <v>0</v>
      </c>
      <c r="BC392">
        <v>0</v>
      </c>
      <c r="BD392">
        <v>0</v>
      </c>
      <c r="BE392">
        <v>0</v>
      </c>
      <c r="BF392">
        <v>0</v>
      </c>
      <c r="BG392">
        <v>0</v>
      </c>
      <c r="BH392">
        <v>1</v>
      </c>
      <c r="BI392">
        <v>2.4</v>
      </c>
      <c r="BJ392">
        <v>7.2</v>
      </c>
      <c r="BK392">
        <v>8</v>
      </c>
      <c r="BL392">
        <v>121.87</v>
      </c>
      <c r="BM392">
        <v>18.28</v>
      </c>
      <c r="BN392">
        <v>140.15</v>
      </c>
      <c r="BO392">
        <v>140.15</v>
      </c>
      <c r="BQ392" t="s">
        <v>1241</v>
      </c>
      <c r="BR392" t="s">
        <v>82</v>
      </c>
      <c r="BS392" s="3">
        <v>44606</v>
      </c>
      <c r="BT392" s="4">
        <v>0.49027777777777781</v>
      </c>
      <c r="BU392" t="s">
        <v>1242</v>
      </c>
      <c r="BV392" t="s">
        <v>101</v>
      </c>
      <c r="BY392">
        <v>35920.5</v>
      </c>
      <c r="CA392" t="s">
        <v>122</v>
      </c>
      <c r="CC392" t="s">
        <v>117</v>
      </c>
      <c r="CD392">
        <v>1475</v>
      </c>
      <c r="CE392" t="s">
        <v>130</v>
      </c>
      <c r="CF392" s="3">
        <v>44606</v>
      </c>
      <c r="CI392">
        <v>2</v>
      </c>
      <c r="CJ392">
        <v>2</v>
      </c>
      <c r="CK392">
        <v>41</v>
      </c>
      <c r="CL392" t="s">
        <v>84</v>
      </c>
    </row>
    <row r="393" spans="1:90" x14ac:dyDescent="0.25">
      <c r="A393" t="s">
        <v>72</v>
      </c>
      <c r="B393" t="s">
        <v>73</v>
      </c>
      <c r="C393" t="s">
        <v>74</v>
      </c>
      <c r="E393" t="str">
        <f>"GAB2008220"</f>
        <v>GAB2008220</v>
      </c>
      <c r="F393" s="3">
        <v>44602</v>
      </c>
      <c r="G393">
        <v>202208</v>
      </c>
      <c r="H393" t="s">
        <v>75</v>
      </c>
      <c r="I393" t="s">
        <v>76</v>
      </c>
      <c r="J393" t="s">
        <v>77</v>
      </c>
      <c r="K393" t="s">
        <v>78</v>
      </c>
      <c r="L393" t="s">
        <v>142</v>
      </c>
      <c r="M393" t="s">
        <v>143</v>
      </c>
      <c r="N393" t="s">
        <v>967</v>
      </c>
      <c r="O393" t="s">
        <v>80</v>
      </c>
      <c r="P393" t="str">
        <f>"006940                        "</f>
        <v xml:space="preserve">006940                        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  <c r="AG393">
        <v>0</v>
      </c>
      <c r="AH393">
        <v>0</v>
      </c>
      <c r="AI393">
        <v>0</v>
      </c>
      <c r="AJ393">
        <v>0</v>
      </c>
      <c r="AK393">
        <v>25.14</v>
      </c>
      <c r="AL393">
        <v>0</v>
      </c>
      <c r="AM393">
        <v>0</v>
      </c>
      <c r="AN393">
        <v>0</v>
      </c>
      <c r="AO393">
        <v>0</v>
      </c>
      <c r="AP393">
        <v>0</v>
      </c>
      <c r="AQ393">
        <v>0</v>
      </c>
      <c r="AR393">
        <v>0</v>
      </c>
      <c r="AS393">
        <v>0</v>
      </c>
      <c r="AT393">
        <v>0</v>
      </c>
      <c r="AU393">
        <v>0</v>
      </c>
      <c r="AV393">
        <v>0</v>
      </c>
      <c r="AW393">
        <v>0</v>
      </c>
      <c r="AX393">
        <v>0</v>
      </c>
      <c r="AY393">
        <v>0</v>
      </c>
      <c r="AZ393">
        <v>0</v>
      </c>
      <c r="BA393">
        <v>0</v>
      </c>
      <c r="BB393">
        <v>0</v>
      </c>
      <c r="BC393">
        <v>0</v>
      </c>
      <c r="BD393">
        <v>0</v>
      </c>
      <c r="BE393">
        <v>0</v>
      </c>
      <c r="BF393">
        <v>0</v>
      </c>
      <c r="BG393">
        <v>0</v>
      </c>
      <c r="BH393">
        <v>1</v>
      </c>
      <c r="BI393">
        <v>0.2</v>
      </c>
      <c r="BJ393">
        <v>2.8</v>
      </c>
      <c r="BK393">
        <v>3</v>
      </c>
      <c r="BL393">
        <v>90.44</v>
      </c>
      <c r="BM393">
        <v>13.57</v>
      </c>
      <c r="BN393">
        <v>104.01</v>
      </c>
      <c r="BO393">
        <v>104.01</v>
      </c>
      <c r="BQ393" t="s">
        <v>741</v>
      </c>
      <c r="BR393" t="s">
        <v>82</v>
      </c>
      <c r="BS393" s="3">
        <v>44603</v>
      </c>
      <c r="BT393" s="4">
        <v>0.40277777777777773</v>
      </c>
      <c r="BU393" t="s">
        <v>1243</v>
      </c>
      <c r="BV393" t="s">
        <v>101</v>
      </c>
      <c r="BY393">
        <v>13916.7</v>
      </c>
      <c r="BZ393" t="s">
        <v>87</v>
      </c>
      <c r="CA393" t="s">
        <v>970</v>
      </c>
      <c r="CC393" t="s">
        <v>143</v>
      </c>
      <c r="CD393">
        <v>1416</v>
      </c>
      <c r="CE393" t="s">
        <v>288</v>
      </c>
      <c r="CF393" s="3">
        <v>44603</v>
      </c>
      <c r="CI393">
        <v>1</v>
      </c>
      <c r="CJ393">
        <v>1</v>
      </c>
      <c r="CK393">
        <v>21</v>
      </c>
      <c r="CL393" t="s">
        <v>84</v>
      </c>
    </row>
    <row r="394" spans="1:90" x14ac:dyDescent="0.25">
      <c r="A394" t="s">
        <v>72</v>
      </c>
      <c r="B394" t="s">
        <v>73</v>
      </c>
      <c r="C394" t="s">
        <v>74</v>
      </c>
      <c r="E394" t="str">
        <f>"GAB2008219"</f>
        <v>GAB2008219</v>
      </c>
      <c r="F394" s="3">
        <v>44602</v>
      </c>
      <c r="G394">
        <v>202208</v>
      </c>
      <c r="H394" t="s">
        <v>75</v>
      </c>
      <c r="I394" t="s">
        <v>76</v>
      </c>
      <c r="J394" t="s">
        <v>77</v>
      </c>
      <c r="K394" t="s">
        <v>78</v>
      </c>
      <c r="L394" t="s">
        <v>165</v>
      </c>
      <c r="M394" t="s">
        <v>166</v>
      </c>
      <c r="N394" t="s">
        <v>423</v>
      </c>
      <c r="O394" t="s">
        <v>80</v>
      </c>
      <c r="P394" t="str">
        <f>"006970 006969                 "</f>
        <v xml:space="preserve">006970 006969                 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0</v>
      </c>
      <c r="AF394">
        <v>0</v>
      </c>
      <c r="AG394">
        <v>0</v>
      </c>
      <c r="AH394">
        <v>0</v>
      </c>
      <c r="AI394">
        <v>0</v>
      </c>
      <c r="AJ394">
        <v>0</v>
      </c>
      <c r="AK394">
        <v>25.14</v>
      </c>
      <c r="AL394">
        <v>0</v>
      </c>
      <c r="AM394">
        <v>0</v>
      </c>
      <c r="AN394">
        <v>0</v>
      </c>
      <c r="AO394">
        <v>0</v>
      </c>
      <c r="AP394">
        <v>0</v>
      </c>
      <c r="AQ394">
        <v>0</v>
      </c>
      <c r="AR394">
        <v>0</v>
      </c>
      <c r="AS394">
        <v>0</v>
      </c>
      <c r="AT394">
        <v>0</v>
      </c>
      <c r="AU394">
        <v>0</v>
      </c>
      <c r="AV394">
        <v>0</v>
      </c>
      <c r="AW394">
        <v>0</v>
      </c>
      <c r="AX394">
        <v>0</v>
      </c>
      <c r="AY394">
        <v>0</v>
      </c>
      <c r="AZ394">
        <v>0</v>
      </c>
      <c r="BA394">
        <v>0</v>
      </c>
      <c r="BB394">
        <v>0</v>
      </c>
      <c r="BC394">
        <v>0</v>
      </c>
      <c r="BD394">
        <v>0</v>
      </c>
      <c r="BE394">
        <v>0</v>
      </c>
      <c r="BF394">
        <v>0</v>
      </c>
      <c r="BG394">
        <v>0</v>
      </c>
      <c r="BH394">
        <v>1</v>
      </c>
      <c r="BI394">
        <v>0.2</v>
      </c>
      <c r="BJ394">
        <v>2.7</v>
      </c>
      <c r="BK394">
        <v>3</v>
      </c>
      <c r="BL394">
        <v>90.44</v>
      </c>
      <c r="BM394">
        <v>13.57</v>
      </c>
      <c r="BN394">
        <v>104.01</v>
      </c>
      <c r="BO394">
        <v>104.01</v>
      </c>
      <c r="BQ394" t="s">
        <v>1244</v>
      </c>
      <c r="BR394" t="s">
        <v>82</v>
      </c>
      <c r="BS394" s="3">
        <v>44603</v>
      </c>
      <c r="BT394" s="4">
        <v>0.42499999999999999</v>
      </c>
      <c r="BU394" t="s">
        <v>1245</v>
      </c>
      <c r="BV394" t="s">
        <v>101</v>
      </c>
      <c r="BY394">
        <v>13513.25</v>
      </c>
      <c r="BZ394" t="s">
        <v>87</v>
      </c>
      <c r="CA394" t="s">
        <v>1246</v>
      </c>
      <c r="CC394" t="s">
        <v>166</v>
      </c>
      <c r="CD394">
        <v>2</v>
      </c>
      <c r="CE394" t="s">
        <v>97</v>
      </c>
      <c r="CF394" s="3">
        <v>44603</v>
      </c>
      <c r="CI394">
        <v>1</v>
      </c>
      <c r="CJ394">
        <v>1</v>
      </c>
      <c r="CK394">
        <v>21</v>
      </c>
      <c r="CL394" t="s">
        <v>84</v>
      </c>
    </row>
    <row r="395" spans="1:90" x14ac:dyDescent="0.25">
      <c r="A395" t="s">
        <v>72</v>
      </c>
      <c r="B395" t="s">
        <v>73</v>
      </c>
      <c r="C395" t="s">
        <v>74</v>
      </c>
      <c r="E395" t="str">
        <f>"GAB2008218"</f>
        <v>GAB2008218</v>
      </c>
      <c r="F395" s="3">
        <v>44602</v>
      </c>
      <c r="G395">
        <v>202208</v>
      </c>
      <c r="H395" t="s">
        <v>75</v>
      </c>
      <c r="I395" t="s">
        <v>76</v>
      </c>
      <c r="J395" t="s">
        <v>77</v>
      </c>
      <c r="K395" t="s">
        <v>78</v>
      </c>
      <c r="L395" t="s">
        <v>153</v>
      </c>
      <c r="M395" t="s">
        <v>154</v>
      </c>
      <c r="N395" t="s">
        <v>370</v>
      </c>
      <c r="O395" t="s">
        <v>80</v>
      </c>
      <c r="P395" t="str">
        <f>"006971                        "</f>
        <v xml:space="preserve">006971                        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0</v>
      </c>
      <c r="AG395">
        <v>0</v>
      </c>
      <c r="AH395">
        <v>0</v>
      </c>
      <c r="AI395">
        <v>0</v>
      </c>
      <c r="AJ395">
        <v>0</v>
      </c>
      <c r="AK395">
        <v>20.95</v>
      </c>
      <c r="AL395">
        <v>0</v>
      </c>
      <c r="AM395">
        <v>0</v>
      </c>
      <c r="AN395">
        <v>0</v>
      </c>
      <c r="AO395">
        <v>0</v>
      </c>
      <c r="AP395">
        <v>0</v>
      </c>
      <c r="AQ395">
        <v>15</v>
      </c>
      <c r="AR395">
        <v>0</v>
      </c>
      <c r="AS395">
        <v>0</v>
      </c>
      <c r="AT395">
        <v>0</v>
      </c>
      <c r="AU395">
        <v>0</v>
      </c>
      <c r="AV395">
        <v>0</v>
      </c>
      <c r="AW395">
        <v>0</v>
      </c>
      <c r="AX395">
        <v>0</v>
      </c>
      <c r="AY395">
        <v>0</v>
      </c>
      <c r="AZ395">
        <v>0</v>
      </c>
      <c r="BA395">
        <v>0</v>
      </c>
      <c r="BB395">
        <v>0</v>
      </c>
      <c r="BC395">
        <v>0</v>
      </c>
      <c r="BD395">
        <v>0</v>
      </c>
      <c r="BE395">
        <v>0</v>
      </c>
      <c r="BF395">
        <v>0</v>
      </c>
      <c r="BG395">
        <v>0</v>
      </c>
      <c r="BH395">
        <v>1</v>
      </c>
      <c r="BI395">
        <v>0.1</v>
      </c>
      <c r="BJ395">
        <v>2.4</v>
      </c>
      <c r="BK395">
        <v>2.5</v>
      </c>
      <c r="BL395">
        <v>90.37</v>
      </c>
      <c r="BM395">
        <v>13.56</v>
      </c>
      <c r="BN395">
        <v>103.93</v>
      </c>
      <c r="BO395">
        <v>103.93</v>
      </c>
      <c r="BQ395" t="s">
        <v>371</v>
      </c>
      <c r="BR395" t="s">
        <v>82</v>
      </c>
      <c r="BS395" s="3">
        <v>44603</v>
      </c>
      <c r="BT395" s="4">
        <v>0.38680555555555557</v>
      </c>
      <c r="BU395" t="s">
        <v>1247</v>
      </c>
      <c r="BV395" t="s">
        <v>101</v>
      </c>
      <c r="BY395">
        <v>11926</v>
      </c>
      <c r="BZ395" t="s">
        <v>121</v>
      </c>
      <c r="CA395" t="s">
        <v>1248</v>
      </c>
      <c r="CC395" t="s">
        <v>154</v>
      </c>
      <c r="CD395">
        <v>2000</v>
      </c>
      <c r="CE395" t="s">
        <v>152</v>
      </c>
      <c r="CF395" s="3">
        <v>44603</v>
      </c>
      <c r="CI395">
        <v>1</v>
      </c>
      <c r="CJ395">
        <v>1</v>
      </c>
      <c r="CK395">
        <v>21</v>
      </c>
      <c r="CL395" t="s">
        <v>84</v>
      </c>
    </row>
    <row r="396" spans="1:90" x14ac:dyDescent="0.25">
      <c r="A396" t="s">
        <v>72</v>
      </c>
      <c r="B396" t="s">
        <v>73</v>
      </c>
      <c r="C396" t="s">
        <v>74</v>
      </c>
      <c r="E396" t="str">
        <f>"GAB2008228"</f>
        <v>GAB2008228</v>
      </c>
      <c r="F396" s="3">
        <v>44602</v>
      </c>
      <c r="G396">
        <v>202208</v>
      </c>
      <c r="H396" t="s">
        <v>75</v>
      </c>
      <c r="I396" t="s">
        <v>76</v>
      </c>
      <c r="J396" t="s">
        <v>77</v>
      </c>
      <c r="K396" t="s">
        <v>78</v>
      </c>
      <c r="L396" t="s">
        <v>1249</v>
      </c>
      <c r="M396" t="s">
        <v>1250</v>
      </c>
      <c r="N396" t="s">
        <v>1251</v>
      </c>
      <c r="O396" t="s">
        <v>125</v>
      </c>
      <c r="P396" t="str">
        <f>"ORD00055                      "</f>
        <v xml:space="preserve">ORD00055                      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0</v>
      </c>
      <c r="AH396">
        <v>0</v>
      </c>
      <c r="AI396">
        <v>0</v>
      </c>
      <c r="AJ396">
        <v>0</v>
      </c>
      <c r="AK396">
        <v>606.59</v>
      </c>
      <c r="AL396">
        <v>0</v>
      </c>
      <c r="AM396">
        <v>0</v>
      </c>
      <c r="AN396">
        <v>0</v>
      </c>
      <c r="AO396">
        <v>0</v>
      </c>
      <c r="AP396">
        <v>0</v>
      </c>
      <c r="AQ396">
        <v>0</v>
      </c>
      <c r="AR396">
        <v>0</v>
      </c>
      <c r="AS396">
        <v>0</v>
      </c>
      <c r="AT396">
        <v>0</v>
      </c>
      <c r="AU396">
        <v>0</v>
      </c>
      <c r="AV396">
        <v>0</v>
      </c>
      <c r="AW396">
        <v>0</v>
      </c>
      <c r="AX396">
        <v>0</v>
      </c>
      <c r="AY396">
        <v>0</v>
      </c>
      <c r="AZ396">
        <v>0</v>
      </c>
      <c r="BA396">
        <v>0</v>
      </c>
      <c r="BB396">
        <v>0</v>
      </c>
      <c r="BC396">
        <v>0</v>
      </c>
      <c r="BD396">
        <v>0</v>
      </c>
      <c r="BE396">
        <v>0</v>
      </c>
      <c r="BF396">
        <v>0</v>
      </c>
      <c r="BG396">
        <v>0</v>
      </c>
      <c r="BH396">
        <v>24</v>
      </c>
      <c r="BI396">
        <v>73.400000000000006</v>
      </c>
      <c r="BJ396">
        <v>254.1</v>
      </c>
      <c r="BK396">
        <v>255</v>
      </c>
      <c r="BL396">
        <v>2187.39</v>
      </c>
      <c r="BM396">
        <v>328.11</v>
      </c>
      <c r="BN396">
        <v>2515.5</v>
      </c>
      <c r="BO396">
        <v>2515.5</v>
      </c>
      <c r="BR396" t="s">
        <v>82</v>
      </c>
      <c r="BS396" s="3">
        <v>44607</v>
      </c>
      <c r="BT396" s="4">
        <v>0.58333333333333337</v>
      </c>
      <c r="BU396" t="s">
        <v>1252</v>
      </c>
      <c r="BV396" t="s">
        <v>101</v>
      </c>
      <c r="BY396">
        <v>1270318.6100000001</v>
      </c>
      <c r="CC396" t="s">
        <v>1250</v>
      </c>
      <c r="CD396">
        <v>4249</v>
      </c>
      <c r="CE396" t="s">
        <v>130</v>
      </c>
      <c r="CF396" s="3">
        <v>44609</v>
      </c>
      <c r="CI396">
        <v>3</v>
      </c>
      <c r="CJ396">
        <v>3</v>
      </c>
      <c r="CK396">
        <v>43</v>
      </c>
      <c r="CL396" t="s">
        <v>84</v>
      </c>
    </row>
    <row r="397" spans="1:90" x14ac:dyDescent="0.25">
      <c r="A397" t="s">
        <v>72</v>
      </c>
      <c r="B397" t="s">
        <v>73</v>
      </c>
      <c r="C397" t="s">
        <v>74</v>
      </c>
      <c r="E397" t="str">
        <f>"GAB2008226"</f>
        <v>GAB2008226</v>
      </c>
      <c r="F397" s="3">
        <v>44602</v>
      </c>
      <c r="G397">
        <v>202208</v>
      </c>
      <c r="H397" t="s">
        <v>75</v>
      </c>
      <c r="I397" t="s">
        <v>76</v>
      </c>
      <c r="J397" t="s">
        <v>77</v>
      </c>
      <c r="K397" t="s">
        <v>78</v>
      </c>
      <c r="L397" t="s">
        <v>401</v>
      </c>
      <c r="M397" t="s">
        <v>402</v>
      </c>
      <c r="N397" t="s">
        <v>957</v>
      </c>
      <c r="O397" t="s">
        <v>125</v>
      </c>
      <c r="P397" t="str">
        <f>"CT071911                      "</f>
        <v xml:space="preserve">CT071911                      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  <c r="AG397">
        <v>0</v>
      </c>
      <c r="AH397">
        <v>0</v>
      </c>
      <c r="AI397">
        <v>0</v>
      </c>
      <c r="AJ397">
        <v>0</v>
      </c>
      <c r="AK397">
        <v>69.819999999999993</v>
      </c>
      <c r="AL397">
        <v>0</v>
      </c>
      <c r="AM397">
        <v>0</v>
      </c>
      <c r="AN397">
        <v>0</v>
      </c>
      <c r="AO397">
        <v>0</v>
      </c>
      <c r="AP397">
        <v>0</v>
      </c>
      <c r="AQ397">
        <v>0</v>
      </c>
      <c r="AR397">
        <v>0</v>
      </c>
      <c r="AS397">
        <v>0</v>
      </c>
      <c r="AT397">
        <v>0</v>
      </c>
      <c r="AU397">
        <v>0</v>
      </c>
      <c r="AV397">
        <v>0</v>
      </c>
      <c r="AW397">
        <v>0</v>
      </c>
      <c r="AX397">
        <v>0</v>
      </c>
      <c r="AY397">
        <v>0</v>
      </c>
      <c r="AZ397">
        <v>0</v>
      </c>
      <c r="BA397">
        <v>0</v>
      </c>
      <c r="BB397">
        <v>0</v>
      </c>
      <c r="BC397">
        <v>0</v>
      </c>
      <c r="BD397">
        <v>0</v>
      </c>
      <c r="BE397">
        <v>0</v>
      </c>
      <c r="BF397">
        <v>0</v>
      </c>
      <c r="BG397">
        <v>0</v>
      </c>
      <c r="BH397">
        <v>3</v>
      </c>
      <c r="BI397">
        <v>11.9</v>
      </c>
      <c r="BJ397">
        <v>42.8</v>
      </c>
      <c r="BK397">
        <v>43</v>
      </c>
      <c r="BL397">
        <v>256.43</v>
      </c>
      <c r="BM397">
        <v>38.46</v>
      </c>
      <c r="BN397">
        <v>294.89</v>
      </c>
      <c r="BO397">
        <v>294.89</v>
      </c>
      <c r="BQ397" t="s">
        <v>958</v>
      </c>
      <c r="BR397" t="s">
        <v>82</v>
      </c>
      <c r="BS397" s="3">
        <v>44606</v>
      </c>
      <c r="BT397" s="4">
        <v>0.46180555555555558</v>
      </c>
      <c r="BU397" t="s">
        <v>959</v>
      </c>
      <c r="BV397" t="s">
        <v>101</v>
      </c>
      <c r="BY397">
        <v>213832.38</v>
      </c>
      <c r="CA397" t="s">
        <v>960</v>
      </c>
      <c r="CC397" t="s">
        <v>402</v>
      </c>
      <c r="CD397">
        <v>700</v>
      </c>
      <c r="CE397" t="s">
        <v>130</v>
      </c>
      <c r="CF397" s="3">
        <v>44606</v>
      </c>
      <c r="CI397">
        <v>3</v>
      </c>
      <c r="CJ397">
        <v>2</v>
      </c>
      <c r="CK397">
        <v>41</v>
      </c>
      <c r="CL397" t="s">
        <v>84</v>
      </c>
    </row>
    <row r="398" spans="1:90" x14ac:dyDescent="0.25">
      <c r="A398" t="s">
        <v>72</v>
      </c>
      <c r="B398" t="s">
        <v>73</v>
      </c>
      <c r="C398" t="s">
        <v>74</v>
      </c>
      <c r="E398" t="str">
        <f>"GAB2008210"</f>
        <v>GAB2008210</v>
      </c>
      <c r="F398" s="3">
        <v>44602</v>
      </c>
      <c r="G398">
        <v>202208</v>
      </c>
      <c r="H398" t="s">
        <v>75</v>
      </c>
      <c r="I398" t="s">
        <v>76</v>
      </c>
      <c r="J398" t="s">
        <v>77</v>
      </c>
      <c r="K398" t="s">
        <v>78</v>
      </c>
      <c r="L398" t="s">
        <v>90</v>
      </c>
      <c r="M398" t="s">
        <v>91</v>
      </c>
      <c r="N398" t="s">
        <v>92</v>
      </c>
      <c r="O398" t="s">
        <v>80</v>
      </c>
      <c r="P398" t="str">
        <f>"CT071894                      "</f>
        <v xml:space="preserve">CT071894                      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  <c r="AG398">
        <v>0</v>
      </c>
      <c r="AH398">
        <v>0</v>
      </c>
      <c r="AI398">
        <v>0</v>
      </c>
      <c r="AJ398">
        <v>0</v>
      </c>
      <c r="AK398">
        <v>13.09</v>
      </c>
      <c r="AL398">
        <v>0</v>
      </c>
      <c r="AM398">
        <v>0</v>
      </c>
      <c r="AN398">
        <v>0</v>
      </c>
      <c r="AO398">
        <v>0</v>
      </c>
      <c r="AP398">
        <v>0</v>
      </c>
      <c r="AQ398">
        <v>0</v>
      </c>
      <c r="AR398">
        <v>0</v>
      </c>
      <c r="AS398">
        <v>0</v>
      </c>
      <c r="AT398">
        <v>0</v>
      </c>
      <c r="AU398">
        <v>0</v>
      </c>
      <c r="AV398">
        <v>0</v>
      </c>
      <c r="AW398">
        <v>0</v>
      </c>
      <c r="AX398">
        <v>0</v>
      </c>
      <c r="AY398">
        <v>0</v>
      </c>
      <c r="AZ398">
        <v>0</v>
      </c>
      <c r="BA398">
        <v>0</v>
      </c>
      <c r="BB398">
        <v>0</v>
      </c>
      <c r="BC398">
        <v>0</v>
      </c>
      <c r="BD398">
        <v>0</v>
      </c>
      <c r="BE398">
        <v>0</v>
      </c>
      <c r="BF398">
        <v>0</v>
      </c>
      <c r="BG398">
        <v>0</v>
      </c>
      <c r="BH398">
        <v>1</v>
      </c>
      <c r="BI398">
        <v>0.2</v>
      </c>
      <c r="BJ398">
        <v>2.4</v>
      </c>
      <c r="BK398">
        <v>2.5</v>
      </c>
      <c r="BL398">
        <v>47.1</v>
      </c>
      <c r="BM398">
        <v>7.07</v>
      </c>
      <c r="BN398">
        <v>54.17</v>
      </c>
      <c r="BO398">
        <v>54.17</v>
      </c>
      <c r="BQ398" t="s">
        <v>93</v>
      </c>
      <c r="BR398" t="s">
        <v>82</v>
      </c>
      <c r="BS398" s="3">
        <v>44603</v>
      </c>
      <c r="BT398" s="4">
        <v>0.59722222222222221</v>
      </c>
      <c r="BU398" t="s">
        <v>1253</v>
      </c>
      <c r="BV398" t="s">
        <v>84</v>
      </c>
      <c r="BW398" t="s">
        <v>95</v>
      </c>
      <c r="BX398" t="s">
        <v>86</v>
      </c>
      <c r="BY398">
        <v>12026.24</v>
      </c>
      <c r="BZ398" t="s">
        <v>87</v>
      </c>
      <c r="CA398" t="s">
        <v>1003</v>
      </c>
      <c r="CC398" t="s">
        <v>91</v>
      </c>
      <c r="CD398">
        <v>7600</v>
      </c>
      <c r="CE398" t="s">
        <v>152</v>
      </c>
      <c r="CF398" s="3">
        <v>44606</v>
      </c>
      <c r="CI398">
        <v>1</v>
      </c>
      <c r="CJ398">
        <v>1</v>
      </c>
      <c r="CK398">
        <v>22</v>
      </c>
      <c r="CL398" t="s">
        <v>84</v>
      </c>
    </row>
    <row r="399" spans="1:90" x14ac:dyDescent="0.25">
      <c r="A399" t="s">
        <v>72</v>
      </c>
      <c r="B399" t="s">
        <v>73</v>
      </c>
      <c r="C399" t="s">
        <v>74</v>
      </c>
      <c r="E399" t="str">
        <f>"GAB2008227"</f>
        <v>GAB2008227</v>
      </c>
      <c r="F399" s="3">
        <v>44602</v>
      </c>
      <c r="G399">
        <v>202208</v>
      </c>
      <c r="H399" t="s">
        <v>75</v>
      </c>
      <c r="I399" t="s">
        <v>76</v>
      </c>
      <c r="J399" t="s">
        <v>77</v>
      </c>
      <c r="K399" t="s">
        <v>78</v>
      </c>
      <c r="L399" t="s">
        <v>234</v>
      </c>
      <c r="M399" t="s">
        <v>235</v>
      </c>
      <c r="N399" t="s">
        <v>390</v>
      </c>
      <c r="O399" t="s">
        <v>125</v>
      </c>
      <c r="P399" t="str">
        <f>"CT071914                      "</f>
        <v xml:space="preserve">CT071914                      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  <c r="AG399">
        <v>0</v>
      </c>
      <c r="AH399">
        <v>0</v>
      </c>
      <c r="AI399">
        <v>0</v>
      </c>
      <c r="AJ399">
        <v>0</v>
      </c>
      <c r="AK399">
        <v>158</v>
      </c>
      <c r="AL399">
        <v>0</v>
      </c>
      <c r="AM399">
        <v>0</v>
      </c>
      <c r="AN399">
        <v>0</v>
      </c>
      <c r="AO399">
        <v>0</v>
      </c>
      <c r="AP399">
        <v>0</v>
      </c>
      <c r="AQ399">
        <v>0</v>
      </c>
      <c r="AR399">
        <v>0</v>
      </c>
      <c r="AS399">
        <v>0</v>
      </c>
      <c r="AT399">
        <v>0</v>
      </c>
      <c r="AU399">
        <v>0</v>
      </c>
      <c r="AV399">
        <v>0</v>
      </c>
      <c r="AW399">
        <v>0</v>
      </c>
      <c r="AX399">
        <v>0</v>
      </c>
      <c r="AY399">
        <v>0</v>
      </c>
      <c r="AZ399">
        <v>0</v>
      </c>
      <c r="BA399">
        <v>0</v>
      </c>
      <c r="BB399">
        <v>0</v>
      </c>
      <c r="BC399">
        <v>0</v>
      </c>
      <c r="BD399">
        <v>0</v>
      </c>
      <c r="BE399">
        <v>0</v>
      </c>
      <c r="BF399">
        <v>0</v>
      </c>
      <c r="BG399">
        <v>0</v>
      </c>
      <c r="BH399">
        <v>8</v>
      </c>
      <c r="BI399">
        <v>31.7</v>
      </c>
      <c r="BJ399">
        <v>108.1</v>
      </c>
      <c r="BK399">
        <v>109</v>
      </c>
      <c r="BL399">
        <v>573.63</v>
      </c>
      <c r="BM399">
        <v>86.04</v>
      </c>
      <c r="BN399">
        <v>659.67</v>
      </c>
      <c r="BO399">
        <v>659.67</v>
      </c>
      <c r="BQ399" t="s">
        <v>1179</v>
      </c>
      <c r="BR399" t="s">
        <v>82</v>
      </c>
      <c r="BS399" s="3">
        <v>44607</v>
      </c>
      <c r="BT399" s="4">
        <v>0.4861111111111111</v>
      </c>
      <c r="BU399" t="s">
        <v>1254</v>
      </c>
      <c r="BV399" t="s">
        <v>101</v>
      </c>
      <c r="BY399">
        <v>540548.6</v>
      </c>
      <c r="CC399" t="s">
        <v>235</v>
      </c>
      <c r="CD399">
        <v>3201</v>
      </c>
      <c r="CE399" t="s">
        <v>130</v>
      </c>
      <c r="CF399" s="3">
        <v>44609</v>
      </c>
      <c r="CI399">
        <v>3</v>
      </c>
      <c r="CJ399">
        <v>3</v>
      </c>
      <c r="CK399">
        <v>41</v>
      </c>
      <c r="CL399" t="s">
        <v>84</v>
      </c>
    </row>
    <row r="400" spans="1:90" x14ac:dyDescent="0.25">
      <c r="A400" t="s">
        <v>72</v>
      </c>
      <c r="B400" t="s">
        <v>73</v>
      </c>
      <c r="C400" t="s">
        <v>74</v>
      </c>
      <c r="E400" t="str">
        <f>"GAB2008236"</f>
        <v>GAB2008236</v>
      </c>
      <c r="F400" s="3">
        <v>44602</v>
      </c>
      <c r="G400">
        <v>202208</v>
      </c>
      <c r="H400" t="s">
        <v>75</v>
      </c>
      <c r="I400" t="s">
        <v>76</v>
      </c>
      <c r="J400" t="s">
        <v>77</v>
      </c>
      <c r="K400" t="s">
        <v>78</v>
      </c>
      <c r="L400" t="s">
        <v>642</v>
      </c>
      <c r="M400" t="s">
        <v>643</v>
      </c>
      <c r="N400" t="s">
        <v>1255</v>
      </c>
      <c r="O400" t="s">
        <v>125</v>
      </c>
      <c r="P400" t="str">
        <f>"CT071925                      "</f>
        <v xml:space="preserve">CT071925                      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  <c r="AG400">
        <v>0</v>
      </c>
      <c r="AH400">
        <v>0</v>
      </c>
      <c r="AI400">
        <v>0</v>
      </c>
      <c r="AJ400">
        <v>0</v>
      </c>
      <c r="AK400">
        <v>45.72</v>
      </c>
      <c r="AL400">
        <v>0</v>
      </c>
      <c r="AM400">
        <v>0</v>
      </c>
      <c r="AN400">
        <v>0</v>
      </c>
      <c r="AO400">
        <v>0</v>
      </c>
      <c r="AP400">
        <v>0</v>
      </c>
      <c r="AQ400">
        <v>0</v>
      </c>
      <c r="AR400">
        <v>0</v>
      </c>
      <c r="AS400">
        <v>0</v>
      </c>
      <c r="AT400">
        <v>0</v>
      </c>
      <c r="AU400">
        <v>0</v>
      </c>
      <c r="AV400">
        <v>0</v>
      </c>
      <c r="AW400">
        <v>0</v>
      </c>
      <c r="AX400">
        <v>0</v>
      </c>
      <c r="AY400">
        <v>0</v>
      </c>
      <c r="AZ400">
        <v>0</v>
      </c>
      <c r="BA400">
        <v>0</v>
      </c>
      <c r="BB400">
        <v>0</v>
      </c>
      <c r="BC400">
        <v>0</v>
      </c>
      <c r="BD400">
        <v>0</v>
      </c>
      <c r="BE400">
        <v>0</v>
      </c>
      <c r="BF400">
        <v>0</v>
      </c>
      <c r="BG400">
        <v>0</v>
      </c>
      <c r="BH400">
        <v>1</v>
      </c>
      <c r="BI400">
        <v>0.5</v>
      </c>
      <c r="BJ400">
        <v>1.8</v>
      </c>
      <c r="BK400">
        <v>2</v>
      </c>
      <c r="BL400">
        <v>169.72</v>
      </c>
      <c r="BM400">
        <v>25.46</v>
      </c>
      <c r="BN400">
        <v>195.18</v>
      </c>
      <c r="BO400">
        <v>195.18</v>
      </c>
      <c r="BQ400" t="s">
        <v>1256</v>
      </c>
      <c r="BR400" t="s">
        <v>82</v>
      </c>
      <c r="BS400" s="3">
        <v>44607</v>
      </c>
      <c r="BT400" s="4">
        <v>0.54375000000000007</v>
      </c>
      <c r="BU400" t="s">
        <v>1257</v>
      </c>
      <c r="BV400" t="s">
        <v>101</v>
      </c>
      <c r="BY400">
        <v>9094.74</v>
      </c>
      <c r="CA400" t="s">
        <v>648</v>
      </c>
      <c r="CC400" t="s">
        <v>643</v>
      </c>
      <c r="CD400">
        <v>250</v>
      </c>
      <c r="CE400" t="s">
        <v>130</v>
      </c>
      <c r="CF400" s="3">
        <v>44608</v>
      </c>
      <c r="CI400">
        <v>3</v>
      </c>
      <c r="CJ400">
        <v>3</v>
      </c>
      <c r="CK400">
        <v>43</v>
      </c>
      <c r="CL400" t="s">
        <v>84</v>
      </c>
    </row>
    <row r="401" spans="1:90" x14ac:dyDescent="0.25">
      <c r="A401" t="s">
        <v>72</v>
      </c>
      <c r="B401" t="s">
        <v>73</v>
      </c>
      <c r="C401" t="s">
        <v>74</v>
      </c>
      <c r="E401" t="str">
        <f>"GAB2008225"</f>
        <v>GAB2008225</v>
      </c>
      <c r="F401" s="3">
        <v>44602</v>
      </c>
      <c r="G401">
        <v>202208</v>
      </c>
      <c r="H401" t="s">
        <v>75</v>
      </c>
      <c r="I401" t="s">
        <v>76</v>
      </c>
      <c r="J401" t="s">
        <v>77</v>
      </c>
      <c r="K401" t="s">
        <v>78</v>
      </c>
      <c r="L401" t="s">
        <v>447</v>
      </c>
      <c r="M401" t="s">
        <v>448</v>
      </c>
      <c r="N401" t="s">
        <v>1258</v>
      </c>
      <c r="O401" t="s">
        <v>125</v>
      </c>
      <c r="P401" t="str">
        <f>"CT071908                      "</f>
        <v xml:space="preserve">CT071908                      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  <c r="AG401">
        <v>0</v>
      </c>
      <c r="AH401">
        <v>0</v>
      </c>
      <c r="AI401">
        <v>0</v>
      </c>
      <c r="AJ401">
        <v>0</v>
      </c>
      <c r="AK401">
        <v>32.42</v>
      </c>
      <c r="AL401">
        <v>0</v>
      </c>
      <c r="AM401">
        <v>0</v>
      </c>
      <c r="AN401">
        <v>0</v>
      </c>
      <c r="AO401">
        <v>0</v>
      </c>
      <c r="AP401">
        <v>0</v>
      </c>
      <c r="AQ401">
        <v>0</v>
      </c>
      <c r="AR401">
        <v>0</v>
      </c>
      <c r="AS401">
        <v>0</v>
      </c>
      <c r="AT401">
        <v>0</v>
      </c>
      <c r="AU401">
        <v>0</v>
      </c>
      <c r="AV401">
        <v>0</v>
      </c>
      <c r="AW401">
        <v>0</v>
      </c>
      <c r="AX401">
        <v>0</v>
      </c>
      <c r="AY401">
        <v>0</v>
      </c>
      <c r="AZ401">
        <v>0</v>
      </c>
      <c r="BA401">
        <v>0</v>
      </c>
      <c r="BB401">
        <v>0</v>
      </c>
      <c r="BC401">
        <v>0</v>
      </c>
      <c r="BD401">
        <v>0</v>
      </c>
      <c r="BE401">
        <v>0</v>
      </c>
      <c r="BF401">
        <v>0</v>
      </c>
      <c r="BG401">
        <v>0</v>
      </c>
      <c r="BH401">
        <v>1</v>
      </c>
      <c r="BI401">
        <v>3.1</v>
      </c>
      <c r="BJ401">
        <v>13.7</v>
      </c>
      <c r="BK401">
        <v>14</v>
      </c>
      <c r="BL401">
        <v>121.87</v>
      </c>
      <c r="BM401">
        <v>18.28</v>
      </c>
      <c r="BN401">
        <v>140.15</v>
      </c>
      <c r="BO401">
        <v>140.15</v>
      </c>
      <c r="BQ401" t="s">
        <v>1071</v>
      </c>
      <c r="BR401" t="s">
        <v>82</v>
      </c>
      <c r="BS401" s="3">
        <v>44606</v>
      </c>
      <c r="BT401" s="4">
        <v>0.36874999999999997</v>
      </c>
      <c r="BU401" t="s">
        <v>1259</v>
      </c>
      <c r="BV401" t="s">
        <v>101</v>
      </c>
      <c r="BY401">
        <v>68728</v>
      </c>
      <c r="CA401" t="s">
        <v>452</v>
      </c>
      <c r="CC401" t="s">
        <v>448</v>
      </c>
      <c r="CD401">
        <v>1692</v>
      </c>
      <c r="CE401" t="s">
        <v>130</v>
      </c>
      <c r="CF401" s="3">
        <v>44607</v>
      </c>
      <c r="CI401">
        <v>2</v>
      </c>
      <c r="CJ401">
        <v>2</v>
      </c>
      <c r="CK401">
        <v>41</v>
      </c>
      <c r="CL401" t="s">
        <v>84</v>
      </c>
    </row>
    <row r="402" spans="1:90" x14ac:dyDescent="0.25">
      <c r="A402" t="s">
        <v>72</v>
      </c>
      <c r="B402" t="s">
        <v>73</v>
      </c>
      <c r="C402" t="s">
        <v>74</v>
      </c>
      <c r="E402" t="str">
        <f>"GAB2008229"</f>
        <v>GAB2008229</v>
      </c>
      <c r="F402" s="3">
        <v>44602</v>
      </c>
      <c r="G402">
        <v>202208</v>
      </c>
      <c r="H402" t="s">
        <v>75</v>
      </c>
      <c r="I402" t="s">
        <v>76</v>
      </c>
      <c r="J402" t="s">
        <v>77</v>
      </c>
      <c r="K402" t="s">
        <v>78</v>
      </c>
      <c r="L402" t="s">
        <v>384</v>
      </c>
      <c r="M402" t="s">
        <v>385</v>
      </c>
      <c r="N402" t="s">
        <v>1260</v>
      </c>
      <c r="O402" t="s">
        <v>125</v>
      </c>
      <c r="P402" t="str">
        <f>"CT071917                      "</f>
        <v xml:space="preserve">CT071917                      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0</v>
      </c>
      <c r="AH402">
        <v>0</v>
      </c>
      <c r="AI402">
        <v>0</v>
      </c>
      <c r="AJ402">
        <v>0</v>
      </c>
      <c r="AK402">
        <v>32.42</v>
      </c>
      <c r="AL402">
        <v>0</v>
      </c>
      <c r="AM402">
        <v>0</v>
      </c>
      <c r="AN402">
        <v>0</v>
      </c>
      <c r="AO402">
        <v>0</v>
      </c>
      <c r="AP402">
        <v>0</v>
      </c>
      <c r="AQ402">
        <v>0</v>
      </c>
      <c r="AR402">
        <v>0</v>
      </c>
      <c r="AS402">
        <v>0</v>
      </c>
      <c r="AT402">
        <v>0</v>
      </c>
      <c r="AU402">
        <v>0</v>
      </c>
      <c r="AV402">
        <v>0</v>
      </c>
      <c r="AW402">
        <v>0</v>
      </c>
      <c r="AX402">
        <v>0</v>
      </c>
      <c r="AY402">
        <v>0</v>
      </c>
      <c r="AZ402">
        <v>0</v>
      </c>
      <c r="BA402">
        <v>0</v>
      </c>
      <c r="BB402">
        <v>0</v>
      </c>
      <c r="BC402">
        <v>0</v>
      </c>
      <c r="BD402">
        <v>0</v>
      </c>
      <c r="BE402">
        <v>0</v>
      </c>
      <c r="BF402">
        <v>0</v>
      </c>
      <c r="BG402">
        <v>0</v>
      </c>
      <c r="BH402">
        <v>1</v>
      </c>
      <c r="BI402">
        <v>0.3</v>
      </c>
      <c r="BJ402">
        <v>2.7</v>
      </c>
      <c r="BK402">
        <v>3</v>
      </c>
      <c r="BL402">
        <v>121.87</v>
      </c>
      <c r="BM402">
        <v>18.28</v>
      </c>
      <c r="BN402">
        <v>140.15</v>
      </c>
      <c r="BO402">
        <v>140.15</v>
      </c>
      <c r="BQ402" t="s">
        <v>1261</v>
      </c>
      <c r="BR402" t="s">
        <v>82</v>
      </c>
      <c r="BS402" s="3">
        <v>44606</v>
      </c>
      <c r="BT402" s="4">
        <v>0.44305555555555554</v>
      </c>
      <c r="BU402" t="s">
        <v>1262</v>
      </c>
      <c r="BV402" t="s">
        <v>101</v>
      </c>
      <c r="BY402">
        <v>13396.2</v>
      </c>
      <c r="CA402" t="s">
        <v>1263</v>
      </c>
      <c r="CC402" t="s">
        <v>385</v>
      </c>
      <c r="CD402">
        <v>2170</v>
      </c>
      <c r="CE402" t="s">
        <v>130</v>
      </c>
      <c r="CF402" s="3">
        <v>44607</v>
      </c>
      <c r="CI402">
        <v>2</v>
      </c>
      <c r="CJ402">
        <v>2</v>
      </c>
      <c r="CK402">
        <v>41</v>
      </c>
      <c r="CL402" t="s">
        <v>84</v>
      </c>
    </row>
    <row r="403" spans="1:90" x14ac:dyDescent="0.25">
      <c r="A403" t="s">
        <v>72</v>
      </c>
      <c r="B403" t="s">
        <v>73</v>
      </c>
      <c r="C403" t="s">
        <v>74</v>
      </c>
      <c r="E403" t="str">
        <f>"GAB2008217"</f>
        <v>GAB2008217</v>
      </c>
      <c r="F403" s="3">
        <v>44602</v>
      </c>
      <c r="G403">
        <v>202208</v>
      </c>
      <c r="H403" t="s">
        <v>75</v>
      </c>
      <c r="I403" t="s">
        <v>76</v>
      </c>
      <c r="J403" t="s">
        <v>77</v>
      </c>
      <c r="K403" t="s">
        <v>78</v>
      </c>
      <c r="L403" t="s">
        <v>225</v>
      </c>
      <c r="M403" t="s">
        <v>226</v>
      </c>
      <c r="N403" t="s">
        <v>227</v>
      </c>
      <c r="O403" t="s">
        <v>80</v>
      </c>
      <c r="P403" t="str">
        <f>"CT071906                      "</f>
        <v xml:space="preserve">CT071906                      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  <c r="AG403">
        <v>0</v>
      </c>
      <c r="AH403">
        <v>0</v>
      </c>
      <c r="AI403">
        <v>0</v>
      </c>
      <c r="AJ403">
        <v>0</v>
      </c>
      <c r="AK403">
        <v>20.95</v>
      </c>
      <c r="AL403">
        <v>0</v>
      </c>
      <c r="AM403">
        <v>0</v>
      </c>
      <c r="AN403">
        <v>0</v>
      </c>
      <c r="AO403">
        <v>0</v>
      </c>
      <c r="AP403">
        <v>0</v>
      </c>
      <c r="AQ403">
        <v>0</v>
      </c>
      <c r="AR403">
        <v>0</v>
      </c>
      <c r="AS403">
        <v>0</v>
      </c>
      <c r="AT403">
        <v>0</v>
      </c>
      <c r="AU403">
        <v>0</v>
      </c>
      <c r="AV403">
        <v>0</v>
      </c>
      <c r="AW403">
        <v>0</v>
      </c>
      <c r="AX403">
        <v>0</v>
      </c>
      <c r="AY403">
        <v>0</v>
      </c>
      <c r="AZ403">
        <v>0</v>
      </c>
      <c r="BA403">
        <v>0</v>
      </c>
      <c r="BB403">
        <v>0</v>
      </c>
      <c r="BC403">
        <v>0</v>
      </c>
      <c r="BD403">
        <v>0</v>
      </c>
      <c r="BE403">
        <v>0</v>
      </c>
      <c r="BF403">
        <v>0</v>
      </c>
      <c r="BG403">
        <v>0</v>
      </c>
      <c r="BH403">
        <v>1</v>
      </c>
      <c r="BI403">
        <v>0.2</v>
      </c>
      <c r="BJ403">
        <v>2.5</v>
      </c>
      <c r="BK403">
        <v>2.5</v>
      </c>
      <c r="BL403">
        <v>75.37</v>
      </c>
      <c r="BM403">
        <v>11.31</v>
      </c>
      <c r="BN403">
        <v>86.68</v>
      </c>
      <c r="BO403">
        <v>86.68</v>
      </c>
      <c r="BQ403" t="s">
        <v>1264</v>
      </c>
      <c r="BR403" t="s">
        <v>82</v>
      </c>
      <c r="BS403" s="3">
        <v>44607</v>
      </c>
      <c r="BT403" s="4">
        <v>0.69027777777777777</v>
      </c>
      <c r="BU403" t="s">
        <v>1265</v>
      </c>
      <c r="BV403" t="s">
        <v>84</v>
      </c>
      <c r="BW403" t="s">
        <v>1005</v>
      </c>
      <c r="BX403" t="s">
        <v>1266</v>
      </c>
      <c r="BY403">
        <v>12510</v>
      </c>
      <c r="BZ403" t="s">
        <v>87</v>
      </c>
      <c r="CA403" t="s">
        <v>1105</v>
      </c>
      <c r="CC403" t="s">
        <v>226</v>
      </c>
      <c r="CD403">
        <v>8301</v>
      </c>
      <c r="CE403" t="s">
        <v>89</v>
      </c>
      <c r="CF403" s="3">
        <v>44607</v>
      </c>
      <c r="CI403">
        <v>2</v>
      </c>
      <c r="CJ403">
        <v>3</v>
      </c>
      <c r="CK403">
        <v>21</v>
      </c>
      <c r="CL403" t="s">
        <v>84</v>
      </c>
    </row>
    <row r="404" spans="1:90" x14ac:dyDescent="0.25">
      <c r="A404" t="s">
        <v>72</v>
      </c>
      <c r="B404" t="s">
        <v>73</v>
      </c>
      <c r="C404" t="s">
        <v>74</v>
      </c>
      <c r="E404" t="str">
        <f>"GAB2008231"</f>
        <v>GAB2008231</v>
      </c>
      <c r="F404" s="3">
        <v>44602</v>
      </c>
      <c r="G404">
        <v>202208</v>
      </c>
      <c r="H404" t="s">
        <v>75</v>
      </c>
      <c r="I404" t="s">
        <v>76</v>
      </c>
      <c r="J404" t="s">
        <v>77</v>
      </c>
      <c r="K404" t="s">
        <v>78</v>
      </c>
      <c r="L404" t="s">
        <v>109</v>
      </c>
      <c r="M404" t="s">
        <v>110</v>
      </c>
      <c r="N404" t="s">
        <v>216</v>
      </c>
      <c r="O404" t="s">
        <v>125</v>
      </c>
      <c r="P404" t="str">
        <f>"CT071918                      "</f>
        <v xml:space="preserve">CT071918                      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  <c r="AG404">
        <v>0</v>
      </c>
      <c r="AH404">
        <v>0</v>
      </c>
      <c r="AI404">
        <v>0</v>
      </c>
      <c r="AJ404">
        <v>0</v>
      </c>
      <c r="AK404">
        <v>32.42</v>
      </c>
      <c r="AL404">
        <v>0</v>
      </c>
      <c r="AM404">
        <v>0</v>
      </c>
      <c r="AN404">
        <v>0</v>
      </c>
      <c r="AO404">
        <v>0</v>
      </c>
      <c r="AP404">
        <v>0</v>
      </c>
      <c r="AQ404">
        <v>0</v>
      </c>
      <c r="AR404">
        <v>0</v>
      </c>
      <c r="AS404">
        <v>0</v>
      </c>
      <c r="AT404">
        <v>0</v>
      </c>
      <c r="AU404">
        <v>0</v>
      </c>
      <c r="AV404">
        <v>0</v>
      </c>
      <c r="AW404">
        <v>0</v>
      </c>
      <c r="AX404">
        <v>0</v>
      </c>
      <c r="AY404">
        <v>0</v>
      </c>
      <c r="AZ404">
        <v>0</v>
      </c>
      <c r="BA404">
        <v>0</v>
      </c>
      <c r="BB404">
        <v>0</v>
      </c>
      <c r="BC404">
        <v>0</v>
      </c>
      <c r="BD404">
        <v>0</v>
      </c>
      <c r="BE404">
        <v>0</v>
      </c>
      <c r="BF404">
        <v>0</v>
      </c>
      <c r="BG404">
        <v>0</v>
      </c>
      <c r="BH404">
        <v>1</v>
      </c>
      <c r="BI404">
        <v>1</v>
      </c>
      <c r="BJ404">
        <v>2.6</v>
      </c>
      <c r="BK404">
        <v>3</v>
      </c>
      <c r="BL404">
        <v>121.87</v>
      </c>
      <c r="BM404">
        <v>18.28</v>
      </c>
      <c r="BN404">
        <v>140.15</v>
      </c>
      <c r="BO404">
        <v>140.15</v>
      </c>
      <c r="BQ404" t="s">
        <v>217</v>
      </c>
      <c r="BR404" t="s">
        <v>82</v>
      </c>
      <c r="BS404" s="3">
        <v>44606</v>
      </c>
      <c r="BT404" s="4">
        <v>0.48958333333333331</v>
      </c>
      <c r="BU404" t="s">
        <v>1267</v>
      </c>
      <c r="BV404" t="s">
        <v>101</v>
      </c>
      <c r="BY404">
        <v>12895.86</v>
      </c>
      <c r="CA404" t="s">
        <v>219</v>
      </c>
      <c r="CC404" t="s">
        <v>110</v>
      </c>
      <c r="CD404">
        <v>157</v>
      </c>
      <c r="CE404" t="s">
        <v>130</v>
      </c>
      <c r="CF404" s="3">
        <v>44606</v>
      </c>
      <c r="CI404">
        <v>2</v>
      </c>
      <c r="CJ404">
        <v>2</v>
      </c>
      <c r="CK404">
        <v>41</v>
      </c>
      <c r="CL404" t="s">
        <v>84</v>
      </c>
    </row>
    <row r="405" spans="1:90" x14ac:dyDescent="0.25">
      <c r="A405" t="s">
        <v>72</v>
      </c>
      <c r="B405" t="s">
        <v>73</v>
      </c>
      <c r="C405" t="s">
        <v>74</v>
      </c>
      <c r="E405" t="str">
        <f>"GAB2008235"</f>
        <v>GAB2008235</v>
      </c>
      <c r="F405" s="3">
        <v>44602</v>
      </c>
      <c r="G405">
        <v>202208</v>
      </c>
      <c r="H405" t="s">
        <v>75</v>
      </c>
      <c r="I405" t="s">
        <v>76</v>
      </c>
      <c r="J405" t="s">
        <v>77</v>
      </c>
      <c r="K405" t="s">
        <v>78</v>
      </c>
      <c r="L405" t="s">
        <v>153</v>
      </c>
      <c r="M405" t="s">
        <v>154</v>
      </c>
      <c r="N405" t="s">
        <v>462</v>
      </c>
      <c r="O405" t="s">
        <v>80</v>
      </c>
      <c r="P405" t="str">
        <f>"CT071926                      "</f>
        <v xml:space="preserve">CT071926                      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  <c r="AG405">
        <v>0</v>
      </c>
      <c r="AH405">
        <v>0</v>
      </c>
      <c r="AI405">
        <v>0</v>
      </c>
      <c r="AJ405">
        <v>0</v>
      </c>
      <c r="AK405">
        <v>33.520000000000003</v>
      </c>
      <c r="AL405">
        <v>0</v>
      </c>
      <c r="AM405">
        <v>0</v>
      </c>
      <c r="AN405">
        <v>0</v>
      </c>
      <c r="AO405">
        <v>0</v>
      </c>
      <c r="AP405">
        <v>0</v>
      </c>
      <c r="AQ405">
        <v>0</v>
      </c>
      <c r="AR405">
        <v>0</v>
      </c>
      <c r="AS405">
        <v>0</v>
      </c>
      <c r="AT405">
        <v>0</v>
      </c>
      <c r="AU405">
        <v>0</v>
      </c>
      <c r="AV405">
        <v>0</v>
      </c>
      <c r="AW405">
        <v>0</v>
      </c>
      <c r="AX405">
        <v>0</v>
      </c>
      <c r="AY405">
        <v>0</v>
      </c>
      <c r="AZ405">
        <v>0</v>
      </c>
      <c r="BA405">
        <v>0</v>
      </c>
      <c r="BB405">
        <v>0</v>
      </c>
      <c r="BC405">
        <v>0</v>
      </c>
      <c r="BD405">
        <v>0</v>
      </c>
      <c r="BE405">
        <v>0</v>
      </c>
      <c r="BF405">
        <v>0</v>
      </c>
      <c r="BG405">
        <v>0</v>
      </c>
      <c r="BH405">
        <v>1</v>
      </c>
      <c r="BI405">
        <v>0.2</v>
      </c>
      <c r="BJ405">
        <v>4</v>
      </c>
      <c r="BK405">
        <v>4</v>
      </c>
      <c r="BL405">
        <v>120.58</v>
      </c>
      <c r="BM405">
        <v>18.09</v>
      </c>
      <c r="BN405">
        <v>138.66999999999999</v>
      </c>
      <c r="BO405">
        <v>138.66999999999999</v>
      </c>
      <c r="BQ405" t="s">
        <v>237</v>
      </c>
      <c r="BR405" t="s">
        <v>82</v>
      </c>
      <c r="BS405" s="3">
        <v>44603</v>
      </c>
      <c r="BT405" s="4">
        <v>0.37083333333333335</v>
      </c>
      <c r="BU405" t="s">
        <v>1268</v>
      </c>
      <c r="BV405" t="s">
        <v>101</v>
      </c>
      <c r="BY405">
        <v>20202.75</v>
      </c>
      <c r="BZ405" t="s">
        <v>87</v>
      </c>
      <c r="CA405" t="s">
        <v>465</v>
      </c>
      <c r="CC405" t="s">
        <v>154</v>
      </c>
      <c r="CD405">
        <v>2021</v>
      </c>
      <c r="CE405" t="s">
        <v>288</v>
      </c>
      <c r="CF405" s="3">
        <v>44603</v>
      </c>
      <c r="CI405">
        <v>1</v>
      </c>
      <c r="CJ405">
        <v>1</v>
      </c>
      <c r="CK405">
        <v>21</v>
      </c>
      <c r="CL405" t="s">
        <v>84</v>
      </c>
    </row>
    <row r="406" spans="1:90" x14ac:dyDescent="0.25">
      <c r="A406" t="s">
        <v>72</v>
      </c>
      <c r="B406" t="s">
        <v>73</v>
      </c>
      <c r="C406" t="s">
        <v>74</v>
      </c>
      <c r="E406" t="str">
        <f>"GAB2008211"</f>
        <v>GAB2008211</v>
      </c>
      <c r="F406" s="3">
        <v>44602</v>
      </c>
      <c r="G406">
        <v>202208</v>
      </c>
      <c r="H406" t="s">
        <v>75</v>
      </c>
      <c r="I406" t="s">
        <v>76</v>
      </c>
      <c r="J406" t="s">
        <v>77</v>
      </c>
      <c r="K406" t="s">
        <v>78</v>
      </c>
      <c r="L406" t="s">
        <v>75</v>
      </c>
      <c r="M406" t="s">
        <v>76</v>
      </c>
      <c r="N406" t="s">
        <v>374</v>
      </c>
      <c r="O406" t="s">
        <v>80</v>
      </c>
      <c r="P406" t="str">
        <f>"CT071895                      "</f>
        <v xml:space="preserve">CT071895                      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  <c r="AG406">
        <v>0</v>
      </c>
      <c r="AH406">
        <v>0</v>
      </c>
      <c r="AI406">
        <v>0</v>
      </c>
      <c r="AJ406">
        <v>0</v>
      </c>
      <c r="AK406">
        <v>13.09</v>
      </c>
      <c r="AL406">
        <v>0</v>
      </c>
      <c r="AM406">
        <v>0</v>
      </c>
      <c r="AN406">
        <v>0</v>
      </c>
      <c r="AO406">
        <v>0</v>
      </c>
      <c r="AP406">
        <v>0</v>
      </c>
      <c r="AQ406">
        <v>0</v>
      </c>
      <c r="AR406">
        <v>0</v>
      </c>
      <c r="AS406">
        <v>0</v>
      </c>
      <c r="AT406">
        <v>0</v>
      </c>
      <c r="AU406">
        <v>0</v>
      </c>
      <c r="AV406">
        <v>0</v>
      </c>
      <c r="AW406">
        <v>0</v>
      </c>
      <c r="AX406">
        <v>0</v>
      </c>
      <c r="AY406">
        <v>0</v>
      </c>
      <c r="AZ406">
        <v>0</v>
      </c>
      <c r="BA406">
        <v>0</v>
      </c>
      <c r="BB406">
        <v>0</v>
      </c>
      <c r="BC406">
        <v>0</v>
      </c>
      <c r="BD406">
        <v>0</v>
      </c>
      <c r="BE406">
        <v>0</v>
      </c>
      <c r="BF406">
        <v>0</v>
      </c>
      <c r="BG406">
        <v>0</v>
      </c>
      <c r="BH406">
        <v>1</v>
      </c>
      <c r="BI406">
        <v>0.5</v>
      </c>
      <c r="BJ406">
        <v>1.8</v>
      </c>
      <c r="BK406">
        <v>2</v>
      </c>
      <c r="BL406">
        <v>47.1</v>
      </c>
      <c r="BM406">
        <v>7.07</v>
      </c>
      <c r="BN406">
        <v>54.17</v>
      </c>
      <c r="BO406">
        <v>54.17</v>
      </c>
      <c r="BQ406" t="s">
        <v>375</v>
      </c>
      <c r="BR406" t="s">
        <v>82</v>
      </c>
      <c r="BS406" s="3">
        <v>44603</v>
      </c>
      <c r="BT406" s="4">
        <v>0.68680555555555556</v>
      </c>
      <c r="BU406" t="s">
        <v>1269</v>
      </c>
      <c r="BV406" t="s">
        <v>84</v>
      </c>
      <c r="BW406" t="s">
        <v>95</v>
      </c>
      <c r="BX406" t="s">
        <v>233</v>
      </c>
      <c r="BY406">
        <v>9055.2000000000007</v>
      </c>
      <c r="BZ406" t="s">
        <v>87</v>
      </c>
      <c r="CA406" t="s">
        <v>377</v>
      </c>
      <c r="CC406" t="s">
        <v>76</v>
      </c>
      <c r="CD406">
        <v>7806</v>
      </c>
      <c r="CE406" t="s">
        <v>333</v>
      </c>
      <c r="CF406" s="3">
        <v>44606</v>
      </c>
      <c r="CI406">
        <v>1</v>
      </c>
      <c r="CJ406">
        <v>1</v>
      </c>
      <c r="CK406">
        <v>22</v>
      </c>
      <c r="CL406" t="s">
        <v>84</v>
      </c>
    </row>
    <row r="407" spans="1:90" x14ac:dyDescent="0.25">
      <c r="A407" t="s">
        <v>72</v>
      </c>
      <c r="B407" t="s">
        <v>73</v>
      </c>
      <c r="C407" t="s">
        <v>74</v>
      </c>
      <c r="E407" t="str">
        <f>"GAB2008233"</f>
        <v>GAB2008233</v>
      </c>
      <c r="F407" s="3">
        <v>44602</v>
      </c>
      <c r="G407">
        <v>202208</v>
      </c>
      <c r="H407" t="s">
        <v>75</v>
      </c>
      <c r="I407" t="s">
        <v>76</v>
      </c>
      <c r="J407" t="s">
        <v>77</v>
      </c>
      <c r="K407" t="s">
        <v>78</v>
      </c>
      <c r="L407" t="s">
        <v>153</v>
      </c>
      <c r="M407" t="s">
        <v>154</v>
      </c>
      <c r="N407" t="s">
        <v>1270</v>
      </c>
      <c r="O407" t="s">
        <v>125</v>
      </c>
      <c r="P407" t="str">
        <f>"CT071921                      "</f>
        <v xml:space="preserve">CT071921                      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0</v>
      </c>
      <c r="AG407">
        <v>0</v>
      </c>
      <c r="AH407">
        <v>0</v>
      </c>
      <c r="AI407">
        <v>0</v>
      </c>
      <c r="AJ407">
        <v>0</v>
      </c>
      <c r="AK407">
        <v>32.42</v>
      </c>
      <c r="AL407">
        <v>0</v>
      </c>
      <c r="AM407">
        <v>0</v>
      </c>
      <c r="AN407">
        <v>0</v>
      </c>
      <c r="AO407">
        <v>0</v>
      </c>
      <c r="AP407">
        <v>0</v>
      </c>
      <c r="AQ407">
        <v>0</v>
      </c>
      <c r="AR407">
        <v>0</v>
      </c>
      <c r="AS407">
        <v>0</v>
      </c>
      <c r="AT407">
        <v>0</v>
      </c>
      <c r="AU407">
        <v>0</v>
      </c>
      <c r="AV407">
        <v>0</v>
      </c>
      <c r="AW407">
        <v>0</v>
      </c>
      <c r="AX407">
        <v>0</v>
      </c>
      <c r="AY407">
        <v>0</v>
      </c>
      <c r="AZ407">
        <v>0</v>
      </c>
      <c r="BA407">
        <v>0</v>
      </c>
      <c r="BB407">
        <v>0</v>
      </c>
      <c r="BC407">
        <v>0</v>
      </c>
      <c r="BD407">
        <v>0</v>
      </c>
      <c r="BE407">
        <v>0</v>
      </c>
      <c r="BF407">
        <v>0</v>
      </c>
      <c r="BG407">
        <v>0</v>
      </c>
      <c r="BH407">
        <v>1</v>
      </c>
      <c r="BI407">
        <v>0.6</v>
      </c>
      <c r="BJ407">
        <v>1.8</v>
      </c>
      <c r="BK407">
        <v>2</v>
      </c>
      <c r="BL407">
        <v>121.87</v>
      </c>
      <c r="BM407">
        <v>18.28</v>
      </c>
      <c r="BN407">
        <v>140.15</v>
      </c>
      <c r="BO407">
        <v>140.15</v>
      </c>
      <c r="BQ407" t="s">
        <v>1271</v>
      </c>
      <c r="BR407" t="s">
        <v>82</v>
      </c>
      <c r="BS407" s="3">
        <v>44606</v>
      </c>
      <c r="BT407" s="4">
        <v>0.35138888888888892</v>
      </c>
      <c r="BU407" t="s">
        <v>1272</v>
      </c>
      <c r="BV407" t="s">
        <v>101</v>
      </c>
      <c r="BY407">
        <v>8937.6</v>
      </c>
      <c r="CA407" t="s">
        <v>1145</v>
      </c>
      <c r="CC407" t="s">
        <v>154</v>
      </c>
      <c r="CD407">
        <v>2193</v>
      </c>
      <c r="CE407" t="s">
        <v>130</v>
      </c>
      <c r="CF407" s="3">
        <v>44606</v>
      </c>
      <c r="CI407">
        <v>2</v>
      </c>
      <c r="CJ407">
        <v>2</v>
      </c>
      <c r="CK407">
        <v>41</v>
      </c>
      <c r="CL407" t="s">
        <v>84</v>
      </c>
    </row>
    <row r="408" spans="1:90" x14ac:dyDescent="0.25">
      <c r="A408" t="s">
        <v>72</v>
      </c>
      <c r="B408" t="s">
        <v>73</v>
      </c>
      <c r="C408" t="s">
        <v>74</v>
      </c>
      <c r="E408" t="str">
        <f>"GAB2008237"</f>
        <v>GAB2008237</v>
      </c>
      <c r="F408" s="3">
        <v>44602</v>
      </c>
      <c r="G408">
        <v>202208</v>
      </c>
      <c r="H408" t="s">
        <v>75</v>
      </c>
      <c r="I408" t="s">
        <v>76</v>
      </c>
      <c r="J408" t="s">
        <v>77</v>
      </c>
      <c r="K408" t="s">
        <v>78</v>
      </c>
      <c r="L408" t="s">
        <v>75</v>
      </c>
      <c r="M408" t="s">
        <v>76</v>
      </c>
      <c r="N408" t="s">
        <v>506</v>
      </c>
      <c r="O408" t="s">
        <v>80</v>
      </c>
      <c r="P408" t="str">
        <f>"006987                        "</f>
        <v xml:space="preserve">006987                        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0</v>
      </c>
      <c r="AH408">
        <v>0</v>
      </c>
      <c r="AI408">
        <v>0</v>
      </c>
      <c r="AJ408">
        <v>0</v>
      </c>
      <c r="AK408">
        <v>13.09</v>
      </c>
      <c r="AL408">
        <v>0</v>
      </c>
      <c r="AM408">
        <v>0</v>
      </c>
      <c r="AN408">
        <v>0</v>
      </c>
      <c r="AO408">
        <v>0</v>
      </c>
      <c r="AP408">
        <v>0</v>
      </c>
      <c r="AQ408">
        <v>0</v>
      </c>
      <c r="AR408">
        <v>0</v>
      </c>
      <c r="AS408">
        <v>0</v>
      </c>
      <c r="AT408">
        <v>0</v>
      </c>
      <c r="AU408">
        <v>0</v>
      </c>
      <c r="AV408">
        <v>0</v>
      </c>
      <c r="AW408">
        <v>0</v>
      </c>
      <c r="AX408">
        <v>0</v>
      </c>
      <c r="AY408">
        <v>0</v>
      </c>
      <c r="AZ408">
        <v>0</v>
      </c>
      <c r="BA408">
        <v>0</v>
      </c>
      <c r="BB408">
        <v>0</v>
      </c>
      <c r="BC408">
        <v>0</v>
      </c>
      <c r="BD408">
        <v>0</v>
      </c>
      <c r="BE408">
        <v>0</v>
      </c>
      <c r="BF408">
        <v>0</v>
      </c>
      <c r="BG408">
        <v>0</v>
      </c>
      <c r="BH408">
        <v>1</v>
      </c>
      <c r="BI408">
        <v>0.1</v>
      </c>
      <c r="BJ408">
        <v>2.6</v>
      </c>
      <c r="BK408">
        <v>3</v>
      </c>
      <c r="BL408">
        <v>47.1</v>
      </c>
      <c r="BM408">
        <v>7.07</v>
      </c>
      <c r="BN408">
        <v>54.17</v>
      </c>
      <c r="BO408">
        <v>54.17</v>
      </c>
      <c r="BQ408" t="s">
        <v>795</v>
      </c>
      <c r="BR408" t="s">
        <v>82</v>
      </c>
      <c r="BS408" s="3">
        <v>44603</v>
      </c>
      <c r="BT408" s="4">
        <v>0.40277777777777773</v>
      </c>
      <c r="BU408" t="s">
        <v>1273</v>
      </c>
      <c r="BV408" t="s">
        <v>101</v>
      </c>
      <c r="BY408">
        <v>13123.23</v>
      </c>
      <c r="BZ408" t="s">
        <v>87</v>
      </c>
      <c r="CA408" t="s">
        <v>509</v>
      </c>
      <c r="CC408" t="s">
        <v>76</v>
      </c>
      <c r="CD408">
        <v>7708</v>
      </c>
      <c r="CE408" t="s">
        <v>152</v>
      </c>
      <c r="CF408" s="3">
        <v>44606</v>
      </c>
      <c r="CI408">
        <v>1</v>
      </c>
      <c r="CJ408">
        <v>1</v>
      </c>
      <c r="CK408">
        <v>22</v>
      </c>
      <c r="CL408" t="s">
        <v>84</v>
      </c>
    </row>
    <row r="409" spans="1:90" x14ac:dyDescent="0.25">
      <c r="A409" t="s">
        <v>72</v>
      </c>
      <c r="B409" t="s">
        <v>73</v>
      </c>
      <c r="C409" t="s">
        <v>74</v>
      </c>
      <c r="E409" t="str">
        <f>"GAB2008224"</f>
        <v>GAB2008224</v>
      </c>
      <c r="F409" s="3">
        <v>44602</v>
      </c>
      <c r="G409">
        <v>202208</v>
      </c>
      <c r="H409" t="s">
        <v>75</v>
      </c>
      <c r="I409" t="s">
        <v>76</v>
      </c>
      <c r="J409" t="s">
        <v>77</v>
      </c>
      <c r="K409" t="s">
        <v>78</v>
      </c>
      <c r="L409" t="s">
        <v>384</v>
      </c>
      <c r="M409" t="s">
        <v>385</v>
      </c>
      <c r="N409" t="s">
        <v>386</v>
      </c>
      <c r="O409" t="s">
        <v>125</v>
      </c>
      <c r="P409" t="str">
        <f>"CT071912                      "</f>
        <v xml:space="preserve">CT071912                      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0</v>
      </c>
      <c r="AF409">
        <v>0</v>
      </c>
      <c r="AG409">
        <v>0</v>
      </c>
      <c r="AH409">
        <v>0</v>
      </c>
      <c r="AI409">
        <v>0</v>
      </c>
      <c r="AJ409">
        <v>0</v>
      </c>
      <c r="AK409">
        <v>51.12</v>
      </c>
      <c r="AL409">
        <v>0</v>
      </c>
      <c r="AM409">
        <v>0</v>
      </c>
      <c r="AN409">
        <v>0</v>
      </c>
      <c r="AO409">
        <v>0</v>
      </c>
      <c r="AP409">
        <v>0</v>
      </c>
      <c r="AQ409">
        <v>0</v>
      </c>
      <c r="AR409">
        <v>0</v>
      </c>
      <c r="AS409">
        <v>0</v>
      </c>
      <c r="AT409">
        <v>0</v>
      </c>
      <c r="AU409">
        <v>0</v>
      </c>
      <c r="AV409">
        <v>0</v>
      </c>
      <c r="AW409">
        <v>0</v>
      </c>
      <c r="AX409">
        <v>0</v>
      </c>
      <c r="AY409">
        <v>0</v>
      </c>
      <c r="AZ409">
        <v>0</v>
      </c>
      <c r="BA409">
        <v>0</v>
      </c>
      <c r="BB409">
        <v>0</v>
      </c>
      <c r="BC409">
        <v>0</v>
      </c>
      <c r="BD409">
        <v>0</v>
      </c>
      <c r="BE409">
        <v>0</v>
      </c>
      <c r="BF409">
        <v>0</v>
      </c>
      <c r="BG409">
        <v>0</v>
      </c>
      <c r="BH409">
        <v>2</v>
      </c>
      <c r="BI409">
        <v>8.6</v>
      </c>
      <c r="BJ409">
        <v>28.2</v>
      </c>
      <c r="BK409">
        <v>29</v>
      </c>
      <c r="BL409">
        <v>189.15</v>
      </c>
      <c r="BM409">
        <v>28.37</v>
      </c>
      <c r="BN409">
        <v>217.52</v>
      </c>
      <c r="BO409">
        <v>217.52</v>
      </c>
      <c r="BQ409" t="s">
        <v>387</v>
      </c>
      <c r="BR409" t="s">
        <v>82</v>
      </c>
      <c r="BS409" s="3">
        <v>44606</v>
      </c>
      <c r="BT409" s="4">
        <v>0.40972222222222227</v>
      </c>
      <c r="BU409" t="s">
        <v>1274</v>
      </c>
      <c r="BV409" t="s">
        <v>101</v>
      </c>
      <c r="BY409">
        <v>140906.17000000001</v>
      </c>
      <c r="CA409" t="s">
        <v>1275</v>
      </c>
      <c r="CC409" t="s">
        <v>385</v>
      </c>
      <c r="CD409">
        <v>2194</v>
      </c>
      <c r="CE409" t="s">
        <v>130</v>
      </c>
      <c r="CF409" s="3">
        <v>44607</v>
      </c>
      <c r="CI409">
        <v>2</v>
      </c>
      <c r="CJ409">
        <v>2</v>
      </c>
      <c r="CK409">
        <v>41</v>
      </c>
      <c r="CL409" t="s">
        <v>84</v>
      </c>
    </row>
    <row r="410" spans="1:90" x14ac:dyDescent="0.25">
      <c r="A410" t="s">
        <v>72</v>
      </c>
      <c r="B410" t="s">
        <v>73</v>
      </c>
      <c r="C410" t="s">
        <v>74</v>
      </c>
      <c r="E410" t="str">
        <f>"009940857733"</f>
        <v>009940857733</v>
      </c>
      <c r="F410" s="3">
        <v>44602</v>
      </c>
      <c r="G410">
        <v>202208</v>
      </c>
      <c r="H410" t="s">
        <v>109</v>
      </c>
      <c r="I410" t="s">
        <v>110</v>
      </c>
      <c r="J410" t="s">
        <v>1212</v>
      </c>
      <c r="K410" t="s">
        <v>78</v>
      </c>
      <c r="L410" t="s">
        <v>123</v>
      </c>
      <c r="M410" t="s">
        <v>124</v>
      </c>
      <c r="N410" t="s">
        <v>1276</v>
      </c>
      <c r="O410" t="s">
        <v>125</v>
      </c>
      <c r="P410" t="str">
        <f>"                              "</f>
        <v xml:space="preserve">                              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0</v>
      </c>
      <c r="AF410">
        <v>0</v>
      </c>
      <c r="AG410">
        <v>0</v>
      </c>
      <c r="AH410">
        <v>0</v>
      </c>
      <c r="AI410">
        <v>0</v>
      </c>
      <c r="AJ410">
        <v>0</v>
      </c>
      <c r="AK410">
        <v>32.42</v>
      </c>
      <c r="AL410">
        <v>0</v>
      </c>
      <c r="AM410">
        <v>0</v>
      </c>
      <c r="AN410">
        <v>0</v>
      </c>
      <c r="AO410">
        <v>0</v>
      </c>
      <c r="AP410">
        <v>0</v>
      </c>
      <c r="AQ410">
        <v>0</v>
      </c>
      <c r="AR410">
        <v>0</v>
      </c>
      <c r="AS410">
        <v>0</v>
      </c>
      <c r="AT410">
        <v>0</v>
      </c>
      <c r="AU410">
        <v>0</v>
      </c>
      <c r="AV410">
        <v>0</v>
      </c>
      <c r="AW410">
        <v>0</v>
      </c>
      <c r="AX410">
        <v>0</v>
      </c>
      <c r="AY410">
        <v>0</v>
      </c>
      <c r="AZ410">
        <v>0</v>
      </c>
      <c r="BA410">
        <v>0</v>
      </c>
      <c r="BB410">
        <v>0</v>
      </c>
      <c r="BC410">
        <v>0</v>
      </c>
      <c r="BD410">
        <v>0</v>
      </c>
      <c r="BE410">
        <v>0</v>
      </c>
      <c r="BF410">
        <v>0</v>
      </c>
      <c r="BG410">
        <v>0</v>
      </c>
      <c r="BH410">
        <v>1</v>
      </c>
      <c r="BI410">
        <v>13.1</v>
      </c>
      <c r="BJ410">
        <v>8.4</v>
      </c>
      <c r="BK410">
        <v>14</v>
      </c>
      <c r="BL410">
        <v>121.87</v>
      </c>
      <c r="BM410">
        <v>18.28</v>
      </c>
      <c r="BN410">
        <v>140.15</v>
      </c>
      <c r="BO410">
        <v>140.15</v>
      </c>
      <c r="BR410" t="s">
        <v>140</v>
      </c>
      <c r="BS410" s="3">
        <v>44606</v>
      </c>
      <c r="BT410" s="4">
        <v>0.51597222222222217</v>
      </c>
      <c r="BU410" t="s">
        <v>1277</v>
      </c>
      <c r="BV410" t="s">
        <v>101</v>
      </c>
      <c r="BY410">
        <v>42147.839999999997</v>
      </c>
      <c r="BZ410" t="s">
        <v>137</v>
      </c>
      <c r="CA410" t="s">
        <v>223</v>
      </c>
      <c r="CC410" t="s">
        <v>124</v>
      </c>
      <c r="CD410">
        <v>6000</v>
      </c>
      <c r="CE410" t="s">
        <v>130</v>
      </c>
      <c r="CF410" s="3">
        <v>44606</v>
      </c>
      <c r="CI410">
        <v>3</v>
      </c>
      <c r="CJ410">
        <v>2</v>
      </c>
      <c r="CK410">
        <v>41</v>
      </c>
      <c r="CL410" t="s">
        <v>84</v>
      </c>
    </row>
    <row r="411" spans="1:90" x14ac:dyDescent="0.25">
      <c r="A411" t="s">
        <v>72</v>
      </c>
      <c r="B411" t="s">
        <v>73</v>
      </c>
      <c r="C411" t="s">
        <v>74</v>
      </c>
      <c r="E411" t="str">
        <f>"GAB2008255"</f>
        <v>GAB2008255</v>
      </c>
      <c r="F411" s="3">
        <v>44603</v>
      </c>
      <c r="G411">
        <v>202208</v>
      </c>
      <c r="H411" t="s">
        <v>75</v>
      </c>
      <c r="I411" t="s">
        <v>76</v>
      </c>
      <c r="J411" t="s">
        <v>77</v>
      </c>
      <c r="K411" t="s">
        <v>78</v>
      </c>
      <c r="L411" t="s">
        <v>384</v>
      </c>
      <c r="M411" t="s">
        <v>385</v>
      </c>
      <c r="N411" t="s">
        <v>386</v>
      </c>
      <c r="O411" t="s">
        <v>125</v>
      </c>
      <c r="P411" t="str">
        <f>"CT071949 CT071948 CT071950    "</f>
        <v xml:space="preserve">CT071949 CT071948 CT071950    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0</v>
      </c>
      <c r="AF411">
        <v>0</v>
      </c>
      <c r="AG411">
        <v>0</v>
      </c>
      <c r="AH411">
        <v>0</v>
      </c>
      <c r="AI411">
        <v>0</v>
      </c>
      <c r="AJ411">
        <v>0</v>
      </c>
      <c r="AK411">
        <v>129.94</v>
      </c>
      <c r="AL411">
        <v>0</v>
      </c>
      <c r="AM411">
        <v>0</v>
      </c>
      <c r="AN411">
        <v>0</v>
      </c>
      <c r="AO411">
        <v>0</v>
      </c>
      <c r="AP411">
        <v>0</v>
      </c>
      <c r="AQ411">
        <v>0</v>
      </c>
      <c r="AR411">
        <v>0</v>
      </c>
      <c r="AS411">
        <v>0</v>
      </c>
      <c r="AT411">
        <v>0</v>
      </c>
      <c r="AU411">
        <v>0</v>
      </c>
      <c r="AV411">
        <v>0</v>
      </c>
      <c r="AW411">
        <v>0</v>
      </c>
      <c r="AX411">
        <v>0</v>
      </c>
      <c r="AY411">
        <v>0</v>
      </c>
      <c r="AZ411">
        <v>0</v>
      </c>
      <c r="BA411">
        <v>0</v>
      </c>
      <c r="BB411">
        <v>0</v>
      </c>
      <c r="BC411">
        <v>0</v>
      </c>
      <c r="BD411">
        <v>0</v>
      </c>
      <c r="BE411">
        <v>0</v>
      </c>
      <c r="BF411">
        <v>0</v>
      </c>
      <c r="BG411">
        <v>0</v>
      </c>
      <c r="BH411">
        <v>7</v>
      </c>
      <c r="BI411">
        <v>26.7</v>
      </c>
      <c r="BJ411">
        <v>87.1</v>
      </c>
      <c r="BK411">
        <v>88</v>
      </c>
      <c r="BL411">
        <v>472.7</v>
      </c>
      <c r="BM411">
        <v>70.91</v>
      </c>
      <c r="BN411">
        <v>543.61</v>
      </c>
      <c r="BO411">
        <v>543.61</v>
      </c>
      <c r="BQ411" t="s">
        <v>387</v>
      </c>
      <c r="BR411" t="s">
        <v>82</v>
      </c>
      <c r="BS411" s="3">
        <v>44606</v>
      </c>
      <c r="BT411" s="4">
        <v>0.40972222222222227</v>
      </c>
      <c r="BU411" t="s">
        <v>1274</v>
      </c>
      <c r="BV411" t="s">
        <v>101</v>
      </c>
      <c r="BY411">
        <v>435554.11</v>
      </c>
      <c r="CA411" t="s">
        <v>1275</v>
      </c>
      <c r="CC411" t="s">
        <v>385</v>
      </c>
      <c r="CD411">
        <v>2194</v>
      </c>
      <c r="CE411" t="s">
        <v>130</v>
      </c>
      <c r="CF411" s="3">
        <v>44607</v>
      </c>
      <c r="CI411">
        <v>2</v>
      </c>
      <c r="CJ411">
        <v>1</v>
      </c>
      <c r="CK411">
        <v>41</v>
      </c>
      <c r="CL411" t="s">
        <v>84</v>
      </c>
    </row>
    <row r="412" spans="1:90" x14ac:dyDescent="0.25">
      <c r="A412" t="s">
        <v>72</v>
      </c>
      <c r="B412" t="s">
        <v>73</v>
      </c>
      <c r="C412" t="s">
        <v>74</v>
      </c>
      <c r="E412" t="str">
        <f>"GAB2008256"</f>
        <v>GAB2008256</v>
      </c>
      <c r="F412" s="3">
        <v>44603</v>
      </c>
      <c r="G412">
        <v>202208</v>
      </c>
      <c r="H412" t="s">
        <v>75</v>
      </c>
      <c r="I412" t="s">
        <v>76</v>
      </c>
      <c r="J412" t="s">
        <v>77</v>
      </c>
      <c r="K412" t="s">
        <v>78</v>
      </c>
      <c r="L412" t="s">
        <v>75</v>
      </c>
      <c r="M412" t="s">
        <v>76</v>
      </c>
      <c r="N412" t="s">
        <v>98</v>
      </c>
      <c r="O412" t="s">
        <v>80</v>
      </c>
      <c r="P412" t="str">
        <f>"CT071941                      "</f>
        <v xml:space="preserve">CT071941                      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0</v>
      </c>
      <c r="AF412">
        <v>0</v>
      </c>
      <c r="AG412">
        <v>0</v>
      </c>
      <c r="AH412">
        <v>0</v>
      </c>
      <c r="AI412">
        <v>0</v>
      </c>
      <c r="AJ412">
        <v>0</v>
      </c>
      <c r="AK412">
        <v>13.09</v>
      </c>
      <c r="AL412">
        <v>0</v>
      </c>
      <c r="AM412">
        <v>0</v>
      </c>
      <c r="AN412">
        <v>0</v>
      </c>
      <c r="AO412">
        <v>0</v>
      </c>
      <c r="AP412">
        <v>0</v>
      </c>
      <c r="AQ412">
        <v>0</v>
      </c>
      <c r="AR412">
        <v>0</v>
      </c>
      <c r="AS412">
        <v>0</v>
      </c>
      <c r="AT412">
        <v>0</v>
      </c>
      <c r="AU412">
        <v>0</v>
      </c>
      <c r="AV412">
        <v>0</v>
      </c>
      <c r="AW412">
        <v>0</v>
      </c>
      <c r="AX412">
        <v>0</v>
      </c>
      <c r="AY412">
        <v>0</v>
      </c>
      <c r="AZ412">
        <v>0</v>
      </c>
      <c r="BA412">
        <v>0</v>
      </c>
      <c r="BB412">
        <v>0</v>
      </c>
      <c r="BC412">
        <v>0</v>
      </c>
      <c r="BD412">
        <v>0</v>
      </c>
      <c r="BE412">
        <v>0</v>
      </c>
      <c r="BF412">
        <v>0</v>
      </c>
      <c r="BG412">
        <v>0</v>
      </c>
      <c r="BH412">
        <v>1</v>
      </c>
      <c r="BI412">
        <v>0.6</v>
      </c>
      <c r="BJ412">
        <v>2</v>
      </c>
      <c r="BK412">
        <v>2</v>
      </c>
      <c r="BL412">
        <v>47.1</v>
      </c>
      <c r="BM412">
        <v>7.07</v>
      </c>
      <c r="BN412">
        <v>54.17</v>
      </c>
      <c r="BO412">
        <v>54.17</v>
      </c>
      <c r="BQ412" t="s">
        <v>99</v>
      </c>
      <c r="BR412" t="s">
        <v>82</v>
      </c>
      <c r="BS412" s="3">
        <v>44606</v>
      </c>
      <c r="BT412" s="4">
        <v>0.42638888888888887</v>
      </c>
      <c r="BU412" t="s">
        <v>1278</v>
      </c>
      <c r="BV412" t="s">
        <v>101</v>
      </c>
      <c r="BY412">
        <v>9913.41</v>
      </c>
      <c r="BZ412" t="s">
        <v>87</v>
      </c>
      <c r="CA412" t="s">
        <v>102</v>
      </c>
      <c r="CC412" t="s">
        <v>76</v>
      </c>
      <c r="CD412">
        <v>7800</v>
      </c>
      <c r="CE412" t="s">
        <v>333</v>
      </c>
      <c r="CF412" s="3">
        <v>44607</v>
      </c>
      <c r="CI412">
        <v>1</v>
      </c>
      <c r="CJ412">
        <v>1</v>
      </c>
      <c r="CK412">
        <v>22</v>
      </c>
      <c r="CL412" t="s">
        <v>84</v>
      </c>
    </row>
    <row r="413" spans="1:90" x14ac:dyDescent="0.25">
      <c r="A413" t="s">
        <v>72</v>
      </c>
      <c r="B413" t="s">
        <v>73</v>
      </c>
      <c r="C413" t="s">
        <v>74</v>
      </c>
      <c r="E413" t="str">
        <f>"GAB2008252"</f>
        <v>GAB2008252</v>
      </c>
      <c r="F413" s="3">
        <v>44603</v>
      </c>
      <c r="G413">
        <v>202208</v>
      </c>
      <c r="H413" t="s">
        <v>75</v>
      </c>
      <c r="I413" t="s">
        <v>76</v>
      </c>
      <c r="J413" t="s">
        <v>77</v>
      </c>
      <c r="K413" t="s">
        <v>78</v>
      </c>
      <c r="L413" t="s">
        <v>202</v>
      </c>
      <c r="M413" t="s">
        <v>203</v>
      </c>
      <c r="N413" t="s">
        <v>204</v>
      </c>
      <c r="O413" t="s">
        <v>80</v>
      </c>
      <c r="P413" t="str">
        <f>"006980                        "</f>
        <v xml:space="preserve">006980                        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0</v>
      </c>
      <c r="AF413">
        <v>0</v>
      </c>
      <c r="AG413">
        <v>0</v>
      </c>
      <c r="AH413">
        <v>0</v>
      </c>
      <c r="AI413">
        <v>0</v>
      </c>
      <c r="AJ413">
        <v>0</v>
      </c>
      <c r="AK413">
        <v>25.14</v>
      </c>
      <c r="AL413">
        <v>0</v>
      </c>
      <c r="AM413">
        <v>0</v>
      </c>
      <c r="AN413">
        <v>0</v>
      </c>
      <c r="AO413">
        <v>0</v>
      </c>
      <c r="AP413">
        <v>0</v>
      </c>
      <c r="AQ413">
        <v>0</v>
      </c>
      <c r="AR413">
        <v>0</v>
      </c>
      <c r="AS413">
        <v>0</v>
      </c>
      <c r="AT413">
        <v>0</v>
      </c>
      <c r="AU413">
        <v>0</v>
      </c>
      <c r="AV413">
        <v>0</v>
      </c>
      <c r="AW413">
        <v>0</v>
      </c>
      <c r="AX413">
        <v>0</v>
      </c>
      <c r="AY413">
        <v>0</v>
      </c>
      <c r="AZ413">
        <v>0</v>
      </c>
      <c r="BA413">
        <v>0</v>
      </c>
      <c r="BB413">
        <v>0</v>
      </c>
      <c r="BC413">
        <v>0</v>
      </c>
      <c r="BD413">
        <v>0</v>
      </c>
      <c r="BE413">
        <v>0</v>
      </c>
      <c r="BF413">
        <v>0</v>
      </c>
      <c r="BG413">
        <v>0</v>
      </c>
      <c r="BH413">
        <v>1</v>
      </c>
      <c r="BI413">
        <v>0.2</v>
      </c>
      <c r="BJ413">
        <v>2.7</v>
      </c>
      <c r="BK413">
        <v>3</v>
      </c>
      <c r="BL413">
        <v>90.44</v>
      </c>
      <c r="BM413">
        <v>13.57</v>
      </c>
      <c r="BN413">
        <v>104.01</v>
      </c>
      <c r="BO413">
        <v>104.01</v>
      </c>
      <c r="BQ413" t="s">
        <v>1279</v>
      </c>
      <c r="BR413" t="s">
        <v>82</v>
      </c>
      <c r="BS413" s="3">
        <v>44606</v>
      </c>
      <c r="BT413" s="4">
        <v>0.37638888888888888</v>
      </c>
      <c r="BU413" t="s">
        <v>630</v>
      </c>
      <c r="BV413" t="s">
        <v>101</v>
      </c>
      <c r="BY413">
        <v>13575.52</v>
      </c>
      <c r="BZ413" t="s">
        <v>87</v>
      </c>
      <c r="CA413" t="s">
        <v>207</v>
      </c>
      <c r="CC413" t="s">
        <v>203</v>
      </c>
      <c r="CD413">
        <v>1724</v>
      </c>
      <c r="CE413" t="s">
        <v>103</v>
      </c>
      <c r="CF413" s="3">
        <v>44607</v>
      </c>
      <c r="CI413">
        <v>1</v>
      </c>
      <c r="CJ413">
        <v>1</v>
      </c>
      <c r="CK413">
        <v>21</v>
      </c>
      <c r="CL413" t="s">
        <v>84</v>
      </c>
    </row>
    <row r="414" spans="1:90" x14ac:dyDescent="0.25">
      <c r="A414" t="s">
        <v>72</v>
      </c>
      <c r="B414" t="s">
        <v>73</v>
      </c>
      <c r="C414" t="s">
        <v>74</v>
      </c>
      <c r="E414" t="str">
        <f>"GAB2008250"</f>
        <v>GAB2008250</v>
      </c>
      <c r="F414" s="3">
        <v>44603</v>
      </c>
      <c r="G414">
        <v>202208</v>
      </c>
      <c r="H414" t="s">
        <v>75</v>
      </c>
      <c r="I414" t="s">
        <v>76</v>
      </c>
      <c r="J414" t="s">
        <v>77</v>
      </c>
      <c r="K414" t="s">
        <v>78</v>
      </c>
      <c r="L414" t="s">
        <v>225</v>
      </c>
      <c r="M414" t="s">
        <v>226</v>
      </c>
      <c r="N414" t="s">
        <v>1280</v>
      </c>
      <c r="O414" t="s">
        <v>125</v>
      </c>
      <c r="P414" t="str">
        <f>"006993                        "</f>
        <v xml:space="preserve">006993                        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  <c r="AF414">
        <v>0</v>
      </c>
      <c r="AG414">
        <v>0</v>
      </c>
      <c r="AH414">
        <v>0</v>
      </c>
      <c r="AI414">
        <v>0</v>
      </c>
      <c r="AJ414">
        <v>0</v>
      </c>
      <c r="AK414">
        <v>32.42</v>
      </c>
      <c r="AL414">
        <v>0</v>
      </c>
      <c r="AM414">
        <v>0</v>
      </c>
      <c r="AN414">
        <v>0</v>
      </c>
      <c r="AO414">
        <v>0</v>
      </c>
      <c r="AP414">
        <v>0</v>
      </c>
      <c r="AQ414">
        <v>0</v>
      </c>
      <c r="AR414">
        <v>0</v>
      </c>
      <c r="AS414">
        <v>0</v>
      </c>
      <c r="AT414">
        <v>0</v>
      </c>
      <c r="AU414">
        <v>0</v>
      </c>
      <c r="AV414">
        <v>0</v>
      </c>
      <c r="AW414">
        <v>0</v>
      </c>
      <c r="AX414">
        <v>0</v>
      </c>
      <c r="AY414">
        <v>0</v>
      </c>
      <c r="AZ414">
        <v>0</v>
      </c>
      <c r="BA414">
        <v>0</v>
      </c>
      <c r="BB414">
        <v>0</v>
      </c>
      <c r="BC414">
        <v>0</v>
      </c>
      <c r="BD414">
        <v>0</v>
      </c>
      <c r="BE414">
        <v>0</v>
      </c>
      <c r="BF414">
        <v>0</v>
      </c>
      <c r="BG414">
        <v>0</v>
      </c>
      <c r="BH414">
        <v>1</v>
      </c>
      <c r="BI414">
        <v>0.7</v>
      </c>
      <c r="BJ414">
        <v>1.9</v>
      </c>
      <c r="BK414">
        <v>2</v>
      </c>
      <c r="BL414">
        <v>121.87</v>
      </c>
      <c r="BM414">
        <v>18.28</v>
      </c>
      <c r="BN414">
        <v>140.15</v>
      </c>
      <c r="BO414">
        <v>140.15</v>
      </c>
      <c r="BQ414" t="s">
        <v>1281</v>
      </c>
      <c r="BR414" t="s">
        <v>82</v>
      </c>
      <c r="BS414" s="3">
        <v>44607</v>
      </c>
      <c r="BT414" s="4">
        <v>0.61041666666666672</v>
      </c>
      <c r="BU414" t="s">
        <v>1282</v>
      </c>
      <c r="BV414" t="s">
        <v>101</v>
      </c>
      <c r="BY414">
        <v>9604.26</v>
      </c>
      <c r="CA414" t="s">
        <v>1105</v>
      </c>
      <c r="CC414" t="s">
        <v>226</v>
      </c>
      <c r="CD414">
        <v>8301</v>
      </c>
      <c r="CE414" t="s">
        <v>130</v>
      </c>
      <c r="CF414" s="3">
        <v>44607</v>
      </c>
      <c r="CI414">
        <v>3</v>
      </c>
      <c r="CJ414">
        <v>2</v>
      </c>
      <c r="CK414">
        <v>41</v>
      </c>
      <c r="CL414" t="s">
        <v>84</v>
      </c>
    </row>
    <row r="415" spans="1:90" x14ac:dyDescent="0.25">
      <c r="A415" t="s">
        <v>72</v>
      </c>
      <c r="B415" t="s">
        <v>73</v>
      </c>
      <c r="C415" t="s">
        <v>74</v>
      </c>
      <c r="E415" t="str">
        <f>"GAB2008254"</f>
        <v>GAB2008254</v>
      </c>
      <c r="F415" s="3">
        <v>44603</v>
      </c>
      <c r="G415">
        <v>202208</v>
      </c>
      <c r="H415" t="s">
        <v>75</v>
      </c>
      <c r="I415" t="s">
        <v>76</v>
      </c>
      <c r="J415" t="s">
        <v>77</v>
      </c>
      <c r="K415" t="s">
        <v>78</v>
      </c>
      <c r="L415" t="s">
        <v>153</v>
      </c>
      <c r="M415" t="s">
        <v>154</v>
      </c>
      <c r="N415" t="s">
        <v>1093</v>
      </c>
      <c r="O415" t="s">
        <v>125</v>
      </c>
      <c r="P415" t="str">
        <f>"CT071954                      "</f>
        <v xml:space="preserve">CT071954                      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0</v>
      </c>
      <c r="AF415">
        <v>0</v>
      </c>
      <c r="AG415">
        <v>0</v>
      </c>
      <c r="AH415">
        <v>0</v>
      </c>
      <c r="AI415">
        <v>0</v>
      </c>
      <c r="AJ415">
        <v>0</v>
      </c>
      <c r="AK415">
        <v>49.78</v>
      </c>
      <c r="AL415">
        <v>0</v>
      </c>
      <c r="AM415">
        <v>0</v>
      </c>
      <c r="AN415">
        <v>0</v>
      </c>
      <c r="AO415">
        <v>0</v>
      </c>
      <c r="AP415">
        <v>0</v>
      </c>
      <c r="AQ415">
        <v>0</v>
      </c>
      <c r="AR415">
        <v>0</v>
      </c>
      <c r="AS415">
        <v>0</v>
      </c>
      <c r="AT415">
        <v>0</v>
      </c>
      <c r="AU415">
        <v>0</v>
      </c>
      <c r="AV415">
        <v>0</v>
      </c>
      <c r="AW415">
        <v>0</v>
      </c>
      <c r="AX415">
        <v>0</v>
      </c>
      <c r="AY415">
        <v>0</v>
      </c>
      <c r="AZ415">
        <v>0</v>
      </c>
      <c r="BA415">
        <v>0</v>
      </c>
      <c r="BB415">
        <v>0</v>
      </c>
      <c r="BC415">
        <v>0</v>
      </c>
      <c r="BD415">
        <v>0</v>
      </c>
      <c r="BE415">
        <v>0</v>
      </c>
      <c r="BF415">
        <v>0</v>
      </c>
      <c r="BG415">
        <v>0</v>
      </c>
      <c r="BH415">
        <v>2</v>
      </c>
      <c r="BI415">
        <v>8.5</v>
      </c>
      <c r="BJ415">
        <v>27.8</v>
      </c>
      <c r="BK415">
        <v>28</v>
      </c>
      <c r="BL415">
        <v>184.34</v>
      </c>
      <c r="BM415">
        <v>27.65</v>
      </c>
      <c r="BN415">
        <v>211.99</v>
      </c>
      <c r="BO415">
        <v>211.99</v>
      </c>
      <c r="BQ415" t="s">
        <v>1208</v>
      </c>
      <c r="BR415" t="s">
        <v>82</v>
      </c>
      <c r="BS415" s="3">
        <v>44606</v>
      </c>
      <c r="BT415" s="4">
        <v>0.35416666666666669</v>
      </c>
      <c r="BU415" t="s">
        <v>1094</v>
      </c>
      <c r="BV415" t="s">
        <v>101</v>
      </c>
      <c r="BY415">
        <v>138859.89000000001</v>
      </c>
      <c r="CA415" t="s">
        <v>465</v>
      </c>
      <c r="CC415" t="s">
        <v>154</v>
      </c>
      <c r="CD415">
        <v>2021</v>
      </c>
      <c r="CE415" t="s">
        <v>130</v>
      </c>
      <c r="CF415" s="3">
        <v>44606</v>
      </c>
      <c r="CI415">
        <v>2</v>
      </c>
      <c r="CJ415">
        <v>1</v>
      </c>
      <c r="CK415">
        <v>41</v>
      </c>
      <c r="CL415" t="s">
        <v>84</v>
      </c>
    </row>
    <row r="416" spans="1:90" x14ac:dyDescent="0.25">
      <c r="A416" t="s">
        <v>72</v>
      </c>
      <c r="B416" t="s">
        <v>73</v>
      </c>
      <c r="C416" t="s">
        <v>74</v>
      </c>
      <c r="E416" t="str">
        <f>"GAB2008253"</f>
        <v>GAB2008253</v>
      </c>
      <c r="F416" s="3">
        <v>44603</v>
      </c>
      <c r="G416">
        <v>202208</v>
      </c>
      <c r="H416" t="s">
        <v>75</v>
      </c>
      <c r="I416" t="s">
        <v>76</v>
      </c>
      <c r="J416" t="s">
        <v>77</v>
      </c>
      <c r="K416" t="s">
        <v>78</v>
      </c>
      <c r="L416" t="s">
        <v>153</v>
      </c>
      <c r="M416" t="s">
        <v>154</v>
      </c>
      <c r="N416" t="s">
        <v>1283</v>
      </c>
      <c r="O416" t="s">
        <v>125</v>
      </c>
      <c r="P416" t="str">
        <f>"006991                        "</f>
        <v xml:space="preserve">006991                        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  <c r="AF416">
        <v>0</v>
      </c>
      <c r="AG416">
        <v>0</v>
      </c>
      <c r="AH416">
        <v>0</v>
      </c>
      <c r="AI416">
        <v>0</v>
      </c>
      <c r="AJ416">
        <v>0</v>
      </c>
      <c r="AK416">
        <v>32.42</v>
      </c>
      <c r="AL416">
        <v>0</v>
      </c>
      <c r="AM416">
        <v>0</v>
      </c>
      <c r="AN416">
        <v>0</v>
      </c>
      <c r="AO416">
        <v>0</v>
      </c>
      <c r="AP416">
        <v>0</v>
      </c>
      <c r="AQ416">
        <v>0</v>
      </c>
      <c r="AR416">
        <v>0</v>
      </c>
      <c r="AS416">
        <v>0</v>
      </c>
      <c r="AT416">
        <v>0</v>
      </c>
      <c r="AU416">
        <v>0</v>
      </c>
      <c r="AV416">
        <v>0</v>
      </c>
      <c r="AW416">
        <v>0</v>
      </c>
      <c r="AX416">
        <v>0</v>
      </c>
      <c r="AY416">
        <v>0</v>
      </c>
      <c r="AZ416">
        <v>0</v>
      </c>
      <c r="BA416">
        <v>0</v>
      </c>
      <c r="BB416">
        <v>0</v>
      </c>
      <c r="BC416">
        <v>0</v>
      </c>
      <c r="BD416">
        <v>0</v>
      </c>
      <c r="BE416">
        <v>0</v>
      </c>
      <c r="BF416">
        <v>0</v>
      </c>
      <c r="BG416">
        <v>0</v>
      </c>
      <c r="BH416">
        <v>1</v>
      </c>
      <c r="BI416">
        <v>1.3</v>
      </c>
      <c r="BJ416">
        <v>2.6</v>
      </c>
      <c r="BK416">
        <v>3</v>
      </c>
      <c r="BL416">
        <v>121.87</v>
      </c>
      <c r="BM416">
        <v>18.28</v>
      </c>
      <c r="BN416">
        <v>140.15</v>
      </c>
      <c r="BO416">
        <v>140.15</v>
      </c>
      <c r="BR416" t="s">
        <v>82</v>
      </c>
      <c r="BS416" s="3">
        <v>44606</v>
      </c>
      <c r="BT416" s="4">
        <v>0.375</v>
      </c>
      <c r="BU416" t="s">
        <v>1284</v>
      </c>
      <c r="BV416" t="s">
        <v>101</v>
      </c>
      <c r="BY416">
        <v>12758.67</v>
      </c>
      <c r="CA416" t="s">
        <v>207</v>
      </c>
      <c r="CC416" t="s">
        <v>154</v>
      </c>
      <c r="CD416">
        <v>2000</v>
      </c>
      <c r="CE416" t="s">
        <v>130</v>
      </c>
      <c r="CF416" s="3">
        <v>44607</v>
      </c>
      <c r="CI416">
        <v>2</v>
      </c>
      <c r="CJ416">
        <v>1</v>
      </c>
      <c r="CK416">
        <v>41</v>
      </c>
      <c r="CL416" t="s">
        <v>84</v>
      </c>
    </row>
    <row r="417" spans="1:90" x14ac:dyDescent="0.25">
      <c r="A417" t="s">
        <v>72</v>
      </c>
      <c r="B417" t="s">
        <v>73</v>
      </c>
      <c r="C417" t="s">
        <v>74</v>
      </c>
      <c r="E417" t="str">
        <f>"GAB2008251"</f>
        <v>GAB2008251</v>
      </c>
      <c r="F417" s="3">
        <v>44603</v>
      </c>
      <c r="G417">
        <v>202208</v>
      </c>
      <c r="H417" t="s">
        <v>75</v>
      </c>
      <c r="I417" t="s">
        <v>76</v>
      </c>
      <c r="J417" t="s">
        <v>77</v>
      </c>
      <c r="K417" t="s">
        <v>78</v>
      </c>
      <c r="L417" t="s">
        <v>1285</v>
      </c>
      <c r="M417" t="s">
        <v>1286</v>
      </c>
      <c r="N417" t="s">
        <v>1287</v>
      </c>
      <c r="O417" t="s">
        <v>80</v>
      </c>
      <c r="P417" t="str">
        <f>"006973                        "</f>
        <v xml:space="preserve">006973                        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0</v>
      </c>
      <c r="AF417">
        <v>0</v>
      </c>
      <c r="AG417">
        <v>0</v>
      </c>
      <c r="AH417">
        <v>0</v>
      </c>
      <c r="AI417">
        <v>0</v>
      </c>
      <c r="AJ417">
        <v>0</v>
      </c>
      <c r="AK417">
        <v>25.14</v>
      </c>
      <c r="AL417">
        <v>0</v>
      </c>
      <c r="AM417">
        <v>0</v>
      </c>
      <c r="AN417">
        <v>0</v>
      </c>
      <c r="AO417">
        <v>0</v>
      </c>
      <c r="AP417">
        <v>0</v>
      </c>
      <c r="AQ417">
        <v>0</v>
      </c>
      <c r="AR417">
        <v>0</v>
      </c>
      <c r="AS417">
        <v>0</v>
      </c>
      <c r="AT417">
        <v>0</v>
      </c>
      <c r="AU417">
        <v>0</v>
      </c>
      <c r="AV417">
        <v>0</v>
      </c>
      <c r="AW417">
        <v>0</v>
      </c>
      <c r="AX417">
        <v>0</v>
      </c>
      <c r="AY417">
        <v>0</v>
      </c>
      <c r="AZ417">
        <v>0</v>
      </c>
      <c r="BA417">
        <v>0</v>
      </c>
      <c r="BB417">
        <v>0</v>
      </c>
      <c r="BC417">
        <v>0</v>
      </c>
      <c r="BD417">
        <v>0</v>
      </c>
      <c r="BE417">
        <v>0</v>
      </c>
      <c r="BF417">
        <v>0</v>
      </c>
      <c r="BG417">
        <v>0</v>
      </c>
      <c r="BH417">
        <v>1</v>
      </c>
      <c r="BI417">
        <v>0.1</v>
      </c>
      <c r="BJ417">
        <v>3</v>
      </c>
      <c r="BK417">
        <v>3</v>
      </c>
      <c r="BL417">
        <v>90.44</v>
      </c>
      <c r="BM417">
        <v>13.57</v>
      </c>
      <c r="BN417">
        <v>104.01</v>
      </c>
      <c r="BO417">
        <v>104.01</v>
      </c>
      <c r="BQ417" t="s">
        <v>1288</v>
      </c>
      <c r="BR417" t="s">
        <v>82</v>
      </c>
      <c r="BS417" s="3">
        <v>44606</v>
      </c>
      <c r="BT417" s="4">
        <v>0.38611111111111113</v>
      </c>
      <c r="BU417" t="s">
        <v>1289</v>
      </c>
      <c r="BV417" t="s">
        <v>101</v>
      </c>
      <c r="BY417">
        <v>15210.36</v>
      </c>
      <c r="BZ417" t="s">
        <v>87</v>
      </c>
      <c r="CA417" t="s">
        <v>1290</v>
      </c>
      <c r="CC417" t="s">
        <v>1286</v>
      </c>
      <c r="CD417">
        <v>1541</v>
      </c>
      <c r="CE417" t="s">
        <v>152</v>
      </c>
      <c r="CF417" s="3">
        <v>44607</v>
      </c>
      <c r="CI417">
        <v>1</v>
      </c>
      <c r="CJ417">
        <v>1</v>
      </c>
      <c r="CK417">
        <v>21</v>
      </c>
      <c r="CL417" t="s">
        <v>84</v>
      </c>
    </row>
    <row r="418" spans="1:90" x14ac:dyDescent="0.25">
      <c r="A418" t="s">
        <v>72</v>
      </c>
      <c r="B418" t="s">
        <v>73</v>
      </c>
      <c r="C418" t="s">
        <v>74</v>
      </c>
      <c r="E418" t="str">
        <f>"GAB2008257"</f>
        <v>GAB2008257</v>
      </c>
      <c r="F418" s="3">
        <v>44603</v>
      </c>
      <c r="G418">
        <v>202208</v>
      </c>
      <c r="H418" t="s">
        <v>75</v>
      </c>
      <c r="I418" t="s">
        <v>76</v>
      </c>
      <c r="J418" t="s">
        <v>77</v>
      </c>
      <c r="K418" t="s">
        <v>78</v>
      </c>
      <c r="L418" t="s">
        <v>131</v>
      </c>
      <c r="M418" t="s">
        <v>132</v>
      </c>
      <c r="N418" t="s">
        <v>1291</v>
      </c>
      <c r="O418" t="s">
        <v>125</v>
      </c>
      <c r="P418" t="str">
        <f>"CT071955                      "</f>
        <v xml:space="preserve">CT071955                      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0</v>
      </c>
      <c r="AF418">
        <v>0</v>
      </c>
      <c r="AG418">
        <v>0</v>
      </c>
      <c r="AH418">
        <v>0</v>
      </c>
      <c r="AI418">
        <v>0</v>
      </c>
      <c r="AJ418">
        <v>0</v>
      </c>
      <c r="AK418">
        <v>39.1</v>
      </c>
      <c r="AL418">
        <v>0</v>
      </c>
      <c r="AM418">
        <v>0</v>
      </c>
      <c r="AN418">
        <v>0</v>
      </c>
      <c r="AO418">
        <v>0</v>
      </c>
      <c r="AP418">
        <v>0</v>
      </c>
      <c r="AQ418">
        <v>0</v>
      </c>
      <c r="AR418">
        <v>0</v>
      </c>
      <c r="AS418">
        <v>0</v>
      </c>
      <c r="AT418">
        <v>0</v>
      </c>
      <c r="AU418">
        <v>0</v>
      </c>
      <c r="AV418">
        <v>0</v>
      </c>
      <c r="AW418">
        <v>0</v>
      </c>
      <c r="AX418">
        <v>0</v>
      </c>
      <c r="AY418">
        <v>0</v>
      </c>
      <c r="AZ418">
        <v>0</v>
      </c>
      <c r="BA418">
        <v>0</v>
      </c>
      <c r="BB418">
        <v>0</v>
      </c>
      <c r="BC418">
        <v>0</v>
      </c>
      <c r="BD418">
        <v>0</v>
      </c>
      <c r="BE418">
        <v>0</v>
      </c>
      <c r="BF418">
        <v>0</v>
      </c>
      <c r="BG418">
        <v>0</v>
      </c>
      <c r="BH418">
        <v>3</v>
      </c>
      <c r="BI418">
        <v>6.5</v>
      </c>
      <c r="BJ418">
        <v>19.399999999999999</v>
      </c>
      <c r="BK418">
        <v>20</v>
      </c>
      <c r="BL418">
        <v>145.9</v>
      </c>
      <c r="BM418">
        <v>21.89</v>
      </c>
      <c r="BN418">
        <v>167.79</v>
      </c>
      <c r="BO418">
        <v>167.79</v>
      </c>
      <c r="BQ418" t="s">
        <v>1292</v>
      </c>
      <c r="BR418" t="s">
        <v>82</v>
      </c>
      <c r="BS418" s="3">
        <v>44606</v>
      </c>
      <c r="BT418" s="4">
        <v>0.39027777777777778</v>
      </c>
      <c r="BU418" t="s">
        <v>1293</v>
      </c>
      <c r="BV418" t="s">
        <v>101</v>
      </c>
      <c r="BY418">
        <v>96811.32</v>
      </c>
      <c r="CA418" t="s">
        <v>280</v>
      </c>
      <c r="CC418" t="s">
        <v>132</v>
      </c>
      <c r="CD418">
        <v>4001</v>
      </c>
      <c r="CE418" t="s">
        <v>130</v>
      </c>
      <c r="CF418" s="3">
        <v>44607</v>
      </c>
      <c r="CI418">
        <v>3</v>
      </c>
      <c r="CJ418">
        <v>1</v>
      </c>
      <c r="CK418">
        <v>41</v>
      </c>
      <c r="CL418" t="s">
        <v>84</v>
      </c>
    </row>
    <row r="419" spans="1:90" x14ac:dyDescent="0.25">
      <c r="A419" t="s">
        <v>72</v>
      </c>
      <c r="B419" t="s">
        <v>73</v>
      </c>
      <c r="C419" t="s">
        <v>74</v>
      </c>
      <c r="E419" t="str">
        <f>"GAB2008249"</f>
        <v>GAB2008249</v>
      </c>
      <c r="F419" s="3">
        <v>44603</v>
      </c>
      <c r="G419">
        <v>202208</v>
      </c>
      <c r="H419" t="s">
        <v>75</v>
      </c>
      <c r="I419" t="s">
        <v>76</v>
      </c>
      <c r="J419" t="s">
        <v>77</v>
      </c>
      <c r="K419" t="s">
        <v>78</v>
      </c>
      <c r="L419" t="s">
        <v>920</v>
      </c>
      <c r="M419" t="s">
        <v>921</v>
      </c>
      <c r="N419" t="s">
        <v>922</v>
      </c>
      <c r="O419" t="s">
        <v>80</v>
      </c>
      <c r="P419" t="str">
        <f>"CT071946                      "</f>
        <v xml:space="preserve">CT071946                      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0</v>
      </c>
      <c r="AE419">
        <v>0</v>
      </c>
      <c r="AF419">
        <v>0</v>
      </c>
      <c r="AG419">
        <v>0</v>
      </c>
      <c r="AH419">
        <v>0</v>
      </c>
      <c r="AI419">
        <v>0</v>
      </c>
      <c r="AJ419">
        <v>0</v>
      </c>
      <c r="AK419">
        <v>54.48</v>
      </c>
      <c r="AL419">
        <v>0</v>
      </c>
      <c r="AM419">
        <v>0</v>
      </c>
      <c r="AN419">
        <v>0</v>
      </c>
      <c r="AO419">
        <v>0</v>
      </c>
      <c r="AP419">
        <v>0</v>
      </c>
      <c r="AQ419">
        <v>0</v>
      </c>
      <c r="AR419">
        <v>0</v>
      </c>
      <c r="AS419">
        <v>0</v>
      </c>
      <c r="AT419">
        <v>0</v>
      </c>
      <c r="AU419">
        <v>0</v>
      </c>
      <c r="AV419">
        <v>0</v>
      </c>
      <c r="AW419">
        <v>0</v>
      </c>
      <c r="AX419">
        <v>0</v>
      </c>
      <c r="AY419">
        <v>0</v>
      </c>
      <c r="AZ419">
        <v>0</v>
      </c>
      <c r="BA419">
        <v>0</v>
      </c>
      <c r="BB419">
        <v>0</v>
      </c>
      <c r="BC419">
        <v>0</v>
      </c>
      <c r="BD419">
        <v>0</v>
      </c>
      <c r="BE419">
        <v>0</v>
      </c>
      <c r="BF419">
        <v>0</v>
      </c>
      <c r="BG419">
        <v>0</v>
      </c>
      <c r="BH419">
        <v>1</v>
      </c>
      <c r="BI419">
        <v>0.1</v>
      </c>
      <c r="BJ419">
        <v>3.1</v>
      </c>
      <c r="BK419">
        <v>3.5</v>
      </c>
      <c r="BL419">
        <v>195.99</v>
      </c>
      <c r="BM419">
        <v>29.4</v>
      </c>
      <c r="BN419">
        <v>225.39</v>
      </c>
      <c r="BO419">
        <v>225.39</v>
      </c>
      <c r="BQ419" t="s">
        <v>237</v>
      </c>
      <c r="BR419" t="s">
        <v>82</v>
      </c>
      <c r="BS419" s="3">
        <v>44606</v>
      </c>
      <c r="BT419" s="4">
        <v>0.70000000000000007</v>
      </c>
      <c r="BU419" t="s">
        <v>1294</v>
      </c>
      <c r="BV419" t="s">
        <v>101</v>
      </c>
      <c r="BY419">
        <v>15475.2</v>
      </c>
      <c r="BZ419" t="s">
        <v>87</v>
      </c>
      <c r="CA419" t="s">
        <v>1295</v>
      </c>
      <c r="CC419" t="s">
        <v>921</v>
      </c>
      <c r="CD419">
        <v>3100</v>
      </c>
      <c r="CE419" t="s">
        <v>97</v>
      </c>
      <c r="CF419" s="3">
        <v>44607</v>
      </c>
      <c r="CI419">
        <v>1</v>
      </c>
      <c r="CJ419">
        <v>1</v>
      </c>
      <c r="CK419">
        <v>23</v>
      </c>
      <c r="CL419" t="s">
        <v>84</v>
      </c>
    </row>
    <row r="420" spans="1:90" x14ac:dyDescent="0.25">
      <c r="A420" t="s">
        <v>72</v>
      </c>
      <c r="B420" t="s">
        <v>73</v>
      </c>
      <c r="C420" t="s">
        <v>74</v>
      </c>
      <c r="E420" t="str">
        <f>"GAB2008243"</f>
        <v>GAB2008243</v>
      </c>
      <c r="F420" s="3">
        <v>44603</v>
      </c>
      <c r="G420">
        <v>202208</v>
      </c>
      <c r="H420" t="s">
        <v>75</v>
      </c>
      <c r="I420" t="s">
        <v>76</v>
      </c>
      <c r="J420" t="s">
        <v>77</v>
      </c>
      <c r="K420" t="s">
        <v>78</v>
      </c>
      <c r="L420" t="s">
        <v>185</v>
      </c>
      <c r="M420" t="s">
        <v>186</v>
      </c>
      <c r="N420" t="s">
        <v>187</v>
      </c>
      <c r="O420" t="s">
        <v>80</v>
      </c>
      <c r="P420" t="str">
        <f>"CT071935                      "</f>
        <v xml:space="preserve">CT071935                      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0</v>
      </c>
      <c r="AF420">
        <v>0</v>
      </c>
      <c r="AG420">
        <v>0</v>
      </c>
      <c r="AH420">
        <v>0</v>
      </c>
      <c r="AI420">
        <v>0</v>
      </c>
      <c r="AJ420">
        <v>0</v>
      </c>
      <c r="AK420">
        <v>47.15</v>
      </c>
      <c r="AL420">
        <v>0</v>
      </c>
      <c r="AM420">
        <v>0</v>
      </c>
      <c r="AN420">
        <v>0</v>
      </c>
      <c r="AO420">
        <v>0</v>
      </c>
      <c r="AP420">
        <v>0</v>
      </c>
      <c r="AQ420">
        <v>15</v>
      </c>
      <c r="AR420">
        <v>0</v>
      </c>
      <c r="AS420">
        <v>0</v>
      </c>
      <c r="AT420">
        <v>0</v>
      </c>
      <c r="AU420">
        <v>0</v>
      </c>
      <c r="AV420">
        <v>0</v>
      </c>
      <c r="AW420">
        <v>0</v>
      </c>
      <c r="AX420">
        <v>0</v>
      </c>
      <c r="AY420">
        <v>0</v>
      </c>
      <c r="AZ420">
        <v>0</v>
      </c>
      <c r="BA420">
        <v>0</v>
      </c>
      <c r="BB420">
        <v>0</v>
      </c>
      <c r="BC420">
        <v>0</v>
      </c>
      <c r="BD420">
        <v>0</v>
      </c>
      <c r="BE420">
        <v>0</v>
      </c>
      <c r="BF420">
        <v>0</v>
      </c>
      <c r="BG420">
        <v>0</v>
      </c>
      <c r="BH420">
        <v>1</v>
      </c>
      <c r="BI420">
        <v>0.9</v>
      </c>
      <c r="BJ420">
        <v>2.7</v>
      </c>
      <c r="BK420">
        <v>3</v>
      </c>
      <c r="BL420">
        <v>184.61</v>
      </c>
      <c r="BM420">
        <v>27.69</v>
      </c>
      <c r="BN420">
        <v>212.3</v>
      </c>
      <c r="BO420">
        <v>212.3</v>
      </c>
      <c r="BQ420" t="s">
        <v>188</v>
      </c>
      <c r="BR420" t="s">
        <v>82</v>
      </c>
      <c r="BS420" s="3">
        <v>44606</v>
      </c>
      <c r="BT420" s="4">
        <v>0.4375</v>
      </c>
      <c r="BU420" t="s">
        <v>1296</v>
      </c>
      <c r="BV420" t="s">
        <v>101</v>
      </c>
      <c r="BY420">
        <v>13313.3</v>
      </c>
      <c r="BZ420" t="s">
        <v>121</v>
      </c>
      <c r="CA420" t="s">
        <v>1297</v>
      </c>
      <c r="CC420" t="s">
        <v>186</v>
      </c>
      <c r="CD420">
        <v>2745</v>
      </c>
      <c r="CE420" t="s">
        <v>242</v>
      </c>
      <c r="CF420" s="3">
        <v>44607</v>
      </c>
      <c r="CI420">
        <v>1</v>
      </c>
      <c r="CJ420">
        <v>1</v>
      </c>
      <c r="CK420">
        <v>23</v>
      </c>
      <c r="CL420" t="s">
        <v>84</v>
      </c>
    </row>
    <row r="421" spans="1:90" x14ac:dyDescent="0.25">
      <c r="A421" t="s">
        <v>72</v>
      </c>
      <c r="B421" t="s">
        <v>73</v>
      </c>
      <c r="C421" t="s">
        <v>74</v>
      </c>
      <c r="E421" t="str">
        <f>"GAB2008247"</f>
        <v>GAB2008247</v>
      </c>
      <c r="F421" s="3">
        <v>44603</v>
      </c>
      <c r="G421">
        <v>202208</v>
      </c>
      <c r="H421" t="s">
        <v>75</v>
      </c>
      <c r="I421" t="s">
        <v>76</v>
      </c>
      <c r="J421" t="s">
        <v>77</v>
      </c>
      <c r="K421" t="s">
        <v>78</v>
      </c>
      <c r="L421" t="s">
        <v>481</v>
      </c>
      <c r="M421" t="s">
        <v>482</v>
      </c>
      <c r="N421" t="s">
        <v>716</v>
      </c>
      <c r="O421" t="s">
        <v>80</v>
      </c>
      <c r="P421" t="str">
        <f>"CT071942                      "</f>
        <v xml:space="preserve">CT071942                      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  <c r="AE421">
        <v>0</v>
      </c>
      <c r="AF421">
        <v>0</v>
      </c>
      <c r="AG421">
        <v>0</v>
      </c>
      <c r="AH421">
        <v>0</v>
      </c>
      <c r="AI421">
        <v>0</v>
      </c>
      <c r="AJ421">
        <v>0</v>
      </c>
      <c r="AK421">
        <v>32.479999999999997</v>
      </c>
      <c r="AL421">
        <v>0</v>
      </c>
      <c r="AM421">
        <v>0</v>
      </c>
      <c r="AN421">
        <v>0</v>
      </c>
      <c r="AO421">
        <v>0</v>
      </c>
      <c r="AP421">
        <v>0</v>
      </c>
      <c r="AQ421">
        <v>0</v>
      </c>
      <c r="AR421">
        <v>0</v>
      </c>
      <c r="AS421">
        <v>0</v>
      </c>
      <c r="AT421">
        <v>0</v>
      </c>
      <c r="AU421">
        <v>0</v>
      </c>
      <c r="AV421">
        <v>0</v>
      </c>
      <c r="AW421">
        <v>0</v>
      </c>
      <c r="AX421">
        <v>0</v>
      </c>
      <c r="AY421">
        <v>0</v>
      </c>
      <c r="AZ421">
        <v>0</v>
      </c>
      <c r="BA421">
        <v>0</v>
      </c>
      <c r="BB421">
        <v>0</v>
      </c>
      <c r="BC421">
        <v>0</v>
      </c>
      <c r="BD421">
        <v>0</v>
      </c>
      <c r="BE421">
        <v>0</v>
      </c>
      <c r="BF421">
        <v>0</v>
      </c>
      <c r="BG421">
        <v>0</v>
      </c>
      <c r="BH421">
        <v>1</v>
      </c>
      <c r="BI421">
        <v>0.6</v>
      </c>
      <c r="BJ421">
        <v>1.9</v>
      </c>
      <c r="BK421">
        <v>2</v>
      </c>
      <c r="BL421">
        <v>116.84</v>
      </c>
      <c r="BM421">
        <v>17.53</v>
      </c>
      <c r="BN421">
        <v>134.37</v>
      </c>
      <c r="BO421">
        <v>134.37</v>
      </c>
      <c r="BQ421" t="s">
        <v>717</v>
      </c>
      <c r="BR421" t="s">
        <v>82</v>
      </c>
      <c r="BS421" s="3">
        <v>44606</v>
      </c>
      <c r="BT421" s="4">
        <v>0.4055555555555555</v>
      </c>
      <c r="BU421" t="s">
        <v>485</v>
      </c>
      <c r="BV421" t="s">
        <v>101</v>
      </c>
      <c r="BY421">
        <v>9349.2000000000007</v>
      </c>
      <c r="BZ421" t="s">
        <v>87</v>
      </c>
      <c r="CA421" t="s">
        <v>486</v>
      </c>
      <c r="CC421" t="s">
        <v>482</v>
      </c>
      <c r="CD421">
        <v>9700</v>
      </c>
      <c r="CE421" t="s">
        <v>198</v>
      </c>
      <c r="CF421" s="3">
        <v>44606</v>
      </c>
      <c r="CI421">
        <v>2</v>
      </c>
      <c r="CJ421">
        <v>1</v>
      </c>
      <c r="CK421">
        <v>23</v>
      </c>
      <c r="CL421" t="s">
        <v>84</v>
      </c>
    </row>
    <row r="422" spans="1:90" x14ac:dyDescent="0.25">
      <c r="A422" t="s">
        <v>72</v>
      </c>
      <c r="B422" t="s">
        <v>73</v>
      </c>
      <c r="C422" t="s">
        <v>74</v>
      </c>
      <c r="E422" t="str">
        <f>"GAB2008239"</f>
        <v>GAB2008239</v>
      </c>
      <c r="F422" s="3">
        <v>44603</v>
      </c>
      <c r="G422">
        <v>202208</v>
      </c>
      <c r="H422" t="s">
        <v>75</v>
      </c>
      <c r="I422" t="s">
        <v>76</v>
      </c>
      <c r="J422" t="s">
        <v>77</v>
      </c>
      <c r="K422" t="s">
        <v>78</v>
      </c>
      <c r="L422" t="s">
        <v>109</v>
      </c>
      <c r="M422" t="s">
        <v>110</v>
      </c>
      <c r="N422" t="s">
        <v>394</v>
      </c>
      <c r="O422" t="s">
        <v>125</v>
      </c>
      <c r="P422" t="str">
        <f>"CT071933                      "</f>
        <v xml:space="preserve">CT071933                      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0</v>
      </c>
      <c r="AF422">
        <v>0</v>
      </c>
      <c r="AG422">
        <v>0</v>
      </c>
      <c r="AH422">
        <v>0</v>
      </c>
      <c r="AI422">
        <v>0</v>
      </c>
      <c r="AJ422">
        <v>0</v>
      </c>
      <c r="AK422">
        <v>32.42</v>
      </c>
      <c r="AL422">
        <v>0</v>
      </c>
      <c r="AM422">
        <v>0</v>
      </c>
      <c r="AN422">
        <v>0</v>
      </c>
      <c r="AO422">
        <v>0</v>
      </c>
      <c r="AP422">
        <v>0</v>
      </c>
      <c r="AQ422">
        <v>0</v>
      </c>
      <c r="AR422">
        <v>0</v>
      </c>
      <c r="AS422">
        <v>0</v>
      </c>
      <c r="AT422">
        <v>0</v>
      </c>
      <c r="AU422">
        <v>0</v>
      </c>
      <c r="AV422">
        <v>0</v>
      </c>
      <c r="AW422">
        <v>0</v>
      </c>
      <c r="AX422">
        <v>0</v>
      </c>
      <c r="AY422">
        <v>0</v>
      </c>
      <c r="AZ422">
        <v>0</v>
      </c>
      <c r="BA422">
        <v>0</v>
      </c>
      <c r="BB422">
        <v>0</v>
      </c>
      <c r="BC422">
        <v>0</v>
      </c>
      <c r="BD422">
        <v>0</v>
      </c>
      <c r="BE422">
        <v>0</v>
      </c>
      <c r="BF422">
        <v>0</v>
      </c>
      <c r="BG422">
        <v>0</v>
      </c>
      <c r="BH422">
        <v>1</v>
      </c>
      <c r="BI422">
        <v>2</v>
      </c>
      <c r="BJ422">
        <v>6.3</v>
      </c>
      <c r="BK422">
        <v>7</v>
      </c>
      <c r="BL422">
        <v>121.87</v>
      </c>
      <c r="BM422">
        <v>18.28</v>
      </c>
      <c r="BN422">
        <v>140.15</v>
      </c>
      <c r="BO422">
        <v>140.15</v>
      </c>
      <c r="BQ422" t="s">
        <v>395</v>
      </c>
      <c r="BR422" t="s">
        <v>82</v>
      </c>
      <c r="BS422" s="3">
        <v>44606</v>
      </c>
      <c r="BT422" s="4">
        <v>0.5</v>
      </c>
      <c r="BU422" t="s">
        <v>701</v>
      </c>
      <c r="BV422" t="s">
        <v>101</v>
      </c>
      <c r="BY422">
        <v>31264.880000000001</v>
      </c>
      <c r="CA422" t="s">
        <v>219</v>
      </c>
      <c r="CC422" t="s">
        <v>110</v>
      </c>
      <c r="CD422">
        <v>157</v>
      </c>
      <c r="CE422" t="s">
        <v>130</v>
      </c>
      <c r="CF422" s="3">
        <v>44606</v>
      </c>
      <c r="CI422">
        <v>2</v>
      </c>
      <c r="CJ422">
        <v>1</v>
      </c>
      <c r="CK422">
        <v>41</v>
      </c>
      <c r="CL422" t="s">
        <v>84</v>
      </c>
    </row>
    <row r="423" spans="1:90" x14ac:dyDescent="0.25">
      <c r="A423" t="s">
        <v>72</v>
      </c>
      <c r="B423" t="s">
        <v>73</v>
      </c>
      <c r="C423" t="s">
        <v>74</v>
      </c>
      <c r="E423" t="str">
        <f>"GAB2008241"</f>
        <v>GAB2008241</v>
      </c>
      <c r="F423" s="3">
        <v>44603</v>
      </c>
      <c r="G423">
        <v>202208</v>
      </c>
      <c r="H423" t="s">
        <v>75</v>
      </c>
      <c r="I423" t="s">
        <v>76</v>
      </c>
      <c r="J423" t="s">
        <v>77</v>
      </c>
      <c r="K423" t="s">
        <v>78</v>
      </c>
      <c r="L423" t="s">
        <v>192</v>
      </c>
      <c r="M423" t="s">
        <v>193</v>
      </c>
      <c r="N423" t="s">
        <v>194</v>
      </c>
      <c r="O423" t="s">
        <v>125</v>
      </c>
      <c r="P423" t="str">
        <f>"CT071930                      "</f>
        <v xml:space="preserve">CT071930                      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0</v>
      </c>
      <c r="AE423">
        <v>0</v>
      </c>
      <c r="AF423">
        <v>0</v>
      </c>
      <c r="AG423">
        <v>0</v>
      </c>
      <c r="AH423">
        <v>0</v>
      </c>
      <c r="AI423">
        <v>0</v>
      </c>
      <c r="AJ423">
        <v>0</v>
      </c>
      <c r="AK423">
        <v>45.72</v>
      </c>
      <c r="AL423">
        <v>0</v>
      </c>
      <c r="AM423">
        <v>0</v>
      </c>
      <c r="AN423">
        <v>0</v>
      </c>
      <c r="AO423">
        <v>0</v>
      </c>
      <c r="AP423">
        <v>0</v>
      </c>
      <c r="AQ423">
        <v>0</v>
      </c>
      <c r="AR423">
        <v>0</v>
      </c>
      <c r="AS423">
        <v>0</v>
      </c>
      <c r="AT423">
        <v>0</v>
      </c>
      <c r="AU423">
        <v>0</v>
      </c>
      <c r="AV423">
        <v>0</v>
      </c>
      <c r="AW423">
        <v>0</v>
      </c>
      <c r="AX423">
        <v>0</v>
      </c>
      <c r="AY423">
        <v>0</v>
      </c>
      <c r="AZ423">
        <v>0</v>
      </c>
      <c r="BA423">
        <v>0</v>
      </c>
      <c r="BB423">
        <v>0</v>
      </c>
      <c r="BC423">
        <v>0</v>
      </c>
      <c r="BD423">
        <v>0</v>
      </c>
      <c r="BE423">
        <v>0</v>
      </c>
      <c r="BF423">
        <v>0</v>
      </c>
      <c r="BG423">
        <v>0</v>
      </c>
      <c r="BH423">
        <v>1</v>
      </c>
      <c r="BI423">
        <v>3.9</v>
      </c>
      <c r="BJ423">
        <v>13</v>
      </c>
      <c r="BK423">
        <v>13</v>
      </c>
      <c r="BL423">
        <v>169.72</v>
      </c>
      <c r="BM423">
        <v>25.46</v>
      </c>
      <c r="BN423">
        <v>195.18</v>
      </c>
      <c r="BO423">
        <v>195.18</v>
      </c>
      <c r="BQ423" t="s">
        <v>195</v>
      </c>
      <c r="BR423" t="s">
        <v>82</v>
      </c>
      <c r="BS423" s="3">
        <v>44606</v>
      </c>
      <c r="BT423" s="4">
        <v>0.375</v>
      </c>
      <c r="BU423" t="s">
        <v>196</v>
      </c>
      <c r="BV423" t="s">
        <v>101</v>
      </c>
      <c r="BY423">
        <v>64770.86</v>
      </c>
      <c r="CA423" t="s">
        <v>197</v>
      </c>
      <c r="CC423" t="s">
        <v>193</v>
      </c>
      <c r="CD423">
        <v>2515</v>
      </c>
      <c r="CE423" t="s">
        <v>130</v>
      </c>
      <c r="CF423" s="3">
        <v>44606</v>
      </c>
      <c r="CI423">
        <v>2</v>
      </c>
      <c r="CJ423">
        <v>1</v>
      </c>
      <c r="CK423">
        <v>43</v>
      </c>
      <c r="CL423" t="s">
        <v>84</v>
      </c>
    </row>
    <row r="424" spans="1:90" x14ac:dyDescent="0.25">
      <c r="A424" t="s">
        <v>72</v>
      </c>
      <c r="B424" t="s">
        <v>73</v>
      </c>
      <c r="C424" t="s">
        <v>74</v>
      </c>
      <c r="E424" t="str">
        <f>"GAB2008244"</f>
        <v>GAB2008244</v>
      </c>
      <c r="F424" s="3">
        <v>44603</v>
      </c>
      <c r="G424">
        <v>202208</v>
      </c>
      <c r="H424" t="s">
        <v>75</v>
      </c>
      <c r="I424" t="s">
        <v>76</v>
      </c>
      <c r="J424" t="s">
        <v>77</v>
      </c>
      <c r="K424" t="s">
        <v>78</v>
      </c>
      <c r="L424" t="s">
        <v>1298</v>
      </c>
      <c r="M424" t="s">
        <v>1299</v>
      </c>
      <c r="N424" t="s">
        <v>1300</v>
      </c>
      <c r="O424" t="s">
        <v>125</v>
      </c>
      <c r="P424" t="str">
        <f>"CT071936                      "</f>
        <v xml:space="preserve">CT071936                      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0</v>
      </c>
      <c r="AF424">
        <v>0</v>
      </c>
      <c r="AG424">
        <v>0</v>
      </c>
      <c r="AH424">
        <v>0</v>
      </c>
      <c r="AI424">
        <v>0</v>
      </c>
      <c r="AJ424">
        <v>0</v>
      </c>
      <c r="AK424">
        <v>45.72</v>
      </c>
      <c r="AL424">
        <v>0</v>
      </c>
      <c r="AM424">
        <v>0</v>
      </c>
      <c r="AN424">
        <v>0</v>
      </c>
      <c r="AO424">
        <v>0</v>
      </c>
      <c r="AP424">
        <v>0</v>
      </c>
      <c r="AQ424">
        <v>0</v>
      </c>
      <c r="AR424">
        <v>0</v>
      </c>
      <c r="AS424">
        <v>0</v>
      </c>
      <c r="AT424">
        <v>0</v>
      </c>
      <c r="AU424">
        <v>0</v>
      </c>
      <c r="AV424">
        <v>0</v>
      </c>
      <c r="AW424">
        <v>0</v>
      </c>
      <c r="AX424">
        <v>0</v>
      </c>
      <c r="AY424">
        <v>0</v>
      </c>
      <c r="AZ424">
        <v>0</v>
      </c>
      <c r="BA424">
        <v>0</v>
      </c>
      <c r="BB424">
        <v>0</v>
      </c>
      <c r="BC424">
        <v>0</v>
      </c>
      <c r="BD424">
        <v>0</v>
      </c>
      <c r="BE424">
        <v>0</v>
      </c>
      <c r="BF424">
        <v>0</v>
      </c>
      <c r="BG424">
        <v>0</v>
      </c>
      <c r="BH424">
        <v>1</v>
      </c>
      <c r="BI424">
        <v>1</v>
      </c>
      <c r="BJ424">
        <v>2.6</v>
      </c>
      <c r="BK424">
        <v>3</v>
      </c>
      <c r="BL424">
        <v>169.72</v>
      </c>
      <c r="BM424">
        <v>25.46</v>
      </c>
      <c r="BN424">
        <v>195.18</v>
      </c>
      <c r="BO424">
        <v>195.18</v>
      </c>
      <c r="BQ424" t="s">
        <v>311</v>
      </c>
      <c r="BR424" t="s">
        <v>82</v>
      </c>
      <c r="BS424" s="3">
        <v>44606</v>
      </c>
      <c r="BT424" s="4">
        <v>0.45</v>
      </c>
      <c r="BU424" t="s">
        <v>1301</v>
      </c>
      <c r="BV424" t="s">
        <v>101</v>
      </c>
      <c r="BY424">
        <v>13182.75</v>
      </c>
      <c r="CA424" t="s">
        <v>1302</v>
      </c>
      <c r="CC424" t="s">
        <v>1299</v>
      </c>
      <c r="CD424">
        <v>1061</v>
      </c>
      <c r="CE424" t="s">
        <v>130</v>
      </c>
      <c r="CF424" s="3">
        <v>44606</v>
      </c>
      <c r="CI424">
        <v>3</v>
      </c>
      <c r="CJ424">
        <v>1</v>
      </c>
      <c r="CK424">
        <v>43</v>
      </c>
      <c r="CL424" t="s">
        <v>84</v>
      </c>
    </row>
    <row r="425" spans="1:90" x14ac:dyDescent="0.25">
      <c r="A425" t="s">
        <v>72</v>
      </c>
      <c r="B425" t="s">
        <v>73</v>
      </c>
      <c r="C425" t="s">
        <v>74</v>
      </c>
      <c r="E425" t="str">
        <f>"GAB2008242"</f>
        <v>GAB2008242</v>
      </c>
      <c r="F425" s="3">
        <v>44603</v>
      </c>
      <c r="G425">
        <v>202208</v>
      </c>
      <c r="H425" t="s">
        <v>75</v>
      </c>
      <c r="I425" t="s">
        <v>76</v>
      </c>
      <c r="J425" t="s">
        <v>77</v>
      </c>
      <c r="K425" t="s">
        <v>78</v>
      </c>
      <c r="L425" t="s">
        <v>165</v>
      </c>
      <c r="M425" t="s">
        <v>166</v>
      </c>
      <c r="N425" t="s">
        <v>1060</v>
      </c>
      <c r="O425" t="s">
        <v>125</v>
      </c>
      <c r="P425" t="str">
        <f>"CT071928                      "</f>
        <v xml:space="preserve">CT071928                      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0</v>
      </c>
      <c r="AE425">
        <v>0</v>
      </c>
      <c r="AF425">
        <v>0</v>
      </c>
      <c r="AG425">
        <v>0</v>
      </c>
      <c r="AH425">
        <v>0</v>
      </c>
      <c r="AI425">
        <v>0</v>
      </c>
      <c r="AJ425">
        <v>0</v>
      </c>
      <c r="AK425">
        <v>85.86</v>
      </c>
      <c r="AL425">
        <v>0</v>
      </c>
      <c r="AM425">
        <v>0</v>
      </c>
      <c r="AN425">
        <v>0</v>
      </c>
      <c r="AO425">
        <v>0</v>
      </c>
      <c r="AP425">
        <v>0</v>
      </c>
      <c r="AQ425">
        <v>0</v>
      </c>
      <c r="AR425">
        <v>0</v>
      </c>
      <c r="AS425">
        <v>0</v>
      </c>
      <c r="AT425">
        <v>0</v>
      </c>
      <c r="AU425">
        <v>0</v>
      </c>
      <c r="AV425">
        <v>0</v>
      </c>
      <c r="AW425">
        <v>0</v>
      </c>
      <c r="AX425">
        <v>0</v>
      </c>
      <c r="AY425">
        <v>0</v>
      </c>
      <c r="AZ425">
        <v>0</v>
      </c>
      <c r="BA425">
        <v>0</v>
      </c>
      <c r="BB425">
        <v>0</v>
      </c>
      <c r="BC425">
        <v>0</v>
      </c>
      <c r="BD425">
        <v>0</v>
      </c>
      <c r="BE425">
        <v>0</v>
      </c>
      <c r="BF425">
        <v>0</v>
      </c>
      <c r="BG425">
        <v>0</v>
      </c>
      <c r="BH425">
        <v>4</v>
      </c>
      <c r="BI425">
        <v>15.8</v>
      </c>
      <c r="BJ425">
        <v>54.8</v>
      </c>
      <c r="BK425">
        <v>55</v>
      </c>
      <c r="BL425">
        <v>314.11</v>
      </c>
      <c r="BM425">
        <v>47.12</v>
      </c>
      <c r="BN425">
        <v>361.23</v>
      </c>
      <c r="BO425">
        <v>361.23</v>
      </c>
      <c r="BQ425" t="s">
        <v>1061</v>
      </c>
      <c r="BR425" t="s">
        <v>82</v>
      </c>
      <c r="BS425" s="3">
        <v>44606</v>
      </c>
      <c r="BT425" s="4">
        <v>0.4375</v>
      </c>
      <c r="BU425" t="s">
        <v>1303</v>
      </c>
      <c r="BV425" t="s">
        <v>101</v>
      </c>
      <c r="BY425">
        <v>273934.45</v>
      </c>
      <c r="CC425" t="s">
        <v>166</v>
      </c>
      <c r="CD425">
        <v>2</v>
      </c>
      <c r="CE425" t="s">
        <v>130</v>
      </c>
      <c r="CF425" s="3">
        <v>44606</v>
      </c>
      <c r="CI425">
        <v>2</v>
      </c>
      <c r="CJ425">
        <v>1</v>
      </c>
      <c r="CK425">
        <v>41</v>
      </c>
      <c r="CL425" t="s">
        <v>84</v>
      </c>
    </row>
    <row r="426" spans="1:90" x14ac:dyDescent="0.25">
      <c r="A426" t="s">
        <v>72</v>
      </c>
      <c r="B426" t="s">
        <v>73</v>
      </c>
      <c r="C426" t="s">
        <v>74</v>
      </c>
      <c r="E426" t="str">
        <f>"GAB2008245"</f>
        <v>GAB2008245</v>
      </c>
      <c r="F426" s="3">
        <v>44603</v>
      </c>
      <c r="G426">
        <v>202208</v>
      </c>
      <c r="H426" t="s">
        <v>75</v>
      </c>
      <c r="I426" t="s">
        <v>76</v>
      </c>
      <c r="J426" t="s">
        <v>77</v>
      </c>
      <c r="K426" t="s">
        <v>78</v>
      </c>
      <c r="L426" t="s">
        <v>252</v>
      </c>
      <c r="M426" t="s">
        <v>253</v>
      </c>
      <c r="N426" t="s">
        <v>1304</v>
      </c>
      <c r="O426" t="s">
        <v>125</v>
      </c>
      <c r="P426" t="str">
        <f>"CT071931                      "</f>
        <v xml:space="preserve">CT071931                      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0</v>
      </c>
      <c r="AE426">
        <v>0</v>
      </c>
      <c r="AF426">
        <v>0</v>
      </c>
      <c r="AG426">
        <v>0</v>
      </c>
      <c r="AH426">
        <v>0</v>
      </c>
      <c r="AI426">
        <v>0</v>
      </c>
      <c r="AJ426">
        <v>0</v>
      </c>
      <c r="AK426">
        <v>45.72</v>
      </c>
      <c r="AL426">
        <v>0</v>
      </c>
      <c r="AM426">
        <v>0</v>
      </c>
      <c r="AN426">
        <v>0</v>
      </c>
      <c r="AO426">
        <v>0</v>
      </c>
      <c r="AP426">
        <v>0</v>
      </c>
      <c r="AQ426">
        <v>0</v>
      </c>
      <c r="AR426">
        <v>0</v>
      </c>
      <c r="AS426">
        <v>0</v>
      </c>
      <c r="AT426">
        <v>0</v>
      </c>
      <c r="AU426">
        <v>0</v>
      </c>
      <c r="AV426">
        <v>0</v>
      </c>
      <c r="AW426">
        <v>0</v>
      </c>
      <c r="AX426">
        <v>0</v>
      </c>
      <c r="AY426">
        <v>0</v>
      </c>
      <c r="AZ426">
        <v>0</v>
      </c>
      <c r="BA426">
        <v>0</v>
      </c>
      <c r="BB426">
        <v>0</v>
      </c>
      <c r="BC426">
        <v>0</v>
      </c>
      <c r="BD426">
        <v>0</v>
      </c>
      <c r="BE426">
        <v>0</v>
      </c>
      <c r="BF426">
        <v>0</v>
      </c>
      <c r="BG426">
        <v>0</v>
      </c>
      <c r="BH426">
        <v>1</v>
      </c>
      <c r="BI426">
        <v>1.9</v>
      </c>
      <c r="BJ426">
        <v>6.4</v>
      </c>
      <c r="BK426">
        <v>7</v>
      </c>
      <c r="BL426">
        <v>169.72</v>
      </c>
      <c r="BM426">
        <v>25.46</v>
      </c>
      <c r="BN426">
        <v>195.18</v>
      </c>
      <c r="BO426">
        <v>195.18</v>
      </c>
      <c r="BQ426" t="s">
        <v>1152</v>
      </c>
      <c r="BR426" t="s">
        <v>82</v>
      </c>
      <c r="BS426" s="3">
        <v>44606</v>
      </c>
      <c r="BT426" s="4">
        <v>0.65069444444444446</v>
      </c>
      <c r="BU426" t="s">
        <v>1305</v>
      </c>
      <c r="BV426" t="s">
        <v>101</v>
      </c>
      <c r="BY426">
        <v>32043.3</v>
      </c>
      <c r="CA426" t="s">
        <v>257</v>
      </c>
      <c r="CC426" t="s">
        <v>253</v>
      </c>
      <c r="CD426">
        <v>4404</v>
      </c>
      <c r="CE426" t="s">
        <v>130</v>
      </c>
      <c r="CF426" s="3">
        <v>44607</v>
      </c>
      <c r="CI426">
        <v>3</v>
      </c>
      <c r="CJ426">
        <v>1</v>
      </c>
      <c r="CK426">
        <v>43</v>
      </c>
      <c r="CL426" t="s">
        <v>84</v>
      </c>
    </row>
    <row r="427" spans="1:90" x14ac:dyDescent="0.25">
      <c r="A427" t="s">
        <v>72</v>
      </c>
      <c r="B427" t="s">
        <v>73</v>
      </c>
      <c r="C427" t="s">
        <v>74</v>
      </c>
      <c r="E427" t="str">
        <f>"GAB2008246"</f>
        <v>GAB2008246</v>
      </c>
      <c r="F427" s="3">
        <v>44603</v>
      </c>
      <c r="G427">
        <v>202208</v>
      </c>
      <c r="H427" t="s">
        <v>75</v>
      </c>
      <c r="I427" t="s">
        <v>76</v>
      </c>
      <c r="J427" t="s">
        <v>77</v>
      </c>
      <c r="K427" t="s">
        <v>78</v>
      </c>
      <c r="L427" t="s">
        <v>1306</v>
      </c>
      <c r="M427" t="s">
        <v>1306</v>
      </c>
      <c r="N427" t="s">
        <v>1307</v>
      </c>
      <c r="O427" t="s">
        <v>125</v>
      </c>
      <c r="P427" t="str">
        <f>"ORD006995                     "</f>
        <v xml:space="preserve">ORD006995                     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  <c r="AE427">
        <v>0</v>
      </c>
      <c r="AF427">
        <v>0</v>
      </c>
      <c r="AG427">
        <v>0</v>
      </c>
      <c r="AH427">
        <v>0</v>
      </c>
      <c r="AI427">
        <v>0</v>
      </c>
      <c r="AJ427">
        <v>0</v>
      </c>
      <c r="AK427">
        <v>45.12</v>
      </c>
      <c r="AL427">
        <v>0</v>
      </c>
      <c r="AM427">
        <v>0</v>
      </c>
      <c r="AN427">
        <v>0</v>
      </c>
      <c r="AO427">
        <v>0</v>
      </c>
      <c r="AP427">
        <v>0</v>
      </c>
      <c r="AQ427">
        <v>0</v>
      </c>
      <c r="AR427">
        <v>0</v>
      </c>
      <c r="AS427">
        <v>0</v>
      </c>
      <c r="AT427">
        <v>0</v>
      </c>
      <c r="AU427">
        <v>0</v>
      </c>
      <c r="AV427">
        <v>0</v>
      </c>
      <c r="AW427">
        <v>0</v>
      </c>
      <c r="AX427">
        <v>0</v>
      </c>
      <c r="AY427">
        <v>0</v>
      </c>
      <c r="AZ427">
        <v>0</v>
      </c>
      <c r="BA427">
        <v>0</v>
      </c>
      <c r="BB427">
        <v>0</v>
      </c>
      <c r="BC427">
        <v>0</v>
      </c>
      <c r="BD427">
        <v>0</v>
      </c>
      <c r="BE427">
        <v>0</v>
      </c>
      <c r="BF427">
        <v>0</v>
      </c>
      <c r="BG427">
        <v>0</v>
      </c>
      <c r="BH427">
        <v>1</v>
      </c>
      <c r="BI427">
        <v>10.1</v>
      </c>
      <c r="BJ427">
        <v>24.7</v>
      </c>
      <c r="BK427">
        <v>25</v>
      </c>
      <c r="BL427">
        <v>167.56</v>
      </c>
      <c r="BM427">
        <v>25.13</v>
      </c>
      <c r="BN427">
        <v>192.69</v>
      </c>
      <c r="BO427">
        <v>192.69</v>
      </c>
      <c r="BQ427" t="s">
        <v>1308</v>
      </c>
      <c r="BR427" t="s">
        <v>82</v>
      </c>
      <c r="BS427" s="3">
        <v>44606</v>
      </c>
      <c r="BT427" s="4">
        <v>0.71875</v>
      </c>
      <c r="BU427" t="s">
        <v>1309</v>
      </c>
      <c r="BV427" t="s">
        <v>101</v>
      </c>
      <c r="BY427">
        <v>123421.91</v>
      </c>
      <c r="CA427" t="s">
        <v>1310</v>
      </c>
      <c r="CC427" t="s">
        <v>1306</v>
      </c>
      <c r="CD427">
        <v>6835</v>
      </c>
      <c r="CE427" t="s">
        <v>130</v>
      </c>
      <c r="CF427" s="3">
        <v>44607</v>
      </c>
      <c r="CI427">
        <v>0</v>
      </c>
      <c r="CJ427">
        <v>0</v>
      </c>
      <c r="CK427">
        <v>44</v>
      </c>
      <c r="CL427" t="s">
        <v>84</v>
      </c>
    </row>
    <row r="428" spans="1:90" x14ac:dyDescent="0.25">
      <c r="A428" t="s">
        <v>72</v>
      </c>
      <c r="B428" t="s">
        <v>73</v>
      </c>
      <c r="C428" t="s">
        <v>74</v>
      </c>
      <c r="E428" t="str">
        <f>"GAB2008248"</f>
        <v>GAB2008248</v>
      </c>
      <c r="F428" s="3">
        <v>44603</v>
      </c>
      <c r="G428">
        <v>202208</v>
      </c>
      <c r="H428" t="s">
        <v>75</v>
      </c>
      <c r="I428" t="s">
        <v>76</v>
      </c>
      <c r="J428" t="s">
        <v>77</v>
      </c>
      <c r="K428" t="s">
        <v>78</v>
      </c>
      <c r="L428" t="s">
        <v>153</v>
      </c>
      <c r="M428" t="s">
        <v>154</v>
      </c>
      <c r="N428" t="s">
        <v>243</v>
      </c>
      <c r="O428" t="s">
        <v>80</v>
      </c>
      <c r="P428" t="str">
        <f>"CT071945                      "</f>
        <v xml:space="preserve">CT071945                      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0</v>
      </c>
      <c r="AF428">
        <v>0</v>
      </c>
      <c r="AG428">
        <v>0</v>
      </c>
      <c r="AH428">
        <v>0</v>
      </c>
      <c r="AI428">
        <v>0</v>
      </c>
      <c r="AJ428">
        <v>0</v>
      </c>
      <c r="AK428">
        <v>20.95</v>
      </c>
      <c r="AL428">
        <v>0</v>
      </c>
      <c r="AM428">
        <v>0</v>
      </c>
      <c r="AN428">
        <v>0</v>
      </c>
      <c r="AO428">
        <v>0</v>
      </c>
      <c r="AP428">
        <v>0</v>
      </c>
      <c r="AQ428">
        <v>0</v>
      </c>
      <c r="AR428">
        <v>0</v>
      </c>
      <c r="AS428">
        <v>0</v>
      </c>
      <c r="AT428">
        <v>0</v>
      </c>
      <c r="AU428">
        <v>0</v>
      </c>
      <c r="AV428">
        <v>0</v>
      </c>
      <c r="AW428">
        <v>0</v>
      </c>
      <c r="AX428">
        <v>0</v>
      </c>
      <c r="AY428">
        <v>0</v>
      </c>
      <c r="AZ428">
        <v>0</v>
      </c>
      <c r="BA428">
        <v>0</v>
      </c>
      <c r="BB428">
        <v>0</v>
      </c>
      <c r="BC428">
        <v>0</v>
      </c>
      <c r="BD428">
        <v>0</v>
      </c>
      <c r="BE428">
        <v>0</v>
      </c>
      <c r="BF428">
        <v>0</v>
      </c>
      <c r="BG428">
        <v>0</v>
      </c>
      <c r="BH428">
        <v>1</v>
      </c>
      <c r="BI428">
        <v>0.1</v>
      </c>
      <c r="BJ428">
        <v>2.2000000000000002</v>
      </c>
      <c r="BK428">
        <v>2.5</v>
      </c>
      <c r="BL428">
        <v>75.37</v>
      </c>
      <c r="BM428">
        <v>11.31</v>
      </c>
      <c r="BN428">
        <v>86.68</v>
      </c>
      <c r="BO428">
        <v>86.68</v>
      </c>
      <c r="BQ428" t="s">
        <v>112</v>
      </c>
      <c r="BR428" t="s">
        <v>82</v>
      </c>
      <c r="BS428" s="3">
        <v>44606</v>
      </c>
      <c r="BT428" s="4">
        <v>0.32291666666666669</v>
      </c>
      <c r="BU428" t="s">
        <v>1311</v>
      </c>
      <c r="BV428" t="s">
        <v>101</v>
      </c>
      <c r="BY428">
        <v>10993.14</v>
      </c>
      <c r="BZ428" t="s">
        <v>87</v>
      </c>
      <c r="CA428" t="s">
        <v>174</v>
      </c>
      <c r="CC428" t="s">
        <v>154</v>
      </c>
      <c r="CD428">
        <v>2196</v>
      </c>
      <c r="CE428" t="s">
        <v>152</v>
      </c>
      <c r="CF428" s="3">
        <v>44607</v>
      </c>
      <c r="CI428">
        <v>1</v>
      </c>
      <c r="CJ428">
        <v>1</v>
      </c>
      <c r="CK428">
        <v>21</v>
      </c>
      <c r="CL428" t="s">
        <v>84</v>
      </c>
    </row>
    <row r="429" spans="1:90" x14ac:dyDescent="0.25">
      <c r="A429" t="s">
        <v>72</v>
      </c>
      <c r="B429" t="s">
        <v>73</v>
      </c>
      <c r="C429" t="s">
        <v>74</v>
      </c>
      <c r="E429" t="str">
        <f>"GAB2008238"</f>
        <v>GAB2008238</v>
      </c>
      <c r="F429" s="3">
        <v>44603</v>
      </c>
      <c r="G429">
        <v>202208</v>
      </c>
      <c r="H429" t="s">
        <v>75</v>
      </c>
      <c r="I429" t="s">
        <v>76</v>
      </c>
      <c r="J429" t="s">
        <v>77</v>
      </c>
      <c r="K429" t="s">
        <v>78</v>
      </c>
      <c r="L429" t="s">
        <v>90</v>
      </c>
      <c r="M429" t="s">
        <v>91</v>
      </c>
      <c r="N429" t="s">
        <v>92</v>
      </c>
      <c r="O429" t="s">
        <v>80</v>
      </c>
      <c r="P429" t="str">
        <f>"CT071929                      "</f>
        <v xml:space="preserve">CT071929                      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0</v>
      </c>
      <c r="AD429">
        <v>0</v>
      </c>
      <c r="AE429">
        <v>0</v>
      </c>
      <c r="AF429">
        <v>0</v>
      </c>
      <c r="AG429">
        <v>0</v>
      </c>
      <c r="AH429">
        <v>0</v>
      </c>
      <c r="AI429">
        <v>0</v>
      </c>
      <c r="AJ429">
        <v>0</v>
      </c>
      <c r="AK429">
        <v>13.09</v>
      </c>
      <c r="AL429">
        <v>0</v>
      </c>
      <c r="AM429">
        <v>0</v>
      </c>
      <c r="AN429">
        <v>0</v>
      </c>
      <c r="AO429">
        <v>0</v>
      </c>
      <c r="AP429">
        <v>0</v>
      </c>
      <c r="AQ429">
        <v>0</v>
      </c>
      <c r="AR429">
        <v>0</v>
      </c>
      <c r="AS429">
        <v>0</v>
      </c>
      <c r="AT429">
        <v>0</v>
      </c>
      <c r="AU429">
        <v>0</v>
      </c>
      <c r="AV429">
        <v>0</v>
      </c>
      <c r="AW429">
        <v>0</v>
      </c>
      <c r="AX429">
        <v>0</v>
      </c>
      <c r="AY429">
        <v>0</v>
      </c>
      <c r="AZ429">
        <v>0</v>
      </c>
      <c r="BA429">
        <v>0</v>
      </c>
      <c r="BB429">
        <v>0</v>
      </c>
      <c r="BC429">
        <v>0</v>
      </c>
      <c r="BD429">
        <v>0</v>
      </c>
      <c r="BE429">
        <v>0</v>
      </c>
      <c r="BF429">
        <v>0</v>
      </c>
      <c r="BG429">
        <v>0</v>
      </c>
      <c r="BH429">
        <v>1</v>
      </c>
      <c r="BI429">
        <v>0.1</v>
      </c>
      <c r="BJ429">
        <v>2.7</v>
      </c>
      <c r="BK429">
        <v>3</v>
      </c>
      <c r="BL429">
        <v>47.1</v>
      </c>
      <c r="BM429">
        <v>7.07</v>
      </c>
      <c r="BN429">
        <v>54.17</v>
      </c>
      <c r="BO429">
        <v>54.17</v>
      </c>
      <c r="BQ429" t="s">
        <v>93</v>
      </c>
      <c r="BR429" t="s">
        <v>82</v>
      </c>
      <c r="BS429" s="3">
        <v>44606</v>
      </c>
      <c r="BT429" s="4">
        <v>0.46875</v>
      </c>
      <c r="BU429" t="s">
        <v>1312</v>
      </c>
      <c r="BV429" t="s">
        <v>101</v>
      </c>
      <c r="BY429">
        <v>13358.4</v>
      </c>
      <c r="BZ429" t="s">
        <v>87</v>
      </c>
      <c r="CA429" t="s">
        <v>1003</v>
      </c>
      <c r="CC429" t="s">
        <v>91</v>
      </c>
      <c r="CD429">
        <v>7600</v>
      </c>
      <c r="CE429" t="s">
        <v>152</v>
      </c>
      <c r="CF429" s="3">
        <v>44607</v>
      </c>
      <c r="CI429">
        <v>1</v>
      </c>
      <c r="CJ429">
        <v>1</v>
      </c>
      <c r="CK429">
        <v>22</v>
      </c>
      <c r="CL429" t="s">
        <v>84</v>
      </c>
    </row>
    <row r="430" spans="1:90" x14ac:dyDescent="0.25">
      <c r="A430" t="s">
        <v>72</v>
      </c>
      <c r="B430" t="s">
        <v>73</v>
      </c>
      <c r="C430" t="s">
        <v>74</v>
      </c>
      <c r="E430" t="str">
        <f>"009941631349"</f>
        <v>009941631349</v>
      </c>
      <c r="F430" s="3">
        <v>44606</v>
      </c>
      <c r="G430">
        <v>202208</v>
      </c>
      <c r="H430" t="s">
        <v>123</v>
      </c>
      <c r="I430" t="s">
        <v>124</v>
      </c>
      <c r="J430" t="s">
        <v>111</v>
      </c>
      <c r="K430" t="s">
        <v>78</v>
      </c>
      <c r="L430" t="s">
        <v>649</v>
      </c>
      <c r="M430" t="s">
        <v>650</v>
      </c>
      <c r="N430" t="s">
        <v>1313</v>
      </c>
      <c r="O430" t="s">
        <v>125</v>
      </c>
      <c r="P430" t="str">
        <f>"                              "</f>
        <v xml:space="preserve">                              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0</v>
      </c>
      <c r="AF430">
        <v>0</v>
      </c>
      <c r="AG430">
        <v>0</v>
      </c>
      <c r="AH430">
        <v>0</v>
      </c>
      <c r="AI430">
        <v>0</v>
      </c>
      <c r="AJ430">
        <v>0</v>
      </c>
      <c r="AK430">
        <v>32.42</v>
      </c>
      <c r="AL430">
        <v>0</v>
      </c>
      <c r="AM430">
        <v>0</v>
      </c>
      <c r="AN430">
        <v>0</v>
      </c>
      <c r="AO430">
        <v>0</v>
      </c>
      <c r="AP430">
        <v>0</v>
      </c>
      <c r="AQ430">
        <v>0</v>
      </c>
      <c r="AR430">
        <v>0</v>
      </c>
      <c r="AS430">
        <v>0</v>
      </c>
      <c r="AT430">
        <v>0</v>
      </c>
      <c r="AU430">
        <v>0</v>
      </c>
      <c r="AV430">
        <v>0</v>
      </c>
      <c r="AW430">
        <v>0</v>
      </c>
      <c r="AX430">
        <v>0</v>
      </c>
      <c r="AY430">
        <v>0</v>
      </c>
      <c r="AZ430">
        <v>0</v>
      </c>
      <c r="BA430">
        <v>0</v>
      </c>
      <c r="BB430">
        <v>0</v>
      </c>
      <c r="BC430">
        <v>0</v>
      </c>
      <c r="BD430">
        <v>0</v>
      </c>
      <c r="BE430">
        <v>0</v>
      </c>
      <c r="BF430">
        <v>0</v>
      </c>
      <c r="BG430">
        <v>0</v>
      </c>
      <c r="BH430">
        <v>1</v>
      </c>
      <c r="BI430">
        <v>10</v>
      </c>
      <c r="BJ430">
        <v>4.8</v>
      </c>
      <c r="BK430">
        <v>10</v>
      </c>
      <c r="BL430">
        <v>121.87</v>
      </c>
      <c r="BM430">
        <v>18.28</v>
      </c>
      <c r="BN430">
        <v>140.15</v>
      </c>
      <c r="BO430">
        <v>140.15</v>
      </c>
      <c r="BQ430" t="s">
        <v>1314</v>
      </c>
      <c r="BR430" t="s">
        <v>127</v>
      </c>
      <c r="BS430" s="3">
        <v>44607</v>
      </c>
      <c r="BT430" s="4">
        <v>0.36319444444444443</v>
      </c>
      <c r="BU430" t="s">
        <v>1315</v>
      </c>
      <c r="BV430" t="s">
        <v>101</v>
      </c>
      <c r="BY430">
        <v>24000</v>
      </c>
      <c r="CA430" t="s">
        <v>1316</v>
      </c>
      <c r="CC430" t="s">
        <v>650</v>
      </c>
      <c r="CD430">
        <v>5213</v>
      </c>
      <c r="CE430" t="s">
        <v>130</v>
      </c>
      <c r="CF430" s="3">
        <v>44607</v>
      </c>
      <c r="CI430">
        <v>1</v>
      </c>
      <c r="CJ430">
        <v>1</v>
      </c>
      <c r="CK430">
        <v>41</v>
      </c>
      <c r="CL430" t="s">
        <v>84</v>
      </c>
    </row>
    <row r="431" spans="1:90" x14ac:dyDescent="0.25">
      <c r="A431" t="s">
        <v>72</v>
      </c>
      <c r="B431" t="s">
        <v>73</v>
      </c>
      <c r="C431" t="s">
        <v>74</v>
      </c>
      <c r="E431" t="str">
        <f>"009941631350"</f>
        <v>009941631350</v>
      </c>
      <c r="F431" s="3">
        <v>44606</v>
      </c>
      <c r="G431">
        <v>202208</v>
      </c>
      <c r="H431" t="s">
        <v>123</v>
      </c>
      <c r="I431" t="s">
        <v>124</v>
      </c>
      <c r="J431" t="s">
        <v>111</v>
      </c>
      <c r="K431" t="s">
        <v>78</v>
      </c>
      <c r="L431" t="s">
        <v>109</v>
      </c>
      <c r="M431" t="s">
        <v>110</v>
      </c>
      <c r="N431" t="s">
        <v>111</v>
      </c>
      <c r="O431" t="s">
        <v>125</v>
      </c>
      <c r="P431" t="str">
        <f>"                              "</f>
        <v xml:space="preserve">                              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0</v>
      </c>
      <c r="AE431">
        <v>0</v>
      </c>
      <c r="AF431">
        <v>0</v>
      </c>
      <c r="AG431">
        <v>0</v>
      </c>
      <c r="AH431">
        <v>0</v>
      </c>
      <c r="AI431">
        <v>0</v>
      </c>
      <c r="AJ431">
        <v>0</v>
      </c>
      <c r="AK431">
        <v>32.42</v>
      </c>
      <c r="AL431">
        <v>0</v>
      </c>
      <c r="AM431">
        <v>0</v>
      </c>
      <c r="AN431">
        <v>0</v>
      </c>
      <c r="AO431">
        <v>0</v>
      </c>
      <c r="AP431">
        <v>0</v>
      </c>
      <c r="AQ431">
        <v>0</v>
      </c>
      <c r="AR431">
        <v>0</v>
      </c>
      <c r="AS431">
        <v>0</v>
      </c>
      <c r="AT431">
        <v>0</v>
      </c>
      <c r="AU431">
        <v>0</v>
      </c>
      <c r="AV431">
        <v>0</v>
      </c>
      <c r="AW431">
        <v>0</v>
      </c>
      <c r="AX431">
        <v>0</v>
      </c>
      <c r="AY431">
        <v>0</v>
      </c>
      <c r="AZ431">
        <v>0</v>
      </c>
      <c r="BA431">
        <v>0</v>
      </c>
      <c r="BB431">
        <v>0</v>
      </c>
      <c r="BC431">
        <v>0</v>
      </c>
      <c r="BD431">
        <v>0</v>
      </c>
      <c r="BE431">
        <v>0</v>
      </c>
      <c r="BF431">
        <v>0</v>
      </c>
      <c r="BG431">
        <v>0</v>
      </c>
      <c r="BH431">
        <v>1</v>
      </c>
      <c r="BI431">
        <v>10</v>
      </c>
      <c r="BJ431">
        <v>4.8</v>
      </c>
      <c r="BK431">
        <v>10</v>
      </c>
      <c r="BL431">
        <v>121.87</v>
      </c>
      <c r="BM431">
        <v>18.28</v>
      </c>
      <c r="BN431">
        <v>140.15</v>
      </c>
      <c r="BO431">
        <v>140.15</v>
      </c>
      <c r="BQ431" t="s">
        <v>1317</v>
      </c>
      <c r="BR431" t="s">
        <v>127</v>
      </c>
      <c r="BS431" s="3">
        <v>44608</v>
      </c>
      <c r="BT431" s="4">
        <v>0.44861111111111113</v>
      </c>
      <c r="BU431" t="s">
        <v>128</v>
      </c>
      <c r="BV431" t="s">
        <v>101</v>
      </c>
      <c r="BY431">
        <v>24000</v>
      </c>
      <c r="CA431" t="s">
        <v>129</v>
      </c>
      <c r="CC431" t="s">
        <v>110</v>
      </c>
      <c r="CD431">
        <v>157</v>
      </c>
      <c r="CE431" t="s">
        <v>130</v>
      </c>
      <c r="CF431" s="3">
        <v>44608</v>
      </c>
      <c r="CI431">
        <v>2</v>
      </c>
      <c r="CJ431">
        <v>2</v>
      </c>
      <c r="CK431">
        <v>41</v>
      </c>
      <c r="CL431" t="s">
        <v>84</v>
      </c>
    </row>
    <row r="432" spans="1:90" x14ac:dyDescent="0.25">
      <c r="A432" t="s">
        <v>72</v>
      </c>
      <c r="B432" t="s">
        <v>73</v>
      </c>
      <c r="C432" t="s">
        <v>74</v>
      </c>
      <c r="E432" t="str">
        <f>"GAB2008259"</f>
        <v>GAB2008259</v>
      </c>
      <c r="F432" s="3">
        <v>44606</v>
      </c>
      <c r="G432">
        <v>202208</v>
      </c>
      <c r="H432" t="s">
        <v>75</v>
      </c>
      <c r="I432" t="s">
        <v>76</v>
      </c>
      <c r="J432" t="s">
        <v>77</v>
      </c>
      <c r="K432" t="s">
        <v>78</v>
      </c>
      <c r="L432" t="s">
        <v>225</v>
      </c>
      <c r="M432" t="s">
        <v>226</v>
      </c>
      <c r="N432" t="s">
        <v>618</v>
      </c>
      <c r="O432" t="s">
        <v>80</v>
      </c>
      <c r="P432" t="str">
        <f>"CT071754                      "</f>
        <v xml:space="preserve">CT071754                      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0</v>
      </c>
      <c r="AD432">
        <v>0</v>
      </c>
      <c r="AE432">
        <v>0</v>
      </c>
      <c r="AF432">
        <v>0</v>
      </c>
      <c r="AG432">
        <v>0</v>
      </c>
      <c r="AH432">
        <v>0</v>
      </c>
      <c r="AI432">
        <v>0</v>
      </c>
      <c r="AJ432">
        <v>0</v>
      </c>
      <c r="AK432">
        <v>16.760000000000002</v>
      </c>
      <c r="AL432">
        <v>0</v>
      </c>
      <c r="AM432">
        <v>0</v>
      </c>
      <c r="AN432">
        <v>0</v>
      </c>
      <c r="AO432">
        <v>0</v>
      </c>
      <c r="AP432">
        <v>0</v>
      </c>
      <c r="AQ432">
        <v>0</v>
      </c>
      <c r="AR432">
        <v>0</v>
      </c>
      <c r="AS432">
        <v>0</v>
      </c>
      <c r="AT432">
        <v>0</v>
      </c>
      <c r="AU432">
        <v>0</v>
      </c>
      <c r="AV432">
        <v>0</v>
      </c>
      <c r="AW432">
        <v>0</v>
      </c>
      <c r="AX432">
        <v>0</v>
      </c>
      <c r="AY432">
        <v>0</v>
      </c>
      <c r="AZ432">
        <v>0</v>
      </c>
      <c r="BA432">
        <v>0</v>
      </c>
      <c r="BB432">
        <v>0</v>
      </c>
      <c r="BC432">
        <v>0</v>
      </c>
      <c r="BD432">
        <v>0</v>
      </c>
      <c r="BE432">
        <v>0</v>
      </c>
      <c r="BF432">
        <v>0</v>
      </c>
      <c r="BG432">
        <v>0</v>
      </c>
      <c r="BH432">
        <v>1</v>
      </c>
      <c r="BI432">
        <v>0.1</v>
      </c>
      <c r="BJ432">
        <v>2</v>
      </c>
      <c r="BK432">
        <v>2</v>
      </c>
      <c r="BL432">
        <v>60.3</v>
      </c>
      <c r="BM432">
        <v>9.0500000000000007</v>
      </c>
      <c r="BN432">
        <v>69.349999999999994</v>
      </c>
      <c r="BO432">
        <v>69.349999999999994</v>
      </c>
      <c r="BQ432" t="s">
        <v>619</v>
      </c>
      <c r="BR432" t="s">
        <v>82</v>
      </c>
      <c r="BS432" s="3">
        <v>44608</v>
      </c>
      <c r="BT432" s="4">
        <v>0.53333333333333333</v>
      </c>
      <c r="BU432" t="s">
        <v>1318</v>
      </c>
      <c r="BV432" t="s">
        <v>84</v>
      </c>
      <c r="BW432" t="s">
        <v>964</v>
      </c>
      <c r="BX432" t="s">
        <v>1266</v>
      </c>
      <c r="BY432">
        <v>9792.85</v>
      </c>
      <c r="BZ432" t="s">
        <v>87</v>
      </c>
      <c r="CA432" t="s">
        <v>1319</v>
      </c>
      <c r="CC432" t="s">
        <v>226</v>
      </c>
      <c r="CD432">
        <v>8301</v>
      </c>
      <c r="CE432" t="s">
        <v>89</v>
      </c>
      <c r="CF432" s="3">
        <v>44609</v>
      </c>
      <c r="CI432">
        <v>2</v>
      </c>
      <c r="CJ432">
        <v>2</v>
      </c>
      <c r="CK432">
        <v>21</v>
      </c>
      <c r="CL432" t="s">
        <v>84</v>
      </c>
    </row>
    <row r="433" spans="1:90" x14ac:dyDescent="0.25">
      <c r="A433" t="s">
        <v>72</v>
      </c>
      <c r="B433" t="s">
        <v>73</v>
      </c>
      <c r="C433" t="s">
        <v>74</v>
      </c>
      <c r="E433" t="str">
        <f>"GAB2008273"</f>
        <v>GAB2008273</v>
      </c>
      <c r="F433" s="3">
        <v>44606</v>
      </c>
      <c r="G433">
        <v>202208</v>
      </c>
      <c r="H433" t="s">
        <v>75</v>
      </c>
      <c r="I433" t="s">
        <v>76</v>
      </c>
      <c r="J433" t="s">
        <v>77</v>
      </c>
      <c r="K433" t="s">
        <v>78</v>
      </c>
      <c r="L433" t="s">
        <v>109</v>
      </c>
      <c r="M433" t="s">
        <v>110</v>
      </c>
      <c r="N433" t="s">
        <v>111</v>
      </c>
      <c r="O433" t="s">
        <v>80</v>
      </c>
      <c r="P433" t="str">
        <f>"ATT:MINETTE LABUSCHAGNE       "</f>
        <v xml:space="preserve">ATT:MINETTE LABUSCHAGNE       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>
        <v>0</v>
      </c>
      <c r="AE433">
        <v>0</v>
      </c>
      <c r="AF433">
        <v>0</v>
      </c>
      <c r="AG433">
        <v>0</v>
      </c>
      <c r="AH433">
        <v>0</v>
      </c>
      <c r="AI433">
        <v>0</v>
      </c>
      <c r="AJ433">
        <v>0</v>
      </c>
      <c r="AK433">
        <v>16.760000000000002</v>
      </c>
      <c r="AL433">
        <v>0</v>
      </c>
      <c r="AM433">
        <v>0</v>
      </c>
      <c r="AN433">
        <v>0</v>
      </c>
      <c r="AO433">
        <v>0</v>
      </c>
      <c r="AP433">
        <v>0</v>
      </c>
      <c r="AQ433">
        <v>0</v>
      </c>
      <c r="AR433">
        <v>0</v>
      </c>
      <c r="AS433">
        <v>0</v>
      </c>
      <c r="AT433">
        <v>0</v>
      </c>
      <c r="AU433">
        <v>0</v>
      </c>
      <c r="AV433">
        <v>0</v>
      </c>
      <c r="AW433">
        <v>0</v>
      </c>
      <c r="AX433">
        <v>0</v>
      </c>
      <c r="AY433">
        <v>0</v>
      </c>
      <c r="AZ433">
        <v>0</v>
      </c>
      <c r="BA433">
        <v>0</v>
      </c>
      <c r="BB433">
        <v>0</v>
      </c>
      <c r="BC433">
        <v>0</v>
      </c>
      <c r="BD433">
        <v>0</v>
      </c>
      <c r="BE433">
        <v>0</v>
      </c>
      <c r="BF433">
        <v>0</v>
      </c>
      <c r="BG433">
        <v>0</v>
      </c>
      <c r="BH433">
        <v>1</v>
      </c>
      <c r="BI433">
        <v>0.2</v>
      </c>
      <c r="BJ433">
        <v>0</v>
      </c>
      <c r="BK433">
        <v>0.5</v>
      </c>
      <c r="BL433">
        <v>60.3</v>
      </c>
      <c r="BM433">
        <v>9.0500000000000007</v>
      </c>
      <c r="BN433">
        <v>69.349999999999994</v>
      </c>
      <c r="BO433">
        <v>69.349999999999994</v>
      </c>
      <c r="BQ433" t="s">
        <v>640</v>
      </c>
      <c r="BR433" t="s">
        <v>82</v>
      </c>
      <c r="BS433" s="3">
        <v>44607</v>
      </c>
      <c r="BT433" s="4">
        <v>0.42708333333333331</v>
      </c>
      <c r="BU433" t="s">
        <v>474</v>
      </c>
      <c r="BV433" t="s">
        <v>101</v>
      </c>
      <c r="BY433">
        <v>73.53</v>
      </c>
      <c r="BZ433" t="s">
        <v>87</v>
      </c>
      <c r="CA433" t="s">
        <v>129</v>
      </c>
      <c r="CC433" t="s">
        <v>110</v>
      </c>
      <c r="CD433">
        <v>157</v>
      </c>
      <c r="CE433" t="s">
        <v>700</v>
      </c>
      <c r="CF433" s="3">
        <v>44607</v>
      </c>
      <c r="CI433">
        <v>1</v>
      </c>
      <c r="CJ433">
        <v>1</v>
      </c>
      <c r="CK433">
        <v>21</v>
      </c>
      <c r="CL433" t="s">
        <v>84</v>
      </c>
    </row>
    <row r="434" spans="1:90" x14ac:dyDescent="0.25">
      <c r="A434" t="s">
        <v>72</v>
      </c>
      <c r="B434" t="s">
        <v>73</v>
      </c>
      <c r="C434" t="s">
        <v>74</v>
      </c>
      <c r="E434" t="str">
        <f>"GAB2008275"</f>
        <v>GAB2008275</v>
      </c>
      <c r="F434" s="3">
        <v>44606</v>
      </c>
      <c r="G434">
        <v>202208</v>
      </c>
      <c r="H434" t="s">
        <v>75</v>
      </c>
      <c r="I434" t="s">
        <v>76</v>
      </c>
      <c r="J434" t="s">
        <v>77</v>
      </c>
      <c r="K434" t="s">
        <v>78</v>
      </c>
      <c r="L434" t="s">
        <v>541</v>
      </c>
      <c r="M434" t="s">
        <v>542</v>
      </c>
      <c r="N434" t="s">
        <v>1320</v>
      </c>
      <c r="O434" t="s">
        <v>80</v>
      </c>
      <c r="P434" t="str">
        <f>"CT071982                      "</f>
        <v xml:space="preserve">CT071982                      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0</v>
      </c>
      <c r="AF434">
        <v>0</v>
      </c>
      <c r="AG434">
        <v>0</v>
      </c>
      <c r="AH434">
        <v>0</v>
      </c>
      <c r="AI434">
        <v>0</v>
      </c>
      <c r="AJ434">
        <v>0</v>
      </c>
      <c r="AK434">
        <v>33.520000000000003</v>
      </c>
      <c r="AL434">
        <v>0</v>
      </c>
      <c r="AM434">
        <v>0</v>
      </c>
      <c r="AN434">
        <v>0</v>
      </c>
      <c r="AO434">
        <v>0</v>
      </c>
      <c r="AP434">
        <v>0</v>
      </c>
      <c r="AQ434">
        <v>0</v>
      </c>
      <c r="AR434">
        <v>0</v>
      </c>
      <c r="AS434">
        <v>0</v>
      </c>
      <c r="AT434">
        <v>0</v>
      </c>
      <c r="AU434">
        <v>0</v>
      </c>
      <c r="AV434">
        <v>0</v>
      </c>
      <c r="AW434">
        <v>0</v>
      </c>
      <c r="AX434">
        <v>0</v>
      </c>
      <c r="AY434">
        <v>0</v>
      </c>
      <c r="AZ434">
        <v>0</v>
      </c>
      <c r="BA434">
        <v>0</v>
      </c>
      <c r="BB434">
        <v>0</v>
      </c>
      <c r="BC434">
        <v>0</v>
      </c>
      <c r="BD434">
        <v>0</v>
      </c>
      <c r="BE434">
        <v>0</v>
      </c>
      <c r="BF434">
        <v>0</v>
      </c>
      <c r="BG434">
        <v>0</v>
      </c>
      <c r="BH434">
        <v>1</v>
      </c>
      <c r="BI434">
        <v>0.1</v>
      </c>
      <c r="BJ434">
        <v>3.7</v>
      </c>
      <c r="BK434">
        <v>4</v>
      </c>
      <c r="BL434">
        <v>120.58</v>
      </c>
      <c r="BM434">
        <v>18.09</v>
      </c>
      <c r="BN434">
        <v>138.66999999999999</v>
      </c>
      <c r="BO434">
        <v>138.66999999999999</v>
      </c>
      <c r="BQ434" t="s">
        <v>1321</v>
      </c>
      <c r="BR434" t="s">
        <v>82</v>
      </c>
      <c r="BS434" s="3">
        <v>44607</v>
      </c>
      <c r="BT434" s="4">
        <v>0.31597222222222221</v>
      </c>
      <c r="BU434" t="s">
        <v>1100</v>
      </c>
      <c r="BV434" t="s">
        <v>101</v>
      </c>
      <c r="BY434">
        <v>18332.16</v>
      </c>
      <c r="BZ434" t="s">
        <v>87</v>
      </c>
      <c r="CA434" t="s">
        <v>1322</v>
      </c>
      <c r="CC434" t="s">
        <v>542</v>
      </c>
      <c r="CD434">
        <v>1619</v>
      </c>
      <c r="CE434" t="s">
        <v>89</v>
      </c>
      <c r="CF434" s="3">
        <v>44607</v>
      </c>
      <c r="CI434">
        <v>1</v>
      </c>
      <c r="CJ434">
        <v>1</v>
      </c>
      <c r="CK434">
        <v>21</v>
      </c>
      <c r="CL434" t="s">
        <v>84</v>
      </c>
    </row>
    <row r="435" spans="1:90" x14ac:dyDescent="0.25">
      <c r="A435" t="s">
        <v>72</v>
      </c>
      <c r="B435" t="s">
        <v>73</v>
      </c>
      <c r="C435" t="s">
        <v>74</v>
      </c>
      <c r="E435" t="str">
        <f>"GAB2008276"</f>
        <v>GAB2008276</v>
      </c>
      <c r="F435" s="3">
        <v>44606</v>
      </c>
      <c r="G435">
        <v>202208</v>
      </c>
      <c r="H435" t="s">
        <v>75</v>
      </c>
      <c r="I435" t="s">
        <v>76</v>
      </c>
      <c r="J435" t="s">
        <v>77</v>
      </c>
      <c r="K435" t="s">
        <v>78</v>
      </c>
      <c r="L435" t="s">
        <v>131</v>
      </c>
      <c r="M435" t="s">
        <v>132</v>
      </c>
      <c r="N435" t="s">
        <v>1323</v>
      </c>
      <c r="O435" t="s">
        <v>80</v>
      </c>
      <c r="P435" t="str">
        <f>"ORD007021                     "</f>
        <v xml:space="preserve">ORD007021                     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0</v>
      </c>
      <c r="AE435">
        <v>0</v>
      </c>
      <c r="AF435">
        <v>0</v>
      </c>
      <c r="AG435">
        <v>0</v>
      </c>
      <c r="AH435">
        <v>0</v>
      </c>
      <c r="AI435">
        <v>0</v>
      </c>
      <c r="AJ435">
        <v>0</v>
      </c>
      <c r="AK435">
        <v>16.760000000000002</v>
      </c>
      <c r="AL435">
        <v>0</v>
      </c>
      <c r="AM435">
        <v>0</v>
      </c>
      <c r="AN435">
        <v>0</v>
      </c>
      <c r="AO435">
        <v>0</v>
      </c>
      <c r="AP435">
        <v>0</v>
      </c>
      <c r="AQ435">
        <v>0</v>
      </c>
      <c r="AR435">
        <v>0</v>
      </c>
      <c r="AS435">
        <v>0</v>
      </c>
      <c r="AT435">
        <v>0</v>
      </c>
      <c r="AU435">
        <v>0</v>
      </c>
      <c r="AV435">
        <v>0</v>
      </c>
      <c r="AW435">
        <v>0</v>
      </c>
      <c r="AX435">
        <v>0</v>
      </c>
      <c r="AY435">
        <v>0</v>
      </c>
      <c r="AZ435">
        <v>0</v>
      </c>
      <c r="BA435">
        <v>0</v>
      </c>
      <c r="BB435">
        <v>0</v>
      </c>
      <c r="BC435">
        <v>0</v>
      </c>
      <c r="BD435">
        <v>0</v>
      </c>
      <c r="BE435">
        <v>0</v>
      </c>
      <c r="BF435">
        <v>0</v>
      </c>
      <c r="BG435">
        <v>0</v>
      </c>
      <c r="BH435">
        <v>1</v>
      </c>
      <c r="BI435">
        <v>0.1</v>
      </c>
      <c r="BJ435">
        <v>1.7</v>
      </c>
      <c r="BK435">
        <v>2</v>
      </c>
      <c r="BL435">
        <v>60.3</v>
      </c>
      <c r="BM435">
        <v>9.0500000000000007</v>
      </c>
      <c r="BN435">
        <v>69.349999999999994</v>
      </c>
      <c r="BO435">
        <v>69.349999999999994</v>
      </c>
      <c r="BQ435" t="s">
        <v>1324</v>
      </c>
      <c r="BR435" t="s">
        <v>82</v>
      </c>
      <c r="BS435" s="3">
        <v>44608</v>
      </c>
      <c r="BT435" s="4">
        <v>0.39583333333333331</v>
      </c>
      <c r="BU435" t="s">
        <v>1325</v>
      </c>
      <c r="BV435" t="s">
        <v>84</v>
      </c>
      <c r="BW435" t="s">
        <v>85</v>
      </c>
      <c r="BX435" t="s">
        <v>240</v>
      </c>
      <c r="BY435">
        <v>8455.9500000000007</v>
      </c>
      <c r="BZ435" t="s">
        <v>87</v>
      </c>
      <c r="CA435" t="s">
        <v>1326</v>
      </c>
      <c r="CC435" t="s">
        <v>132</v>
      </c>
      <c r="CD435">
        <v>4092</v>
      </c>
      <c r="CE435" t="s">
        <v>152</v>
      </c>
      <c r="CF435" s="3">
        <v>44609</v>
      </c>
      <c r="CI435">
        <v>1</v>
      </c>
      <c r="CJ435">
        <v>2</v>
      </c>
      <c r="CK435">
        <v>21</v>
      </c>
      <c r="CL435" t="s">
        <v>84</v>
      </c>
    </row>
    <row r="436" spans="1:90" x14ac:dyDescent="0.25">
      <c r="A436" t="s">
        <v>72</v>
      </c>
      <c r="B436" t="s">
        <v>73</v>
      </c>
      <c r="C436" t="s">
        <v>74</v>
      </c>
      <c r="E436" t="str">
        <f>"GAB2008269"</f>
        <v>GAB2008269</v>
      </c>
      <c r="F436" s="3">
        <v>44606</v>
      </c>
      <c r="G436">
        <v>202208</v>
      </c>
      <c r="H436" t="s">
        <v>75</v>
      </c>
      <c r="I436" t="s">
        <v>76</v>
      </c>
      <c r="J436" t="s">
        <v>77</v>
      </c>
      <c r="K436" t="s">
        <v>78</v>
      </c>
      <c r="L436" t="s">
        <v>1327</v>
      </c>
      <c r="M436" t="s">
        <v>1328</v>
      </c>
      <c r="N436" t="s">
        <v>1329</v>
      </c>
      <c r="O436" t="s">
        <v>125</v>
      </c>
      <c r="P436" t="str">
        <f>"007017                        "</f>
        <v xml:space="preserve">007017                        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0</v>
      </c>
      <c r="AD436">
        <v>0</v>
      </c>
      <c r="AE436">
        <v>0</v>
      </c>
      <c r="AF436">
        <v>0</v>
      </c>
      <c r="AG436">
        <v>0</v>
      </c>
      <c r="AH436">
        <v>0</v>
      </c>
      <c r="AI436">
        <v>0</v>
      </c>
      <c r="AJ436">
        <v>0</v>
      </c>
      <c r="AK436">
        <v>35.799999999999997</v>
      </c>
      <c r="AL436">
        <v>0</v>
      </c>
      <c r="AM436">
        <v>0</v>
      </c>
      <c r="AN436">
        <v>0</v>
      </c>
      <c r="AO436">
        <v>0</v>
      </c>
      <c r="AP436">
        <v>0</v>
      </c>
      <c r="AQ436">
        <v>0</v>
      </c>
      <c r="AR436">
        <v>0</v>
      </c>
      <c r="AS436">
        <v>0</v>
      </c>
      <c r="AT436">
        <v>0</v>
      </c>
      <c r="AU436">
        <v>0</v>
      </c>
      <c r="AV436">
        <v>0</v>
      </c>
      <c r="AW436">
        <v>0</v>
      </c>
      <c r="AX436">
        <v>0</v>
      </c>
      <c r="AY436">
        <v>0</v>
      </c>
      <c r="AZ436">
        <v>0</v>
      </c>
      <c r="BA436">
        <v>0</v>
      </c>
      <c r="BB436">
        <v>0</v>
      </c>
      <c r="BC436">
        <v>0</v>
      </c>
      <c r="BD436">
        <v>0</v>
      </c>
      <c r="BE436">
        <v>0</v>
      </c>
      <c r="BF436">
        <v>0</v>
      </c>
      <c r="BG436">
        <v>0</v>
      </c>
      <c r="BH436">
        <v>1</v>
      </c>
      <c r="BI436">
        <v>0.1</v>
      </c>
      <c r="BJ436">
        <v>1.7</v>
      </c>
      <c r="BK436">
        <v>2</v>
      </c>
      <c r="BL436">
        <v>134.04</v>
      </c>
      <c r="BM436">
        <v>20.11</v>
      </c>
      <c r="BN436">
        <v>154.15</v>
      </c>
      <c r="BO436">
        <v>154.15</v>
      </c>
      <c r="BQ436" t="s">
        <v>1330</v>
      </c>
      <c r="BR436" t="s">
        <v>82</v>
      </c>
      <c r="BS436" s="3">
        <v>44607</v>
      </c>
      <c r="BT436" s="4">
        <v>0.54027777777777775</v>
      </c>
      <c r="BU436" t="s">
        <v>1331</v>
      </c>
      <c r="BV436" t="s">
        <v>101</v>
      </c>
      <c r="BY436">
        <v>8497.2800000000007</v>
      </c>
      <c r="CA436" t="s">
        <v>1332</v>
      </c>
      <c r="CC436" t="s">
        <v>1328</v>
      </c>
      <c r="CD436">
        <v>7340</v>
      </c>
      <c r="CE436" t="s">
        <v>130</v>
      </c>
      <c r="CF436" s="3">
        <v>44608</v>
      </c>
      <c r="CI436">
        <v>2</v>
      </c>
      <c r="CJ436">
        <v>1</v>
      </c>
      <c r="CK436">
        <v>44</v>
      </c>
      <c r="CL436" t="s">
        <v>84</v>
      </c>
    </row>
    <row r="437" spans="1:90" x14ac:dyDescent="0.25">
      <c r="A437" t="s">
        <v>72</v>
      </c>
      <c r="B437" t="s">
        <v>73</v>
      </c>
      <c r="C437" t="s">
        <v>74</v>
      </c>
      <c r="E437" t="str">
        <f>"GAB2008265"</f>
        <v>GAB2008265</v>
      </c>
      <c r="F437" s="3">
        <v>44606</v>
      </c>
      <c r="G437">
        <v>202208</v>
      </c>
      <c r="H437" t="s">
        <v>75</v>
      </c>
      <c r="I437" t="s">
        <v>76</v>
      </c>
      <c r="J437" t="s">
        <v>77</v>
      </c>
      <c r="K437" t="s">
        <v>78</v>
      </c>
      <c r="L437" t="s">
        <v>225</v>
      </c>
      <c r="M437" t="s">
        <v>226</v>
      </c>
      <c r="N437" t="s">
        <v>1102</v>
      </c>
      <c r="O437" t="s">
        <v>125</v>
      </c>
      <c r="P437" t="str">
        <f>"CT071968                      "</f>
        <v xml:space="preserve">CT071968                      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>
        <v>0</v>
      </c>
      <c r="AE437">
        <v>0</v>
      </c>
      <c r="AF437">
        <v>0</v>
      </c>
      <c r="AG437">
        <v>0</v>
      </c>
      <c r="AH437">
        <v>0</v>
      </c>
      <c r="AI437">
        <v>0</v>
      </c>
      <c r="AJ437">
        <v>0</v>
      </c>
      <c r="AK437">
        <v>47.11</v>
      </c>
      <c r="AL437">
        <v>0</v>
      </c>
      <c r="AM437">
        <v>0</v>
      </c>
      <c r="AN437">
        <v>0</v>
      </c>
      <c r="AO437">
        <v>0</v>
      </c>
      <c r="AP437">
        <v>0</v>
      </c>
      <c r="AQ437">
        <v>0</v>
      </c>
      <c r="AR437">
        <v>0</v>
      </c>
      <c r="AS437">
        <v>0</v>
      </c>
      <c r="AT437">
        <v>0</v>
      </c>
      <c r="AU437">
        <v>0</v>
      </c>
      <c r="AV437">
        <v>0</v>
      </c>
      <c r="AW437">
        <v>0</v>
      </c>
      <c r="AX437">
        <v>0</v>
      </c>
      <c r="AY437">
        <v>0</v>
      </c>
      <c r="AZ437">
        <v>0</v>
      </c>
      <c r="BA437">
        <v>0</v>
      </c>
      <c r="BB437">
        <v>0</v>
      </c>
      <c r="BC437">
        <v>0</v>
      </c>
      <c r="BD437">
        <v>0</v>
      </c>
      <c r="BE437">
        <v>0</v>
      </c>
      <c r="BF437">
        <v>0</v>
      </c>
      <c r="BG437">
        <v>0</v>
      </c>
      <c r="BH437">
        <v>2</v>
      </c>
      <c r="BI437">
        <v>9.4</v>
      </c>
      <c r="BJ437">
        <v>25.6</v>
      </c>
      <c r="BK437">
        <v>26</v>
      </c>
      <c r="BL437">
        <v>174.73</v>
      </c>
      <c r="BM437">
        <v>26.21</v>
      </c>
      <c r="BN437">
        <v>200.94</v>
      </c>
      <c r="BO437">
        <v>200.94</v>
      </c>
      <c r="BQ437" t="s">
        <v>1103</v>
      </c>
      <c r="BR437" t="s">
        <v>82</v>
      </c>
      <c r="BS437" s="3">
        <v>44609</v>
      </c>
      <c r="BT437" s="4">
        <v>0.59652777777777777</v>
      </c>
      <c r="BU437" t="s">
        <v>1333</v>
      </c>
      <c r="BV437" t="s">
        <v>101</v>
      </c>
      <c r="BY437">
        <v>127794</v>
      </c>
      <c r="CA437" t="s">
        <v>1105</v>
      </c>
      <c r="CC437" t="s">
        <v>226</v>
      </c>
      <c r="CD437">
        <v>8300</v>
      </c>
      <c r="CE437" t="s">
        <v>130</v>
      </c>
      <c r="CF437" s="3">
        <v>44610</v>
      </c>
      <c r="CI437">
        <v>3</v>
      </c>
      <c r="CJ437">
        <v>3</v>
      </c>
      <c r="CK437">
        <v>41</v>
      </c>
      <c r="CL437" t="s">
        <v>84</v>
      </c>
    </row>
    <row r="438" spans="1:90" x14ac:dyDescent="0.25">
      <c r="A438" t="s">
        <v>72</v>
      </c>
      <c r="B438" t="s">
        <v>73</v>
      </c>
      <c r="C438" t="s">
        <v>74</v>
      </c>
      <c r="E438" t="str">
        <f>"GAB2008264"</f>
        <v>GAB2008264</v>
      </c>
      <c r="F438" s="3">
        <v>44606</v>
      </c>
      <c r="G438">
        <v>202208</v>
      </c>
      <c r="H438" t="s">
        <v>75</v>
      </c>
      <c r="I438" t="s">
        <v>76</v>
      </c>
      <c r="J438" t="s">
        <v>77</v>
      </c>
      <c r="K438" t="s">
        <v>78</v>
      </c>
      <c r="L438" t="s">
        <v>761</v>
      </c>
      <c r="M438" t="s">
        <v>762</v>
      </c>
      <c r="N438" t="s">
        <v>1237</v>
      </c>
      <c r="O438" t="s">
        <v>125</v>
      </c>
      <c r="P438" t="str">
        <f>"CT071962                      "</f>
        <v xml:space="preserve">CT071962                      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0</v>
      </c>
      <c r="AF438">
        <v>0</v>
      </c>
      <c r="AG438">
        <v>0</v>
      </c>
      <c r="AH438">
        <v>0</v>
      </c>
      <c r="AI438">
        <v>0</v>
      </c>
      <c r="AJ438">
        <v>0</v>
      </c>
      <c r="AK438">
        <v>49.78</v>
      </c>
      <c r="AL438">
        <v>0</v>
      </c>
      <c r="AM438">
        <v>0</v>
      </c>
      <c r="AN438">
        <v>0</v>
      </c>
      <c r="AO438">
        <v>0</v>
      </c>
      <c r="AP438">
        <v>0</v>
      </c>
      <c r="AQ438">
        <v>0</v>
      </c>
      <c r="AR438">
        <v>0</v>
      </c>
      <c r="AS438">
        <v>0</v>
      </c>
      <c r="AT438">
        <v>0</v>
      </c>
      <c r="AU438">
        <v>0</v>
      </c>
      <c r="AV438">
        <v>0</v>
      </c>
      <c r="AW438">
        <v>0</v>
      </c>
      <c r="AX438">
        <v>0</v>
      </c>
      <c r="AY438">
        <v>0</v>
      </c>
      <c r="AZ438">
        <v>0</v>
      </c>
      <c r="BA438">
        <v>0</v>
      </c>
      <c r="BB438">
        <v>0</v>
      </c>
      <c r="BC438">
        <v>0</v>
      </c>
      <c r="BD438">
        <v>0</v>
      </c>
      <c r="BE438">
        <v>0</v>
      </c>
      <c r="BF438">
        <v>0</v>
      </c>
      <c r="BG438">
        <v>0</v>
      </c>
      <c r="BH438">
        <v>2</v>
      </c>
      <c r="BI438">
        <v>8.1999999999999993</v>
      </c>
      <c r="BJ438">
        <v>27.1</v>
      </c>
      <c r="BK438">
        <v>28</v>
      </c>
      <c r="BL438">
        <v>184.34</v>
      </c>
      <c r="BM438">
        <v>27.65</v>
      </c>
      <c r="BN438">
        <v>211.99</v>
      </c>
      <c r="BO438">
        <v>211.99</v>
      </c>
      <c r="BQ438" t="s">
        <v>1334</v>
      </c>
      <c r="BR438" t="s">
        <v>82</v>
      </c>
      <c r="BS438" s="3">
        <v>44609</v>
      </c>
      <c r="BT438" s="4">
        <v>0.45902777777777781</v>
      </c>
      <c r="BU438" t="s">
        <v>1335</v>
      </c>
      <c r="BV438" t="s">
        <v>101</v>
      </c>
      <c r="BY438">
        <v>135366.5</v>
      </c>
      <c r="CA438" t="s">
        <v>1158</v>
      </c>
      <c r="CC438" t="s">
        <v>762</v>
      </c>
      <c r="CD438">
        <v>9301</v>
      </c>
      <c r="CE438" t="s">
        <v>130</v>
      </c>
      <c r="CF438" s="3">
        <v>44610</v>
      </c>
      <c r="CI438">
        <v>3</v>
      </c>
      <c r="CJ438">
        <v>3</v>
      </c>
      <c r="CK438">
        <v>41</v>
      </c>
      <c r="CL438" t="s">
        <v>84</v>
      </c>
    </row>
    <row r="439" spans="1:90" x14ac:dyDescent="0.25">
      <c r="A439" t="s">
        <v>72</v>
      </c>
      <c r="B439" t="s">
        <v>73</v>
      </c>
      <c r="C439" t="s">
        <v>74</v>
      </c>
      <c r="E439" t="str">
        <f>"GAB2008263"</f>
        <v>GAB2008263</v>
      </c>
      <c r="F439" s="3">
        <v>44606</v>
      </c>
      <c r="G439">
        <v>202208</v>
      </c>
      <c r="H439" t="s">
        <v>75</v>
      </c>
      <c r="I439" t="s">
        <v>76</v>
      </c>
      <c r="J439" t="s">
        <v>77</v>
      </c>
      <c r="K439" t="s">
        <v>78</v>
      </c>
      <c r="L439" t="s">
        <v>116</v>
      </c>
      <c r="M439" t="s">
        <v>117</v>
      </c>
      <c r="N439" t="s">
        <v>1336</v>
      </c>
      <c r="O439" t="s">
        <v>125</v>
      </c>
      <c r="P439" t="str">
        <f>"CT071593                      "</f>
        <v xml:space="preserve">CT071593                      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0</v>
      </c>
      <c r="AE439">
        <v>0</v>
      </c>
      <c r="AF439">
        <v>0</v>
      </c>
      <c r="AG439">
        <v>0</v>
      </c>
      <c r="AH439">
        <v>0</v>
      </c>
      <c r="AI439">
        <v>0</v>
      </c>
      <c r="AJ439">
        <v>0</v>
      </c>
      <c r="AK439">
        <v>117.92</v>
      </c>
      <c r="AL439">
        <v>0</v>
      </c>
      <c r="AM439">
        <v>0</v>
      </c>
      <c r="AN439">
        <v>0</v>
      </c>
      <c r="AO439">
        <v>0</v>
      </c>
      <c r="AP439">
        <v>0</v>
      </c>
      <c r="AQ439">
        <v>0</v>
      </c>
      <c r="AR439">
        <v>0</v>
      </c>
      <c r="AS439">
        <v>0</v>
      </c>
      <c r="AT439">
        <v>0</v>
      </c>
      <c r="AU439">
        <v>0</v>
      </c>
      <c r="AV439">
        <v>0</v>
      </c>
      <c r="AW439">
        <v>0</v>
      </c>
      <c r="AX439">
        <v>0</v>
      </c>
      <c r="AY439">
        <v>0</v>
      </c>
      <c r="AZ439">
        <v>0</v>
      </c>
      <c r="BA439">
        <v>0</v>
      </c>
      <c r="BB439">
        <v>0</v>
      </c>
      <c r="BC439">
        <v>0</v>
      </c>
      <c r="BD439">
        <v>0</v>
      </c>
      <c r="BE439">
        <v>0</v>
      </c>
      <c r="BF439">
        <v>0</v>
      </c>
      <c r="BG439">
        <v>0</v>
      </c>
      <c r="BH439">
        <v>2</v>
      </c>
      <c r="BI439">
        <v>30.7</v>
      </c>
      <c r="BJ439">
        <v>78.5</v>
      </c>
      <c r="BK439">
        <v>79</v>
      </c>
      <c r="BL439">
        <v>429.45</v>
      </c>
      <c r="BM439">
        <v>64.42</v>
      </c>
      <c r="BN439">
        <v>493.87</v>
      </c>
      <c r="BO439">
        <v>493.87</v>
      </c>
      <c r="BQ439" t="s">
        <v>1337</v>
      </c>
      <c r="BR439" t="s">
        <v>82</v>
      </c>
      <c r="BS439" s="3">
        <v>44608</v>
      </c>
      <c r="BT439" s="4">
        <v>0.36180555555555555</v>
      </c>
      <c r="BU439" t="s">
        <v>1338</v>
      </c>
      <c r="BV439" t="s">
        <v>101</v>
      </c>
      <c r="BY439">
        <v>392494.85</v>
      </c>
      <c r="CA439" t="s">
        <v>1339</v>
      </c>
      <c r="CC439" t="s">
        <v>117</v>
      </c>
      <c r="CD439">
        <v>1459</v>
      </c>
      <c r="CE439" t="s">
        <v>130</v>
      </c>
      <c r="CF439" s="3">
        <v>44609</v>
      </c>
      <c r="CI439">
        <v>2</v>
      </c>
      <c r="CJ439">
        <v>2</v>
      </c>
      <c r="CK439">
        <v>41</v>
      </c>
      <c r="CL439" t="s">
        <v>84</v>
      </c>
    </row>
    <row r="440" spans="1:90" x14ac:dyDescent="0.25">
      <c r="A440" t="s">
        <v>72</v>
      </c>
      <c r="B440" t="s">
        <v>73</v>
      </c>
      <c r="C440" t="s">
        <v>74</v>
      </c>
      <c r="E440" t="str">
        <f>"GAB2008258"</f>
        <v>GAB2008258</v>
      </c>
      <c r="F440" s="3">
        <v>44606</v>
      </c>
      <c r="G440">
        <v>202208</v>
      </c>
      <c r="H440" t="s">
        <v>75</v>
      </c>
      <c r="I440" t="s">
        <v>76</v>
      </c>
      <c r="J440" t="s">
        <v>77</v>
      </c>
      <c r="K440" t="s">
        <v>78</v>
      </c>
      <c r="L440" t="s">
        <v>123</v>
      </c>
      <c r="M440" t="s">
        <v>124</v>
      </c>
      <c r="N440" t="s">
        <v>696</v>
      </c>
      <c r="O440" t="s">
        <v>125</v>
      </c>
      <c r="P440" t="str">
        <f>"CT071850                      "</f>
        <v xml:space="preserve">CT071850                      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0</v>
      </c>
      <c r="AB440">
        <v>0</v>
      </c>
      <c r="AC440">
        <v>0</v>
      </c>
      <c r="AD440">
        <v>0</v>
      </c>
      <c r="AE440">
        <v>0</v>
      </c>
      <c r="AF440">
        <v>0</v>
      </c>
      <c r="AG440">
        <v>0</v>
      </c>
      <c r="AH440">
        <v>0</v>
      </c>
      <c r="AI440">
        <v>0</v>
      </c>
      <c r="AJ440">
        <v>0</v>
      </c>
      <c r="AK440">
        <v>32.42</v>
      </c>
      <c r="AL440">
        <v>0</v>
      </c>
      <c r="AM440">
        <v>0</v>
      </c>
      <c r="AN440">
        <v>0</v>
      </c>
      <c r="AO440">
        <v>0</v>
      </c>
      <c r="AP440">
        <v>0</v>
      </c>
      <c r="AQ440">
        <v>0</v>
      </c>
      <c r="AR440">
        <v>0</v>
      </c>
      <c r="AS440">
        <v>0</v>
      </c>
      <c r="AT440">
        <v>0</v>
      </c>
      <c r="AU440">
        <v>0</v>
      </c>
      <c r="AV440">
        <v>0</v>
      </c>
      <c r="AW440">
        <v>0</v>
      </c>
      <c r="AX440">
        <v>0</v>
      </c>
      <c r="AY440">
        <v>0</v>
      </c>
      <c r="AZ440">
        <v>0</v>
      </c>
      <c r="BA440">
        <v>0</v>
      </c>
      <c r="BB440">
        <v>0</v>
      </c>
      <c r="BC440">
        <v>0</v>
      </c>
      <c r="BD440">
        <v>0</v>
      </c>
      <c r="BE440">
        <v>0</v>
      </c>
      <c r="BF440">
        <v>0</v>
      </c>
      <c r="BG440">
        <v>0</v>
      </c>
      <c r="BH440">
        <v>1</v>
      </c>
      <c r="BI440">
        <v>2</v>
      </c>
      <c r="BJ440">
        <v>2.7</v>
      </c>
      <c r="BK440">
        <v>3</v>
      </c>
      <c r="BL440">
        <v>121.87</v>
      </c>
      <c r="BM440">
        <v>18.28</v>
      </c>
      <c r="BN440">
        <v>140.15</v>
      </c>
      <c r="BO440">
        <v>140.15</v>
      </c>
      <c r="BQ440" t="s">
        <v>1340</v>
      </c>
      <c r="BR440" t="s">
        <v>82</v>
      </c>
      <c r="BS440" s="3">
        <v>44608</v>
      </c>
      <c r="BT440" s="4">
        <v>0.4152777777777778</v>
      </c>
      <c r="BU440" t="s">
        <v>743</v>
      </c>
      <c r="BV440" t="s">
        <v>101</v>
      </c>
      <c r="BY440">
        <v>13392</v>
      </c>
      <c r="CA440" t="s">
        <v>744</v>
      </c>
      <c r="CC440" t="s">
        <v>124</v>
      </c>
      <c r="CD440">
        <v>6001</v>
      </c>
      <c r="CE440" t="s">
        <v>130</v>
      </c>
      <c r="CF440" s="3">
        <v>44608</v>
      </c>
      <c r="CI440">
        <v>2</v>
      </c>
      <c r="CJ440">
        <v>2</v>
      </c>
      <c r="CK440">
        <v>41</v>
      </c>
      <c r="CL440" t="s">
        <v>84</v>
      </c>
    </row>
    <row r="441" spans="1:90" x14ac:dyDescent="0.25">
      <c r="A441" t="s">
        <v>72</v>
      </c>
      <c r="B441" t="s">
        <v>73</v>
      </c>
      <c r="C441" t="s">
        <v>74</v>
      </c>
      <c r="E441" t="str">
        <f>"GAB2008274"</f>
        <v>GAB2008274</v>
      </c>
      <c r="F441" s="3">
        <v>44606</v>
      </c>
      <c r="G441">
        <v>202208</v>
      </c>
      <c r="H441" t="s">
        <v>75</v>
      </c>
      <c r="I441" t="s">
        <v>76</v>
      </c>
      <c r="J441" t="s">
        <v>77</v>
      </c>
      <c r="K441" t="s">
        <v>78</v>
      </c>
      <c r="L441" t="s">
        <v>282</v>
      </c>
      <c r="M441" t="s">
        <v>283</v>
      </c>
      <c r="N441" t="s">
        <v>1341</v>
      </c>
      <c r="O441" t="s">
        <v>125</v>
      </c>
      <c r="P441" t="str">
        <f>"CT071979                      "</f>
        <v xml:space="preserve">CT071979                      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0</v>
      </c>
      <c r="AA441">
        <v>0</v>
      </c>
      <c r="AB441">
        <v>0</v>
      </c>
      <c r="AC441">
        <v>0</v>
      </c>
      <c r="AD441">
        <v>0</v>
      </c>
      <c r="AE441">
        <v>0</v>
      </c>
      <c r="AF441">
        <v>0</v>
      </c>
      <c r="AG441">
        <v>0</v>
      </c>
      <c r="AH441">
        <v>0</v>
      </c>
      <c r="AI441">
        <v>0</v>
      </c>
      <c r="AJ441">
        <v>0</v>
      </c>
      <c r="AK441">
        <v>69.09</v>
      </c>
      <c r="AL441">
        <v>0</v>
      </c>
      <c r="AM441">
        <v>0</v>
      </c>
      <c r="AN441">
        <v>0</v>
      </c>
      <c r="AO441">
        <v>0</v>
      </c>
      <c r="AP441">
        <v>0</v>
      </c>
      <c r="AQ441">
        <v>0</v>
      </c>
      <c r="AR441">
        <v>0</v>
      </c>
      <c r="AS441">
        <v>0</v>
      </c>
      <c r="AT441">
        <v>0</v>
      </c>
      <c r="AU441">
        <v>0</v>
      </c>
      <c r="AV441">
        <v>0</v>
      </c>
      <c r="AW441">
        <v>0</v>
      </c>
      <c r="AX441">
        <v>0</v>
      </c>
      <c r="AY441">
        <v>0</v>
      </c>
      <c r="AZ441">
        <v>0</v>
      </c>
      <c r="BA441">
        <v>0</v>
      </c>
      <c r="BB441">
        <v>0</v>
      </c>
      <c r="BC441">
        <v>0</v>
      </c>
      <c r="BD441">
        <v>0</v>
      </c>
      <c r="BE441">
        <v>0</v>
      </c>
      <c r="BF441">
        <v>0</v>
      </c>
      <c r="BG441">
        <v>0</v>
      </c>
      <c r="BH441">
        <v>2</v>
      </c>
      <c r="BI441">
        <v>8.3000000000000007</v>
      </c>
      <c r="BJ441">
        <v>24.8</v>
      </c>
      <c r="BK441">
        <v>25</v>
      </c>
      <c r="BL441">
        <v>253.79</v>
      </c>
      <c r="BM441">
        <v>38.07</v>
      </c>
      <c r="BN441">
        <v>291.86</v>
      </c>
      <c r="BO441">
        <v>291.86</v>
      </c>
      <c r="BQ441" t="s">
        <v>1342</v>
      </c>
      <c r="BR441" t="s">
        <v>82</v>
      </c>
      <c r="BS441" s="3">
        <v>44609</v>
      </c>
      <c r="BT441" s="4">
        <v>0.43194444444444446</v>
      </c>
      <c r="BU441" t="s">
        <v>1343</v>
      </c>
      <c r="BV441" t="s">
        <v>101</v>
      </c>
      <c r="BY441">
        <v>123877.48</v>
      </c>
      <c r="CA441" t="s">
        <v>1344</v>
      </c>
      <c r="CC441" t="s">
        <v>283</v>
      </c>
      <c r="CD441">
        <v>300</v>
      </c>
      <c r="CE441" t="s">
        <v>130</v>
      </c>
      <c r="CF441" s="3">
        <v>44609</v>
      </c>
      <c r="CI441">
        <v>3</v>
      </c>
      <c r="CJ441">
        <v>3</v>
      </c>
      <c r="CK441">
        <v>43</v>
      </c>
      <c r="CL441" t="s">
        <v>84</v>
      </c>
    </row>
    <row r="442" spans="1:90" x14ac:dyDescent="0.25">
      <c r="A442" t="s">
        <v>72</v>
      </c>
      <c r="B442" t="s">
        <v>73</v>
      </c>
      <c r="C442" t="s">
        <v>74</v>
      </c>
      <c r="E442" t="str">
        <f>"GAB2008272"</f>
        <v>GAB2008272</v>
      </c>
      <c r="F442" s="3">
        <v>44606</v>
      </c>
      <c r="G442">
        <v>202208</v>
      </c>
      <c r="H442" t="s">
        <v>75</v>
      </c>
      <c r="I442" t="s">
        <v>76</v>
      </c>
      <c r="J442" t="s">
        <v>77</v>
      </c>
      <c r="K442" t="s">
        <v>78</v>
      </c>
      <c r="L442" t="s">
        <v>159</v>
      </c>
      <c r="M442" t="s">
        <v>160</v>
      </c>
      <c r="N442" t="s">
        <v>161</v>
      </c>
      <c r="O442" t="s">
        <v>80</v>
      </c>
      <c r="P442" t="str">
        <f>"CT071978                      "</f>
        <v xml:space="preserve">CT071978                      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  <c r="AB442">
        <v>0</v>
      </c>
      <c r="AC442">
        <v>0</v>
      </c>
      <c r="AD442">
        <v>0</v>
      </c>
      <c r="AE442">
        <v>0</v>
      </c>
      <c r="AF442">
        <v>0</v>
      </c>
      <c r="AG442">
        <v>0</v>
      </c>
      <c r="AH442">
        <v>0</v>
      </c>
      <c r="AI442">
        <v>0</v>
      </c>
      <c r="AJ442">
        <v>0</v>
      </c>
      <c r="AK442">
        <v>39.81</v>
      </c>
      <c r="AL442">
        <v>0</v>
      </c>
      <c r="AM442">
        <v>0</v>
      </c>
      <c r="AN442">
        <v>0</v>
      </c>
      <c r="AO442">
        <v>0</v>
      </c>
      <c r="AP442">
        <v>0</v>
      </c>
      <c r="AQ442">
        <v>0</v>
      </c>
      <c r="AR442">
        <v>0</v>
      </c>
      <c r="AS442">
        <v>0</v>
      </c>
      <c r="AT442">
        <v>0</v>
      </c>
      <c r="AU442">
        <v>0</v>
      </c>
      <c r="AV442">
        <v>0</v>
      </c>
      <c r="AW442">
        <v>0</v>
      </c>
      <c r="AX442">
        <v>0</v>
      </c>
      <c r="AY442">
        <v>0</v>
      </c>
      <c r="AZ442">
        <v>0</v>
      </c>
      <c r="BA442">
        <v>0</v>
      </c>
      <c r="BB442">
        <v>0</v>
      </c>
      <c r="BC442">
        <v>0</v>
      </c>
      <c r="BD442">
        <v>0</v>
      </c>
      <c r="BE442">
        <v>0</v>
      </c>
      <c r="BF442">
        <v>0</v>
      </c>
      <c r="BG442">
        <v>0</v>
      </c>
      <c r="BH442">
        <v>1</v>
      </c>
      <c r="BI442">
        <v>0.1</v>
      </c>
      <c r="BJ442">
        <v>2.1</v>
      </c>
      <c r="BK442">
        <v>2.5</v>
      </c>
      <c r="BL442">
        <v>143.22</v>
      </c>
      <c r="BM442">
        <v>21.48</v>
      </c>
      <c r="BN442">
        <v>164.7</v>
      </c>
      <c r="BO442">
        <v>164.7</v>
      </c>
      <c r="BQ442" t="s">
        <v>162</v>
      </c>
      <c r="BR442" t="s">
        <v>82</v>
      </c>
      <c r="BS442" s="3">
        <v>44607</v>
      </c>
      <c r="BT442" s="4">
        <v>0.43194444444444446</v>
      </c>
      <c r="BU442" t="s">
        <v>1345</v>
      </c>
      <c r="BV442" t="s">
        <v>101</v>
      </c>
      <c r="BY442">
        <v>10669.1</v>
      </c>
      <c r="BZ442" t="s">
        <v>87</v>
      </c>
      <c r="CA442" t="s">
        <v>422</v>
      </c>
      <c r="CC442" t="s">
        <v>160</v>
      </c>
      <c r="CD442">
        <v>9459</v>
      </c>
      <c r="CE442" t="s">
        <v>152</v>
      </c>
      <c r="CF442" s="3">
        <v>44607</v>
      </c>
      <c r="CI442">
        <v>1</v>
      </c>
      <c r="CJ442">
        <v>1</v>
      </c>
      <c r="CK442">
        <v>23</v>
      </c>
      <c r="CL442" t="s">
        <v>84</v>
      </c>
    </row>
    <row r="443" spans="1:90" x14ac:dyDescent="0.25">
      <c r="A443" t="s">
        <v>72</v>
      </c>
      <c r="B443" t="s">
        <v>73</v>
      </c>
      <c r="C443" t="s">
        <v>74</v>
      </c>
      <c r="E443" t="str">
        <f>"GAB2008271"</f>
        <v>GAB2008271</v>
      </c>
      <c r="F443" s="3">
        <v>44606</v>
      </c>
      <c r="G443">
        <v>202208</v>
      </c>
      <c r="H443" t="s">
        <v>75</v>
      </c>
      <c r="I443" t="s">
        <v>76</v>
      </c>
      <c r="J443" t="s">
        <v>77</v>
      </c>
      <c r="K443" t="s">
        <v>78</v>
      </c>
      <c r="L443" t="s">
        <v>153</v>
      </c>
      <c r="M443" t="s">
        <v>154</v>
      </c>
      <c r="N443" t="s">
        <v>784</v>
      </c>
      <c r="O443" t="s">
        <v>80</v>
      </c>
      <c r="P443" t="str">
        <f>"CT071977                      "</f>
        <v xml:space="preserve">CT071977                      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0</v>
      </c>
      <c r="AD443">
        <v>0</v>
      </c>
      <c r="AE443">
        <v>0</v>
      </c>
      <c r="AF443">
        <v>0</v>
      </c>
      <c r="AG443">
        <v>0</v>
      </c>
      <c r="AH443">
        <v>0</v>
      </c>
      <c r="AI443">
        <v>0</v>
      </c>
      <c r="AJ443">
        <v>0</v>
      </c>
      <c r="AK443">
        <v>16.760000000000002</v>
      </c>
      <c r="AL443">
        <v>0</v>
      </c>
      <c r="AM443">
        <v>0</v>
      </c>
      <c r="AN443">
        <v>0</v>
      </c>
      <c r="AO443">
        <v>0</v>
      </c>
      <c r="AP443">
        <v>0</v>
      </c>
      <c r="AQ443">
        <v>15</v>
      </c>
      <c r="AR443">
        <v>0</v>
      </c>
      <c r="AS443">
        <v>0</v>
      </c>
      <c r="AT443">
        <v>0</v>
      </c>
      <c r="AU443">
        <v>0</v>
      </c>
      <c r="AV443">
        <v>0</v>
      </c>
      <c r="AW443">
        <v>0</v>
      </c>
      <c r="AX443">
        <v>0</v>
      </c>
      <c r="AY443">
        <v>0</v>
      </c>
      <c r="AZ443">
        <v>0</v>
      </c>
      <c r="BA443">
        <v>0</v>
      </c>
      <c r="BB443">
        <v>0</v>
      </c>
      <c r="BC443">
        <v>0</v>
      </c>
      <c r="BD443">
        <v>0</v>
      </c>
      <c r="BE443">
        <v>0</v>
      </c>
      <c r="BF443">
        <v>0</v>
      </c>
      <c r="BG443">
        <v>0</v>
      </c>
      <c r="BH443">
        <v>1</v>
      </c>
      <c r="BI443">
        <v>0.1</v>
      </c>
      <c r="BJ443">
        <v>2</v>
      </c>
      <c r="BK443">
        <v>2</v>
      </c>
      <c r="BL443">
        <v>75.3</v>
      </c>
      <c r="BM443">
        <v>11.3</v>
      </c>
      <c r="BN443">
        <v>86.6</v>
      </c>
      <c r="BO443">
        <v>86.6</v>
      </c>
      <c r="BQ443" t="s">
        <v>1346</v>
      </c>
      <c r="BR443" t="s">
        <v>82</v>
      </c>
      <c r="BS443" s="3">
        <v>44607</v>
      </c>
      <c r="BT443" s="4">
        <v>0.49583333333333335</v>
      </c>
      <c r="BU443" t="s">
        <v>1347</v>
      </c>
      <c r="BV443" t="s">
        <v>101</v>
      </c>
      <c r="BY443">
        <v>10149.040000000001</v>
      </c>
      <c r="BZ443" t="s">
        <v>121</v>
      </c>
      <c r="CA443" t="s">
        <v>788</v>
      </c>
      <c r="CC443" t="s">
        <v>154</v>
      </c>
      <c r="CD443">
        <v>1863</v>
      </c>
      <c r="CE443" t="s">
        <v>152</v>
      </c>
      <c r="CF443" s="3">
        <v>44608</v>
      </c>
      <c r="CI443">
        <v>1</v>
      </c>
      <c r="CJ443">
        <v>1</v>
      </c>
      <c r="CK443">
        <v>21</v>
      </c>
      <c r="CL443" t="s">
        <v>84</v>
      </c>
    </row>
    <row r="444" spans="1:90" x14ac:dyDescent="0.25">
      <c r="A444" t="s">
        <v>72</v>
      </c>
      <c r="B444" t="s">
        <v>73</v>
      </c>
      <c r="C444" t="s">
        <v>74</v>
      </c>
      <c r="E444" t="str">
        <f>"GAB2008270"</f>
        <v>GAB2008270</v>
      </c>
      <c r="F444" s="3">
        <v>44606</v>
      </c>
      <c r="G444">
        <v>202208</v>
      </c>
      <c r="H444" t="s">
        <v>75</v>
      </c>
      <c r="I444" t="s">
        <v>76</v>
      </c>
      <c r="J444" t="s">
        <v>77</v>
      </c>
      <c r="K444" t="s">
        <v>78</v>
      </c>
      <c r="L444" t="s">
        <v>225</v>
      </c>
      <c r="M444" t="s">
        <v>226</v>
      </c>
      <c r="N444" t="s">
        <v>227</v>
      </c>
      <c r="O444" t="s">
        <v>80</v>
      </c>
      <c r="P444" t="str">
        <f>"CT071974                      "</f>
        <v xml:space="preserve">CT071974                      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0</v>
      </c>
      <c r="AD444">
        <v>0</v>
      </c>
      <c r="AE444">
        <v>0</v>
      </c>
      <c r="AF444">
        <v>0</v>
      </c>
      <c r="AG444">
        <v>0</v>
      </c>
      <c r="AH444">
        <v>0</v>
      </c>
      <c r="AI444">
        <v>0</v>
      </c>
      <c r="AJ444">
        <v>0</v>
      </c>
      <c r="AK444">
        <v>16.760000000000002</v>
      </c>
      <c r="AL444">
        <v>0</v>
      </c>
      <c r="AM444">
        <v>0</v>
      </c>
      <c r="AN444">
        <v>0</v>
      </c>
      <c r="AO444">
        <v>0</v>
      </c>
      <c r="AP444">
        <v>0</v>
      </c>
      <c r="AQ444">
        <v>0</v>
      </c>
      <c r="AR444">
        <v>0</v>
      </c>
      <c r="AS444">
        <v>0</v>
      </c>
      <c r="AT444">
        <v>0</v>
      </c>
      <c r="AU444">
        <v>0</v>
      </c>
      <c r="AV444">
        <v>0</v>
      </c>
      <c r="AW444">
        <v>0</v>
      </c>
      <c r="AX444">
        <v>0</v>
      </c>
      <c r="AY444">
        <v>0</v>
      </c>
      <c r="AZ444">
        <v>0</v>
      </c>
      <c r="BA444">
        <v>0</v>
      </c>
      <c r="BB444">
        <v>0</v>
      </c>
      <c r="BC444">
        <v>0</v>
      </c>
      <c r="BD444">
        <v>0</v>
      </c>
      <c r="BE444">
        <v>0</v>
      </c>
      <c r="BF444">
        <v>0</v>
      </c>
      <c r="BG444">
        <v>0</v>
      </c>
      <c r="BH444">
        <v>1</v>
      </c>
      <c r="BI444">
        <v>0.6</v>
      </c>
      <c r="BJ444">
        <v>1.7</v>
      </c>
      <c r="BK444">
        <v>2</v>
      </c>
      <c r="BL444">
        <v>60.3</v>
      </c>
      <c r="BM444">
        <v>9.0500000000000007</v>
      </c>
      <c r="BN444">
        <v>69.349999999999994</v>
      </c>
      <c r="BO444">
        <v>69.349999999999994</v>
      </c>
      <c r="BQ444" t="s">
        <v>1264</v>
      </c>
      <c r="BR444" t="s">
        <v>82</v>
      </c>
      <c r="BS444" s="3">
        <v>44608</v>
      </c>
      <c r="BT444" s="4">
        <v>0.6743055555555556</v>
      </c>
      <c r="BU444" t="s">
        <v>1348</v>
      </c>
      <c r="BV444" t="s">
        <v>84</v>
      </c>
      <c r="BW444" t="s">
        <v>1005</v>
      </c>
      <c r="BX444" t="s">
        <v>1266</v>
      </c>
      <c r="BY444">
        <v>8515.7999999999993</v>
      </c>
      <c r="BZ444" t="s">
        <v>87</v>
      </c>
      <c r="CA444" t="s">
        <v>1105</v>
      </c>
      <c r="CC444" t="s">
        <v>226</v>
      </c>
      <c r="CD444">
        <v>8301</v>
      </c>
      <c r="CE444" t="s">
        <v>554</v>
      </c>
      <c r="CF444" s="3">
        <v>44608</v>
      </c>
      <c r="CI444">
        <v>2</v>
      </c>
      <c r="CJ444">
        <v>2</v>
      </c>
      <c r="CK444">
        <v>21</v>
      </c>
      <c r="CL444" t="s">
        <v>84</v>
      </c>
    </row>
    <row r="445" spans="1:90" x14ac:dyDescent="0.25">
      <c r="A445" t="s">
        <v>72</v>
      </c>
      <c r="B445" t="s">
        <v>73</v>
      </c>
      <c r="C445" t="s">
        <v>74</v>
      </c>
      <c r="E445" t="str">
        <f>"GAB2008268"</f>
        <v>GAB2008268</v>
      </c>
      <c r="F445" s="3">
        <v>44606</v>
      </c>
      <c r="G445">
        <v>202208</v>
      </c>
      <c r="H445" t="s">
        <v>75</v>
      </c>
      <c r="I445" t="s">
        <v>76</v>
      </c>
      <c r="J445" t="s">
        <v>77</v>
      </c>
      <c r="K445" t="s">
        <v>78</v>
      </c>
      <c r="L445" t="s">
        <v>192</v>
      </c>
      <c r="M445" t="s">
        <v>193</v>
      </c>
      <c r="N445" t="s">
        <v>194</v>
      </c>
      <c r="O445" t="s">
        <v>80</v>
      </c>
      <c r="P445" t="str">
        <f>"CT071957                      "</f>
        <v xml:space="preserve">CT071957                      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0</v>
      </c>
      <c r="AD445">
        <v>0</v>
      </c>
      <c r="AE445">
        <v>0</v>
      </c>
      <c r="AF445">
        <v>0</v>
      </c>
      <c r="AG445">
        <v>0</v>
      </c>
      <c r="AH445">
        <v>0</v>
      </c>
      <c r="AI445">
        <v>0</v>
      </c>
      <c r="AJ445">
        <v>0</v>
      </c>
      <c r="AK445">
        <v>47.15</v>
      </c>
      <c r="AL445">
        <v>0</v>
      </c>
      <c r="AM445">
        <v>0</v>
      </c>
      <c r="AN445">
        <v>0</v>
      </c>
      <c r="AO445">
        <v>0</v>
      </c>
      <c r="AP445">
        <v>0</v>
      </c>
      <c r="AQ445">
        <v>0</v>
      </c>
      <c r="AR445">
        <v>0</v>
      </c>
      <c r="AS445">
        <v>0</v>
      </c>
      <c r="AT445">
        <v>0</v>
      </c>
      <c r="AU445">
        <v>0</v>
      </c>
      <c r="AV445">
        <v>0</v>
      </c>
      <c r="AW445">
        <v>0</v>
      </c>
      <c r="AX445">
        <v>0</v>
      </c>
      <c r="AY445">
        <v>0</v>
      </c>
      <c r="AZ445">
        <v>0</v>
      </c>
      <c r="BA445">
        <v>0</v>
      </c>
      <c r="BB445">
        <v>0</v>
      </c>
      <c r="BC445">
        <v>0</v>
      </c>
      <c r="BD445">
        <v>0</v>
      </c>
      <c r="BE445">
        <v>0</v>
      </c>
      <c r="BF445">
        <v>0</v>
      </c>
      <c r="BG445">
        <v>0</v>
      </c>
      <c r="BH445">
        <v>1</v>
      </c>
      <c r="BI445">
        <v>0.3</v>
      </c>
      <c r="BJ445">
        <v>2.6</v>
      </c>
      <c r="BK445">
        <v>3</v>
      </c>
      <c r="BL445">
        <v>169.61</v>
      </c>
      <c r="BM445">
        <v>25.44</v>
      </c>
      <c r="BN445">
        <v>195.05</v>
      </c>
      <c r="BO445">
        <v>195.05</v>
      </c>
      <c r="BQ445" t="s">
        <v>195</v>
      </c>
      <c r="BR445" t="s">
        <v>82</v>
      </c>
      <c r="BS445" s="3">
        <v>44607</v>
      </c>
      <c r="BT445" s="4">
        <v>0.37847222222222227</v>
      </c>
      <c r="BU445" t="s">
        <v>1119</v>
      </c>
      <c r="BV445" t="s">
        <v>101</v>
      </c>
      <c r="BY445">
        <v>12963.18</v>
      </c>
      <c r="BZ445" t="s">
        <v>87</v>
      </c>
      <c r="CA445" t="s">
        <v>1120</v>
      </c>
      <c r="CC445" t="s">
        <v>193</v>
      </c>
      <c r="CD445">
        <v>2515</v>
      </c>
      <c r="CE445" t="s">
        <v>108</v>
      </c>
      <c r="CF445" s="3">
        <v>44607</v>
      </c>
      <c r="CI445">
        <v>1</v>
      </c>
      <c r="CJ445">
        <v>1</v>
      </c>
      <c r="CK445">
        <v>23</v>
      </c>
      <c r="CL445" t="s">
        <v>84</v>
      </c>
    </row>
    <row r="446" spans="1:90" x14ac:dyDescent="0.25">
      <c r="A446" t="s">
        <v>72</v>
      </c>
      <c r="B446" t="s">
        <v>73</v>
      </c>
      <c r="C446" t="s">
        <v>74</v>
      </c>
      <c r="E446" t="str">
        <f>"GAB2008267"</f>
        <v>GAB2008267</v>
      </c>
      <c r="F446" s="3">
        <v>44606</v>
      </c>
      <c r="G446">
        <v>202208</v>
      </c>
      <c r="H446" t="s">
        <v>75</v>
      </c>
      <c r="I446" t="s">
        <v>76</v>
      </c>
      <c r="J446" t="s">
        <v>77</v>
      </c>
      <c r="K446" t="s">
        <v>78</v>
      </c>
      <c r="L446" t="s">
        <v>252</v>
      </c>
      <c r="M446" t="s">
        <v>253</v>
      </c>
      <c r="N446" t="s">
        <v>551</v>
      </c>
      <c r="O446" t="s">
        <v>80</v>
      </c>
      <c r="P446" t="str">
        <f>"CT071971                      "</f>
        <v xml:space="preserve">CT071971                      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0</v>
      </c>
      <c r="AD446">
        <v>0</v>
      </c>
      <c r="AE446">
        <v>0</v>
      </c>
      <c r="AF446">
        <v>0</v>
      </c>
      <c r="AG446">
        <v>0</v>
      </c>
      <c r="AH446">
        <v>0</v>
      </c>
      <c r="AI446">
        <v>0</v>
      </c>
      <c r="AJ446">
        <v>0</v>
      </c>
      <c r="AK446">
        <v>39.81</v>
      </c>
      <c r="AL446">
        <v>0</v>
      </c>
      <c r="AM446">
        <v>0</v>
      </c>
      <c r="AN446">
        <v>0</v>
      </c>
      <c r="AO446">
        <v>0</v>
      </c>
      <c r="AP446">
        <v>0</v>
      </c>
      <c r="AQ446">
        <v>0</v>
      </c>
      <c r="AR446">
        <v>0</v>
      </c>
      <c r="AS446">
        <v>0</v>
      </c>
      <c r="AT446">
        <v>0</v>
      </c>
      <c r="AU446">
        <v>0</v>
      </c>
      <c r="AV446">
        <v>0</v>
      </c>
      <c r="AW446">
        <v>0</v>
      </c>
      <c r="AX446">
        <v>0</v>
      </c>
      <c r="AY446">
        <v>0</v>
      </c>
      <c r="AZ446">
        <v>0</v>
      </c>
      <c r="BA446">
        <v>0</v>
      </c>
      <c r="BB446">
        <v>0</v>
      </c>
      <c r="BC446">
        <v>0</v>
      </c>
      <c r="BD446">
        <v>0</v>
      </c>
      <c r="BE446">
        <v>0</v>
      </c>
      <c r="BF446">
        <v>0</v>
      </c>
      <c r="BG446">
        <v>0</v>
      </c>
      <c r="BH446">
        <v>1</v>
      </c>
      <c r="BI446">
        <v>0.5</v>
      </c>
      <c r="BJ446">
        <v>2.4</v>
      </c>
      <c r="BK446">
        <v>2.5</v>
      </c>
      <c r="BL446">
        <v>143.22</v>
      </c>
      <c r="BM446">
        <v>21.48</v>
      </c>
      <c r="BN446">
        <v>164.7</v>
      </c>
      <c r="BO446">
        <v>164.7</v>
      </c>
      <c r="BQ446" t="s">
        <v>738</v>
      </c>
      <c r="BR446" t="s">
        <v>82</v>
      </c>
      <c r="BS446" s="3">
        <v>44608</v>
      </c>
      <c r="BT446" s="4">
        <v>0.50416666666666665</v>
      </c>
      <c r="BU446" t="s">
        <v>1349</v>
      </c>
      <c r="BV446" t="s">
        <v>84</v>
      </c>
      <c r="BW446" t="s">
        <v>268</v>
      </c>
      <c r="BX446" t="s">
        <v>240</v>
      </c>
      <c r="BY446">
        <v>11808.72</v>
      </c>
      <c r="BZ446" t="s">
        <v>87</v>
      </c>
      <c r="CA446" t="s">
        <v>257</v>
      </c>
      <c r="CC446" t="s">
        <v>253</v>
      </c>
      <c r="CD446">
        <v>4400</v>
      </c>
      <c r="CE446" t="s">
        <v>580</v>
      </c>
      <c r="CF446" s="3">
        <v>44609</v>
      </c>
      <c r="CI446">
        <v>1</v>
      </c>
      <c r="CJ446">
        <v>2</v>
      </c>
      <c r="CK446">
        <v>23</v>
      </c>
      <c r="CL446" t="s">
        <v>84</v>
      </c>
    </row>
    <row r="447" spans="1:90" x14ac:dyDescent="0.25">
      <c r="A447" t="s">
        <v>72</v>
      </c>
      <c r="B447" t="s">
        <v>73</v>
      </c>
      <c r="C447" t="s">
        <v>74</v>
      </c>
      <c r="E447" t="str">
        <f>"GAB2008262"</f>
        <v>GAB2008262</v>
      </c>
      <c r="F447" s="3">
        <v>44606</v>
      </c>
      <c r="G447">
        <v>202208</v>
      </c>
      <c r="H447" t="s">
        <v>75</v>
      </c>
      <c r="I447" t="s">
        <v>76</v>
      </c>
      <c r="J447" t="s">
        <v>77</v>
      </c>
      <c r="K447" t="s">
        <v>78</v>
      </c>
      <c r="L447" t="s">
        <v>159</v>
      </c>
      <c r="M447" t="s">
        <v>160</v>
      </c>
      <c r="N447" t="s">
        <v>419</v>
      </c>
      <c r="O447" t="s">
        <v>80</v>
      </c>
      <c r="P447" t="str">
        <f>"CT071960                      "</f>
        <v xml:space="preserve">CT071960                      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0</v>
      </c>
      <c r="AD447">
        <v>0</v>
      </c>
      <c r="AE447">
        <v>0</v>
      </c>
      <c r="AF447">
        <v>0</v>
      </c>
      <c r="AG447">
        <v>0</v>
      </c>
      <c r="AH447">
        <v>0</v>
      </c>
      <c r="AI447">
        <v>0</v>
      </c>
      <c r="AJ447">
        <v>0</v>
      </c>
      <c r="AK447">
        <v>32.479999999999997</v>
      </c>
      <c r="AL447">
        <v>0</v>
      </c>
      <c r="AM447">
        <v>0</v>
      </c>
      <c r="AN447">
        <v>0</v>
      </c>
      <c r="AO447">
        <v>0</v>
      </c>
      <c r="AP447">
        <v>0</v>
      </c>
      <c r="AQ447">
        <v>0</v>
      </c>
      <c r="AR447">
        <v>0</v>
      </c>
      <c r="AS447">
        <v>0</v>
      </c>
      <c r="AT447">
        <v>0</v>
      </c>
      <c r="AU447">
        <v>0</v>
      </c>
      <c r="AV447">
        <v>0</v>
      </c>
      <c r="AW447">
        <v>0</v>
      </c>
      <c r="AX447">
        <v>0</v>
      </c>
      <c r="AY447">
        <v>0</v>
      </c>
      <c r="AZ447">
        <v>0</v>
      </c>
      <c r="BA447">
        <v>0</v>
      </c>
      <c r="BB447">
        <v>0</v>
      </c>
      <c r="BC447">
        <v>0</v>
      </c>
      <c r="BD447">
        <v>0</v>
      </c>
      <c r="BE447">
        <v>0</v>
      </c>
      <c r="BF447">
        <v>0</v>
      </c>
      <c r="BG447">
        <v>0</v>
      </c>
      <c r="BH447">
        <v>1</v>
      </c>
      <c r="BI447">
        <v>0.6</v>
      </c>
      <c r="BJ447">
        <v>1.7</v>
      </c>
      <c r="BK447">
        <v>2</v>
      </c>
      <c r="BL447">
        <v>116.84</v>
      </c>
      <c r="BM447">
        <v>17.53</v>
      </c>
      <c r="BN447">
        <v>134.37</v>
      </c>
      <c r="BO447">
        <v>134.37</v>
      </c>
      <c r="BQ447" t="s">
        <v>420</v>
      </c>
      <c r="BR447" t="s">
        <v>82</v>
      </c>
      <c r="BS447" s="3">
        <v>44607</v>
      </c>
      <c r="BT447" s="4">
        <v>0.43402777777777773</v>
      </c>
      <c r="BU447" t="s">
        <v>1239</v>
      </c>
      <c r="BV447" t="s">
        <v>101</v>
      </c>
      <c r="BY447">
        <v>8389.92</v>
      </c>
      <c r="BZ447" t="s">
        <v>87</v>
      </c>
      <c r="CA447" t="s">
        <v>422</v>
      </c>
      <c r="CC447" t="s">
        <v>160</v>
      </c>
      <c r="CD447">
        <v>9459</v>
      </c>
      <c r="CE447" t="s">
        <v>554</v>
      </c>
      <c r="CF447" s="3">
        <v>44607</v>
      </c>
      <c r="CI447">
        <v>1</v>
      </c>
      <c r="CJ447">
        <v>1</v>
      </c>
      <c r="CK447">
        <v>23</v>
      </c>
      <c r="CL447" t="s">
        <v>84</v>
      </c>
    </row>
    <row r="448" spans="1:90" x14ac:dyDescent="0.25">
      <c r="A448" t="s">
        <v>72</v>
      </c>
      <c r="B448" t="s">
        <v>73</v>
      </c>
      <c r="C448" t="s">
        <v>74</v>
      </c>
      <c r="E448" t="str">
        <f>"GAB2008261"</f>
        <v>GAB2008261</v>
      </c>
      <c r="F448" s="3">
        <v>44606</v>
      </c>
      <c r="G448">
        <v>202208</v>
      </c>
      <c r="H448" t="s">
        <v>75</v>
      </c>
      <c r="I448" t="s">
        <v>76</v>
      </c>
      <c r="J448" t="s">
        <v>77</v>
      </c>
      <c r="K448" t="s">
        <v>78</v>
      </c>
      <c r="L448" t="s">
        <v>642</v>
      </c>
      <c r="M448" t="s">
        <v>643</v>
      </c>
      <c r="N448" t="s">
        <v>644</v>
      </c>
      <c r="O448" t="s">
        <v>80</v>
      </c>
      <c r="P448" t="str">
        <f>"CT071959                      "</f>
        <v xml:space="preserve">CT071959                      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  <c r="AB448">
        <v>0</v>
      </c>
      <c r="AC448">
        <v>0</v>
      </c>
      <c r="AD448">
        <v>0</v>
      </c>
      <c r="AE448">
        <v>0</v>
      </c>
      <c r="AF448">
        <v>0</v>
      </c>
      <c r="AG448">
        <v>0</v>
      </c>
      <c r="AH448">
        <v>0</v>
      </c>
      <c r="AI448">
        <v>0</v>
      </c>
      <c r="AJ448">
        <v>0</v>
      </c>
      <c r="AK448">
        <v>39.81</v>
      </c>
      <c r="AL448">
        <v>0</v>
      </c>
      <c r="AM448">
        <v>0</v>
      </c>
      <c r="AN448">
        <v>0</v>
      </c>
      <c r="AO448">
        <v>0</v>
      </c>
      <c r="AP448">
        <v>0</v>
      </c>
      <c r="AQ448">
        <v>15</v>
      </c>
      <c r="AR448">
        <v>0</v>
      </c>
      <c r="AS448">
        <v>0</v>
      </c>
      <c r="AT448">
        <v>0</v>
      </c>
      <c r="AU448">
        <v>0</v>
      </c>
      <c r="AV448">
        <v>0</v>
      </c>
      <c r="AW448">
        <v>0</v>
      </c>
      <c r="AX448">
        <v>0</v>
      </c>
      <c r="AY448">
        <v>0</v>
      </c>
      <c r="AZ448">
        <v>0</v>
      </c>
      <c r="BA448">
        <v>0</v>
      </c>
      <c r="BB448">
        <v>0</v>
      </c>
      <c r="BC448">
        <v>0</v>
      </c>
      <c r="BD448">
        <v>0</v>
      </c>
      <c r="BE448">
        <v>0</v>
      </c>
      <c r="BF448">
        <v>0</v>
      </c>
      <c r="BG448">
        <v>0</v>
      </c>
      <c r="BH448">
        <v>1</v>
      </c>
      <c r="BI448">
        <v>0.1</v>
      </c>
      <c r="BJ448">
        <v>2.2999999999999998</v>
      </c>
      <c r="BK448">
        <v>2.5</v>
      </c>
      <c r="BL448">
        <v>158.22</v>
      </c>
      <c r="BM448">
        <v>23.73</v>
      </c>
      <c r="BN448">
        <v>181.95</v>
      </c>
      <c r="BO448">
        <v>181.95</v>
      </c>
      <c r="BQ448" t="s">
        <v>645</v>
      </c>
      <c r="BR448" t="s">
        <v>82</v>
      </c>
      <c r="BS448" s="3">
        <v>44607</v>
      </c>
      <c r="BT448" s="4">
        <v>0.4465277777777778</v>
      </c>
      <c r="BU448" t="s">
        <v>1350</v>
      </c>
      <c r="BV448" t="s">
        <v>101</v>
      </c>
      <c r="BY448">
        <v>11492</v>
      </c>
      <c r="BZ448" t="s">
        <v>121</v>
      </c>
      <c r="CA448" t="s">
        <v>648</v>
      </c>
      <c r="CC448" t="s">
        <v>643</v>
      </c>
      <c r="CD448">
        <v>250</v>
      </c>
      <c r="CE448" t="s">
        <v>152</v>
      </c>
      <c r="CF448" s="3">
        <v>44608</v>
      </c>
      <c r="CI448">
        <v>1</v>
      </c>
      <c r="CJ448">
        <v>1</v>
      </c>
      <c r="CK448">
        <v>23</v>
      </c>
      <c r="CL448" t="s">
        <v>84</v>
      </c>
    </row>
    <row r="449" spans="1:90" x14ac:dyDescent="0.25">
      <c r="A449" t="s">
        <v>72</v>
      </c>
      <c r="B449" t="s">
        <v>73</v>
      </c>
      <c r="C449" t="s">
        <v>74</v>
      </c>
      <c r="E449" t="str">
        <f>"GAB2008260"</f>
        <v>GAB2008260</v>
      </c>
      <c r="F449" s="3">
        <v>44606</v>
      </c>
      <c r="G449">
        <v>202208</v>
      </c>
      <c r="H449" t="s">
        <v>75</v>
      </c>
      <c r="I449" t="s">
        <v>76</v>
      </c>
      <c r="J449" t="s">
        <v>77</v>
      </c>
      <c r="K449" t="s">
        <v>78</v>
      </c>
      <c r="L449" t="s">
        <v>90</v>
      </c>
      <c r="M449" t="s">
        <v>91</v>
      </c>
      <c r="N449" t="s">
        <v>92</v>
      </c>
      <c r="O449" t="s">
        <v>80</v>
      </c>
      <c r="P449" t="str">
        <f>"CT071958                      "</f>
        <v xml:space="preserve">CT071958                      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0</v>
      </c>
      <c r="AD449">
        <v>0</v>
      </c>
      <c r="AE449">
        <v>0</v>
      </c>
      <c r="AF449">
        <v>0</v>
      </c>
      <c r="AG449">
        <v>0</v>
      </c>
      <c r="AH449">
        <v>0</v>
      </c>
      <c r="AI449">
        <v>0</v>
      </c>
      <c r="AJ449">
        <v>0</v>
      </c>
      <c r="AK449">
        <v>13.09</v>
      </c>
      <c r="AL449">
        <v>0</v>
      </c>
      <c r="AM449">
        <v>0</v>
      </c>
      <c r="AN449">
        <v>0</v>
      </c>
      <c r="AO449">
        <v>0</v>
      </c>
      <c r="AP449">
        <v>0</v>
      </c>
      <c r="AQ449">
        <v>0</v>
      </c>
      <c r="AR449">
        <v>0</v>
      </c>
      <c r="AS449">
        <v>0</v>
      </c>
      <c r="AT449">
        <v>0</v>
      </c>
      <c r="AU449">
        <v>0</v>
      </c>
      <c r="AV449">
        <v>0</v>
      </c>
      <c r="AW449">
        <v>0</v>
      </c>
      <c r="AX449">
        <v>0</v>
      </c>
      <c r="AY449">
        <v>0</v>
      </c>
      <c r="AZ449">
        <v>0</v>
      </c>
      <c r="BA449">
        <v>0</v>
      </c>
      <c r="BB449">
        <v>0</v>
      </c>
      <c r="BC449">
        <v>0</v>
      </c>
      <c r="BD449">
        <v>0</v>
      </c>
      <c r="BE449">
        <v>0</v>
      </c>
      <c r="BF449">
        <v>0</v>
      </c>
      <c r="BG449">
        <v>0</v>
      </c>
      <c r="BH449">
        <v>1</v>
      </c>
      <c r="BI449">
        <v>0.1</v>
      </c>
      <c r="BJ449">
        <v>2</v>
      </c>
      <c r="BK449">
        <v>2</v>
      </c>
      <c r="BL449">
        <v>47.1</v>
      </c>
      <c r="BM449">
        <v>7.07</v>
      </c>
      <c r="BN449">
        <v>54.17</v>
      </c>
      <c r="BO449">
        <v>54.17</v>
      </c>
      <c r="BQ449" t="s">
        <v>93</v>
      </c>
      <c r="BR449" t="s">
        <v>82</v>
      </c>
      <c r="BS449" s="3">
        <v>44607</v>
      </c>
      <c r="BT449" s="4">
        <v>0.43333333333333335</v>
      </c>
      <c r="BU449" t="s">
        <v>94</v>
      </c>
      <c r="BV449" t="s">
        <v>101</v>
      </c>
      <c r="BY449">
        <v>10120.780000000001</v>
      </c>
      <c r="BZ449" t="s">
        <v>87</v>
      </c>
      <c r="CA449" t="s">
        <v>96</v>
      </c>
      <c r="CC449" t="s">
        <v>91</v>
      </c>
      <c r="CD449">
        <v>7600</v>
      </c>
      <c r="CE449" t="s">
        <v>97</v>
      </c>
      <c r="CF449" s="3">
        <v>44608</v>
      </c>
      <c r="CI449">
        <v>1</v>
      </c>
      <c r="CJ449">
        <v>1</v>
      </c>
      <c r="CK449">
        <v>22</v>
      </c>
      <c r="CL449" t="s">
        <v>84</v>
      </c>
    </row>
    <row r="450" spans="1:90" x14ac:dyDescent="0.25">
      <c r="A450" t="s">
        <v>72</v>
      </c>
      <c r="B450" t="s">
        <v>73</v>
      </c>
      <c r="C450" t="s">
        <v>74</v>
      </c>
      <c r="E450" t="str">
        <f>"009940857735"</f>
        <v>009940857735</v>
      </c>
      <c r="F450" s="3">
        <v>44602</v>
      </c>
      <c r="G450">
        <v>202208</v>
      </c>
      <c r="H450" t="s">
        <v>109</v>
      </c>
      <c r="I450" t="s">
        <v>110</v>
      </c>
      <c r="J450" t="s">
        <v>133</v>
      </c>
      <c r="K450" t="s">
        <v>78</v>
      </c>
      <c r="L450" t="s">
        <v>131</v>
      </c>
      <c r="M450" t="s">
        <v>132</v>
      </c>
      <c r="N450" t="s">
        <v>111</v>
      </c>
      <c r="O450" t="s">
        <v>80</v>
      </c>
      <c r="P450" t="str">
        <f>"NO REF                        "</f>
        <v xml:space="preserve">NO REF                        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0</v>
      </c>
      <c r="AD450">
        <v>0</v>
      </c>
      <c r="AE450">
        <v>0</v>
      </c>
      <c r="AF450">
        <v>0</v>
      </c>
      <c r="AG450">
        <v>0</v>
      </c>
      <c r="AH450">
        <v>0</v>
      </c>
      <c r="AI450">
        <v>0</v>
      </c>
      <c r="AJ450">
        <v>0</v>
      </c>
      <c r="AK450">
        <v>16.760000000000002</v>
      </c>
      <c r="AL450">
        <v>0</v>
      </c>
      <c r="AM450">
        <v>0</v>
      </c>
      <c r="AN450">
        <v>0</v>
      </c>
      <c r="AO450">
        <v>0</v>
      </c>
      <c r="AP450">
        <v>0</v>
      </c>
      <c r="AQ450">
        <v>0</v>
      </c>
      <c r="AR450">
        <v>0</v>
      </c>
      <c r="AS450">
        <v>0</v>
      </c>
      <c r="AT450">
        <v>0</v>
      </c>
      <c r="AU450">
        <v>0</v>
      </c>
      <c r="AV450">
        <v>0</v>
      </c>
      <c r="AW450">
        <v>0</v>
      </c>
      <c r="AX450">
        <v>0</v>
      </c>
      <c r="AY450">
        <v>0</v>
      </c>
      <c r="AZ450">
        <v>0</v>
      </c>
      <c r="BA450">
        <v>0</v>
      </c>
      <c r="BB450">
        <v>0</v>
      </c>
      <c r="BC450">
        <v>0</v>
      </c>
      <c r="BD450">
        <v>0</v>
      </c>
      <c r="BE450">
        <v>0</v>
      </c>
      <c r="BF450">
        <v>0</v>
      </c>
      <c r="BG450">
        <v>0</v>
      </c>
      <c r="BH450">
        <v>1</v>
      </c>
      <c r="BI450">
        <v>2</v>
      </c>
      <c r="BJ450">
        <v>0.5</v>
      </c>
      <c r="BK450">
        <v>2</v>
      </c>
      <c r="BL450">
        <v>60.3</v>
      </c>
      <c r="BM450">
        <v>9.0500000000000007</v>
      </c>
      <c r="BN450">
        <v>69.349999999999994</v>
      </c>
      <c r="BO450">
        <v>69.349999999999994</v>
      </c>
      <c r="BQ450" t="s">
        <v>677</v>
      </c>
      <c r="BR450" t="s">
        <v>140</v>
      </c>
      <c r="BS450" t="s">
        <v>653</v>
      </c>
      <c r="BY450">
        <v>2400</v>
      </c>
      <c r="BZ450" t="s">
        <v>87</v>
      </c>
      <c r="CC450" t="s">
        <v>132</v>
      </c>
      <c r="CD450">
        <v>4000</v>
      </c>
      <c r="CE450" t="s">
        <v>130</v>
      </c>
      <c r="CI450">
        <v>1</v>
      </c>
      <c r="CJ450" t="s">
        <v>653</v>
      </c>
      <c r="CK450">
        <v>21</v>
      </c>
      <c r="CL450" t="s">
        <v>84</v>
      </c>
    </row>
    <row r="451" spans="1:90" x14ac:dyDescent="0.25">
      <c r="A451" t="s">
        <v>72</v>
      </c>
      <c r="B451" t="s">
        <v>73</v>
      </c>
      <c r="C451" t="s">
        <v>74</v>
      </c>
      <c r="E451" t="str">
        <f>"009940857734"</f>
        <v>009940857734</v>
      </c>
      <c r="F451" s="3">
        <v>44602</v>
      </c>
      <c r="G451">
        <v>202208</v>
      </c>
      <c r="H451" t="s">
        <v>109</v>
      </c>
      <c r="I451" t="s">
        <v>110</v>
      </c>
      <c r="J451" t="s">
        <v>133</v>
      </c>
      <c r="K451" t="s">
        <v>78</v>
      </c>
      <c r="L451" t="s">
        <v>761</v>
      </c>
      <c r="M451" t="s">
        <v>762</v>
      </c>
      <c r="N451" t="s">
        <v>111</v>
      </c>
      <c r="O451" t="s">
        <v>80</v>
      </c>
      <c r="P451" t="str">
        <f>"NA                            "</f>
        <v xml:space="preserve">NA                            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0</v>
      </c>
      <c r="AD451">
        <v>0</v>
      </c>
      <c r="AE451">
        <v>0</v>
      </c>
      <c r="AF451">
        <v>0</v>
      </c>
      <c r="AG451">
        <v>0</v>
      </c>
      <c r="AH451">
        <v>0</v>
      </c>
      <c r="AI451">
        <v>0</v>
      </c>
      <c r="AJ451">
        <v>0</v>
      </c>
      <c r="AK451">
        <v>16.760000000000002</v>
      </c>
      <c r="AL451">
        <v>0</v>
      </c>
      <c r="AM451">
        <v>0</v>
      </c>
      <c r="AN451">
        <v>0</v>
      </c>
      <c r="AO451">
        <v>0</v>
      </c>
      <c r="AP451">
        <v>0</v>
      </c>
      <c r="AQ451">
        <v>0</v>
      </c>
      <c r="AR451">
        <v>0</v>
      </c>
      <c r="AS451">
        <v>0</v>
      </c>
      <c r="AT451">
        <v>0</v>
      </c>
      <c r="AU451">
        <v>0</v>
      </c>
      <c r="AV451">
        <v>0</v>
      </c>
      <c r="AW451">
        <v>0</v>
      </c>
      <c r="AX451">
        <v>0</v>
      </c>
      <c r="AY451">
        <v>0</v>
      </c>
      <c r="AZ451">
        <v>0</v>
      </c>
      <c r="BA451">
        <v>0</v>
      </c>
      <c r="BB451">
        <v>0</v>
      </c>
      <c r="BC451">
        <v>0</v>
      </c>
      <c r="BD451">
        <v>0</v>
      </c>
      <c r="BE451">
        <v>0</v>
      </c>
      <c r="BF451">
        <v>0</v>
      </c>
      <c r="BG451">
        <v>0</v>
      </c>
      <c r="BH451">
        <v>1</v>
      </c>
      <c r="BI451">
        <v>2</v>
      </c>
      <c r="BJ451">
        <v>0.5</v>
      </c>
      <c r="BK451">
        <v>2</v>
      </c>
      <c r="BL451">
        <v>60.3</v>
      </c>
      <c r="BM451">
        <v>9.0500000000000007</v>
      </c>
      <c r="BN451">
        <v>69.349999999999994</v>
      </c>
      <c r="BO451">
        <v>69.349999999999994</v>
      </c>
      <c r="BQ451" t="s">
        <v>1351</v>
      </c>
      <c r="BR451" t="s">
        <v>140</v>
      </c>
      <c r="BS451" t="s">
        <v>653</v>
      </c>
      <c r="BY451">
        <v>2400</v>
      </c>
      <c r="BZ451" t="s">
        <v>87</v>
      </c>
      <c r="CC451" t="s">
        <v>762</v>
      </c>
      <c r="CD451">
        <v>9300</v>
      </c>
      <c r="CE451" t="s">
        <v>130</v>
      </c>
      <c r="CI451">
        <v>1</v>
      </c>
      <c r="CJ451" t="s">
        <v>653</v>
      </c>
      <c r="CK451">
        <v>21</v>
      </c>
      <c r="CL451" t="s">
        <v>84</v>
      </c>
    </row>
    <row r="452" spans="1:90" x14ac:dyDescent="0.25">
      <c r="A452" t="s">
        <v>72</v>
      </c>
      <c r="B452" t="s">
        <v>73</v>
      </c>
      <c r="C452" t="s">
        <v>74</v>
      </c>
      <c r="E452" t="str">
        <f>"GAB2008167"</f>
        <v>GAB2008167</v>
      </c>
      <c r="F452" s="3">
        <v>44601</v>
      </c>
      <c r="G452">
        <v>202208</v>
      </c>
      <c r="H452" t="s">
        <v>75</v>
      </c>
      <c r="I452" t="s">
        <v>76</v>
      </c>
      <c r="J452" t="s">
        <v>77</v>
      </c>
      <c r="K452" t="s">
        <v>78</v>
      </c>
      <c r="L452" t="s">
        <v>75</v>
      </c>
      <c r="M452" t="s">
        <v>76</v>
      </c>
      <c r="N452" t="s">
        <v>98</v>
      </c>
      <c r="O452" t="s">
        <v>80</v>
      </c>
      <c r="P452" t="str">
        <f>"CT071858                      "</f>
        <v xml:space="preserve">CT071858                      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0</v>
      </c>
      <c r="AD452">
        <v>0</v>
      </c>
      <c r="AE452">
        <v>0</v>
      </c>
      <c r="AF452">
        <v>0</v>
      </c>
      <c r="AG452">
        <v>0</v>
      </c>
      <c r="AH452">
        <v>0</v>
      </c>
      <c r="AI452">
        <v>0</v>
      </c>
      <c r="AJ452">
        <v>0</v>
      </c>
      <c r="AK452">
        <v>13.09</v>
      </c>
      <c r="AL452">
        <v>0</v>
      </c>
      <c r="AM452">
        <v>0</v>
      </c>
      <c r="AN452">
        <v>0</v>
      </c>
      <c r="AO452">
        <v>0</v>
      </c>
      <c r="AP452">
        <v>0</v>
      </c>
      <c r="AQ452">
        <v>0</v>
      </c>
      <c r="AR452">
        <v>0</v>
      </c>
      <c r="AS452">
        <v>0</v>
      </c>
      <c r="AT452">
        <v>0</v>
      </c>
      <c r="AU452">
        <v>0</v>
      </c>
      <c r="AV452">
        <v>0</v>
      </c>
      <c r="AW452">
        <v>0</v>
      </c>
      <c r="AX452">
        <v>0</v>
      </c>
      <c r="AY452">
        <v>0</v>
      </c>
      <c r="AZ452">
        <v>0</v>
      </c>
      <c r="BA452">
        <v>0</v>
      </c>
      <c r="BB452">
        <v>0</v>
      </c>
      <c r="BC452">
        <v>0</v>
      </c>
      <c r="BD452">
        <v>0</v>
      </c>
      <c r="BE452">
        <v>0</v>
      </c>
      <c r="BF452">
        <v>0</v>
      </c>
      <c r="BG452">
        <v>0</v>
      </c>
      <c r="BH452">
        <v>1</v>
      </c>
      <c r="BI452">
        <v>0.3</v>
      </c>
      <c r="BJ452">
        <v>2.7</v>
      </c>
      <c r="BK452">
        <v>3</v>
      </c>
      <c r="BL452">
        <v>47.1</v>
      </c>
      <c r="BM452">
        <v>7.07</v>
      </c>
      <c r="BN452">
        <v>54.17</v>
      </c>
      <c r="BO452">
        <v>54.17</v>
      </c>
      <c r="BQ452" t="s">
        <v>99</v>
      </c>
      <c r="BR452" t="s">
        <v>82</v>
      </c>
      <c r="BS452" s="3">
        <v>44602</v>
      </c>
      <c r="BT452" s="4">
        <v>0.46319444444444446</v>
      </c>
      <c r="BU452" t="s">
        <v>1352</v>
      </c>
      <c r="BV452" t="s">
        <v>84</v>
      </c>
      <c r="BW452" t="s">
        <v>85</v>
      </c>
      <c r="BX452" t="s">
        <v>86</v>
      </c>
      <c r="BY452">
        <v>13669.61</v>
      </c>
      <c r="BZ452" t="s">
        <v>87</v>
      </c>
      <c r="CA452" t="s">
        <v>377</v>
      </c>
      <c r="CC452" t="s">
        <v>76</v>
      </c>
      <c r="CD452">
        <v>7800</v>
      </c>
      <c r="CE452" t="s">
        <v>108</v>
      </c>
      <c r="CF452" s="3">
        <v>44603</v>
      </c>
      <c r="CI452">
        <v>1</v>
      </c>
      <c r="CJ452">
        <v>1</v>
      </c>
      <c r="CK452">
        <v>22</v>
      </c>
      <c r="CL452" t="s">
        <v>84</v>
      </c>
    </row>
    <row r="453" spans="1:90" x14ac:dyDescent="0.25">
      <c r="A453" t="s">
        <v>72</v>
      </c>
      <c r="B453" t="s">
        <v>73</v>
      </c>
      <c r="C453" t="s">
        <v>74</v>
      </c>
      <c r="E453" t="str">
        <f>"GAB2008170"</f>
        <v>GAB2008170</v>
      </c>
      <c r="F453" s="3">
        <v>44601</v>
      </c>
      <c r="G453">
        <v>202208</v>
      </c>
      <c r="H453" t="s">
        <v>75</v>
      </c>
      <c r="I453" t="s">
        <v>76</v>
      </c>
      <c r="J453" t="s">
        <v>77</v>
      </c>
      <c r="K453" t="s">
        <v>78</v>
      </c>
      <c r="L453" t="s">
        <v>510</v>
      </c>
      <c r="M453" t="s">
        <v>511</v>
      </c>
      <c r="N453" t="s">
        <v>1353</v>
      </c>
      <c r="O453" t="s">
        <v>125</v>
      </c>
      <c r="P453" t="str">
        <f>"CT071813                      "</f>
        <v xml:space="preserve">CT071813                      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0</v>
      </c>
      <c r="AD453">
        <v>0</v>
      </c>
      <c r="AE453">
        <v>0</v>
      </c>
      <c r="AF453">
        <v>0</v>
      </c>
      <c r="AG453">
        <v>0</v>
      </c>
      <c r="AH453">
        <v>0</v>
      </c>
      <c r="AI453">
        <v>0</v>
      </c>
      <c r="AJ453">
        <v>0</v>
      </c>
      <c r="AK453">
        <v>32.42</v>
      </c>
      <c r="AL453">
        <v>0</v>
      </c>
      <c r="AM453">
        <v>0</v>
      </c>
      <c r="AN453">
        <v>0</v>
      </c>
      <c r="AO453">
        <v>0</v>
      </c>
      <c r="AP453">
        <v>0</v>
      </c>
      <c r="AQ453">
        <v>0</v>
      </c>
      <c r="AR453">
        <v>0</v>
      </c>
      <c r="AS453">
        <v>0</v>
      </c>
      <c r="AT453">
        <v>0</v>
      </c>
      <c r="AU453">
        <v>0</v>
      </c>
      <c r="AV453">
        <v>0</v>
      </c>
      <c r="AW453">
        <v>0</v>
      </c>
      <c r="AX453">
        <v>0</v>
      </c>
      <c r="AY453">
        <v>0</v>
      </c>
      <c r="AZ453">
        <v>0</v>
      </c>
      <c r="BA453">
        <v>0</v>
      </c>
      <c r="BB453">
        <v>0</v>
      </c>
      <c r="BC453">
        <v>0</v>
      </c>
      <c r="BD453">
        <v>0</v>
      </c>
      <c r="BE453">
        <v>0</v>
      </c>
      <c r="BF453">
        <v>0</v>
      </c>
      <c r="BG453">
        <v>0</v>
      </c>
      <c r="BH453">
        <v>1</v>
      </c>
      <c r="BI453">
        <v>4.0999999999999996</v>
      </c>
      <c r="BJ453">
        <v>13.4</v>
      </c>
      <c r="BK453">
        <v>14</v>
      </c>
      <c r="BL453">
        <v>121.87</v>
      </c>
      <c r="BM453">
        <v>18.28</v>
      </c>
      <c r="BN453">
        <v>140.15</v>
      </c>
      <c r="BO453">
        <v>140.15</v>
      </c>
      <c r="BQ453" t="s">
        <v>1354</v>
      </c>
      <c r="BR453" t="s">
        <v>82</v>
      </c>
      <c r="BS453" s="3">
        <v>44603</v>
      </c>
      <c r="BT453" s="4">
        <v>0.4604166666666667</v>
      </c>
      <c r="BU453" t="s">
        <v>1355</v>
      </c>
      <c r="BV453" t="s">
        <v>101</v>
      </c>
      <c r="BY453">
        <v>66826.5</v>
      </c>
      <c r="CA453" t="s">
        <v>515</v>
      </c>
      <c r="CC453" t="s">
        <v>511</v>
      </c>
      <c r="CD453">
        <v>1200</v>
      </c>
      <c r="CE453" t="s">
        <v>130</v>
      </c>
      <c r="CF453" s="3">
        <v>44603</v>
      </c>
      <c r="CI453">
        <v>3</v>
      </c>
      <c r="CJ453">
        <v>2</v>
      </c>
      <c r="CK453">
        <v>41</v>
      </c>
      <c r="CL453" t="s">
        <v>84</v>
      </c>
    </row>
    <row r="454" spans="1:90" x14ac:dyDescent="0.25">
      <c r="A454" t="s">
        <v>72</v>
      </c>
      <c r="B454" t="s">
        <v>73</v>
      </c>
      <c r="C454" t="s">
        <v>74</v>
      </c>
      <c r="E454" t="str">
        <f>"GAB2008197"</f>
        <v>GAB2008197</v>
      </c>
      <c r="F454" s="3">
        <v>44601</v>
      </c>
      <c r="G454">
        <v>202208</v>
      </c>
      <c r="H454" t="s">
        <v>75</v>
      </c>
      <c r="I454" t="s">
        <v>76</v>
      </c>
      <c r="J454" t="s">
        <v>77</v>
      </c>
      <c r="K454" t="s">
        <v>78</v>
      </c>
      <c r="L454" t="s">
        <v>116</v>
      </c>
      <c r="M454" t="s">
        <v>117</v>
      </c>
      <c r="N454" t="s">
        <v>118</v>
      </c>
      <c r="O454" t="s">
        <v>80</v>
      </c>
      <c r="P454" t="str">
        <f>"CT071884                      "</f>
        <v xml:space="preserve">CT071884                      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0</v>
      </c>
      <c r="AD454">
        <v>0</v>
      </c>
      <c r="AE454">
        <v>0</v>
      </c>
      <c r="AF454">
        <v>0</v>
      </c>
      <c r="AG454">
        <v>0</v>
      </c>
      <c r="AH454">
        <v>0</v>
      </c>
      <c r="AI454">
        <v>0</v>
      </c>
      <c r="AJ454">
        <v>0</v>
      </c>
      <c r="AK454">
        <v>29.33</v>
      </c>
      <c r="AL454">
        <v>0</v>
      </c>
      <c r="AM454">
        <v>0</v>
      </c>
      <c r="AN454">
        <v>0</v>
      </c>
      <c r="AO454">
        <v>0</v>
      </c>
      <c r="AP454">
        <v>0</v>
      </c>
      <c r="AQ454">
        <v>15</v>
      </c>
      <c r="AR454">
        <v>0</v>
      </c>
      <c r="AS454">
        <v>0</v>
      </c>
      <c r="AT454">
        <v>0</v>
      </c>
      <c r="AU454">
        <v>0</v>
      </c>
      <c r="AV454">
        <v>0</v>
      </c>
      <c r="AW454">
        <v>0</v>
      </c>
      <c r="AX454">
        <v>0</v>
      </c>
      <c r="AY454">
        <v>0</v>
      </c>
      <c r="AZ454">
        <v>0</v>
      </c>
      <c r="BA454">
        <v>0</v>
      </c>
      <c r="BB454">
        <v>0</v>
      </c>
      <c r="BC454">
        <v>0</v>
      </c>
      <c r="BD454">
        <v>0</v>
      </c>
      <c r="BE454">
        <v>0</v>
      </c>
      <c r="BF454">
        <v>0</v>
      </c>
      <c r="BG454">
        <v>0</v>
      </c>
      <c r="BH454">
        <v>1</v>
      </c>
      <c r="BI454">
        <v>0.2</v>
      </c>
      <c r="BJ454">
        <v>3.2</v>
      </c>
      <c r="BK454">
        <v>3.5</v>
      </c>
      <c r="BL454">
        <v>120.51</v>
      </c>
      <c r="BM454">
        <v>18.079999999999998</v>
      </c>
      <c r="BN454">
        <v>138.59</v>
      </c>
      <c r="BO454">
        <v>138.59</v>
      </c>
      <c r="BQ454" t="s">
        <v>119</v>
      </c>
      <c r="BR454" t="s">
        <v>82</v>
      </c>
      <c r="BS454" s="3">
        <v>44602</v>
      </c>
      <c r="BT454" s="4">
        <v>0.4861111111111111</v>
      </c>
      <c r="BU454" t="s">
        <v>335</v>
      </c>
      <c r="BV454" t="s">
        <v>101</v>
      </c>
      <c r="BY454">
        <v>16177.35</v>
      </c>
      <c r="BZ454" t="s">
        <v>121</v>
      </c>
      <c r="CA454" t="s">
        <v>122</v>
      </c>
      <c r="CC454" t="s">
        <v>117</v>
      </c>
      <c r="CD454">
        <v>1475</v>
      </c>
      <c r="CE454" t="s">
        <v>288</v>
      </c>
      <c r="CF454" s="3">
        <v>44602</v>
      </c>
      <c r="CI454">
        <v>1</v>
      </c>
      <c r="CJ454">
        <v>1</v>
      </c>
      <c r="CK454">
        <v>21</v>
      </c>
      <c r="CL454" t="s">
        <v>84</v>
      </c>
    </row>
    <row r="455" spans="1:90" x14ac:dyDescent="0.25">
      <c r="A455" t="s">
        <v>72</v>
      </c>
      <c r="B455" t="s">
        <v>73</v>
      </c>
      <c r="C455" t="s">
        <v>74</v>
      </c>
      <c r="E455" t="str">
        <f>"GAB2008208"</f>
        <v>GAB2008208</v>
      </c>
      <c r="F455" s="3">
        <v>44601</v>
      </c>
      <c r="G455">
        <v>202208</v>
      </c>
      <c r="H455" t="s">
        <v>75</v>
      </c>
      <c r="I455" t="s">
        <v>76</v>
      </c>
      <c r="J455" t="s">
        <v>77</v>
      </c>
      <c r="K455" t="s">
        <v>78</v>
      </c>
      <c r="L455" t="s">
        <v>225</v>
      </c>
      <c r="M455" t="s">
        <v>226</v>
      </c>
      <c r="N455" t="s">
        <v>1356</v>
      </c>
      <c r="O455" t="s">
        <v>125</v>
      </c>
      <c r="P455" t="str">
        <f>"006959                        "</f>
        <v xml:space="preserve">006959                        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0</v>
      </c>
      <c r="AD455">
        <v>0</v>
      </c>
      <c r="AE455">
        <v>0</v>
      </c>
      <c r="AF455">
        <v>0</v>
      </c>
      <c r="AG455">
        <v>0</v>
      </c>
      <c r="AH455">
        <v>0</v>
      </c>
      <c r="AI455">
        <v>0</v>
      </c>
      <c r="AJ455">
        <v>0</v>
      </c>
      <c r="AK455">
        <v>71.16</v>
      </c>
      <c r="AL455">
        <v>0</v>
      </c>
      <c r="AM455">
        <v>0</v>
      </c>
      <c r="AN455">
        <v>0</v>
      </c>
      <c r="AO455">
        <v>0</v>
      </c>
      <c r="AP455">
        <v>0</v>
      </c>
      <c r="AQ455">
        <v>0</v>
      </c>
      <c r="AR455">
        <v>0</v>
      </c>
      <c r="AS455">
        <v>0</v>
      </c>
      <c r="AT455">
        <v>0</v>
      </c>
      <c r="AU455">
        <v>0</v>
      </c>
      <c r="AV455">
        <v>0</v>
      </c>
      <c r="AW455">
        <v>0</v>
      </c>
      <c r="AX455">
        <v>0</v>
      </c>
      <c r="AY455">
        <v>0</v>
      </c>
      <c r="AZ455">
        <v>0</v>
      </c>
      <c r="BA455">
        <v>0</v>
      </c>
      <c r="BB455">
        <v>0</v>
      </c>
      <c r="BC455">
        <v>0</v>
      </c>
      <c r="BD455">
        <v>0</v>
      </c>
      <c r="BE455">
        <v>0</v>
      </c>
      <c r="BF455">
        <v>0</v>
      </c>
      <c r="BG455">
        <v>0</v>
      </c>
      <c r="BH455">
        <v>3</v>
      </c>
      <c r="BI455">
        <v>15.7</v>
      </c>
      <c r="BJ455">
        <v>43.8</v>
      </c>
      <c r="BK455">
        <v>44</v>
      </c>
      <c r="BL455">
        <v>261.24</v>
      </c>
      <c r="BM455">
        <v>39.19</v>
      </c>
      <c r="BN455">
        <v>300.43</v>
      </c>
      <c r="BO455">
        <v>300.43</v>
      </c>
      <c r="BQ455" t="s">
        <v>1281</v>
      </c>
      <c r="BR455" t="s">
        <v>82</v>
      </c>
      <c r="BS455" s="3">
        <v>44606</v>
      </c>
      <c r="BT455" s="4">
        <v>0.65555555555555556</v>
      </c>
      <c r="BU455" t="s">
        <v>1357</v>
      </c>
      <c r="BV455" t="s">
        <v>101</v>
      </c>
      <c r="BY455">
        <v>219208.22</v>
      </c>
      <c r="CA455" t="s">
        <v>1105</v>
      </c>
      <c r="CC455" t="s">
        <v>226</v>
      </c>
      <c r="CD455">
        <v>8301</v>
      </c>
      <c r="CE455" t="s">
        <v>130</v>
      </c>
      <c r="CF455" s="3">
        <v>44607</v>
      </c>
      <c r="CI455">
        <v>3</v>
      </c>
      <c r="CJ455">
        <v>3</v>
      </c>
      <c r="CK455">
        <v>41</v>
      </c>
      <c r="CL455" t="s">
        <v>84</v>
      </c>
    </row>
    <row r="456" spans="1:90" x14ac:dyDescent="0.25">
      <c r="A456" t="s">
        <v>72</v>
      </c>
      <c r="B456" t="s">
        <v>73</v>
      </c>
      <c r="C456" t="s">
        <v>74</v>
      </c>
      <c r="E456" t="str">
        <f>"GAB2008166"</f>
        <v>GAB2008166</v>
      </c>
      <c r="F456" s="3">
        <v>44601</v>
      </c>
      <c r="G456">
        <v>202208</v>
      </c>
      <c r="H456" t="s">
        <v>75</v>
      </c>
      <c r="I456" t="s">
        <v>76</v>
      </c>
      <c r="J456" t="s">
        <v>77</v>
      </c>
      <c r="K456" t="s">
        <v>78</v>
      </c>
      <c r="L456" t="s">
        <v>225</v>
      </c>
      <c r="M456" t="s">
        <v>226</v>
      </c>
      <c r="N456" t="s">
        <v>618</v>
      </c>
      <c r="O456" t="s">
        <v>80</v>
      </c>
      <c r="P456" t="str">
        <f>"CT071863                      "</f>
        <v xml:space="preserve">CT071863                      </v>
      </c>
      <c r="Q456">
        <v>0</v>
      </c>
      <c r="R456">
        <v>0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0</v>
      </c>
      <c r="AA456">
        <v>0</v>
      </c>
      <c r="AB456">
        <v>0</v>
      </c>
      <c r="AC456">
        <v>0</v>
      </c>
      <c r="AD456">
        <v>0</v>
      </c>
      <c r="AE456">
        <v>0</v>
      </c>
      <c r="AF456">
        <v>0</v>
      </c>
      <c r="AG456">
        <v>0</v>
      </c>
      <c r="AH456">
        <v>0</v>
      </c>
      <c r="AI456">
        <v>0</v>
      </c>
      <c r="AJ456">
        <v>0</v>
      </c>
      <c r="AK456">
        <v>16.760000000000002</v>
      </c>
      <c r="AL456">
        <v>0</v>
      </c>
      <c r="AM456">
        <v>0</v>
      </c>
      <c r="AN456">
        <v>0</v>
      </c>
      <c r="AO456">
        <v>0</v>
      </c>
      <c r="AP456">
        <v>0</v>
      </c>
      <c r="AQ456">
        <v>0</v>
      </c>
      <c r="AR456">
        <v>0</v>
      </c>
      <c r="AS456">
        <v>0</v>
      </c>
      <c r="AT456">
        <v>0</v>
      </c>
      <c r="AU456">
        <v>0</v>
      </c>
      <c r="AV456">
        <v>0</v>
      </c>
      <c r="AW456">
        <v>0</v>
      </c>
      <c r="AX456">
        <v>0</v>
      </c>
      <c r="AY456">
        <v>0</v>
      </c>
      <c r="AZ456">
        <v>0</v>
      </c>
      <c r="BA456">
        <v>0</v>
      </c>
      <c r="BB456">
        <v>0</v>
      </c>
      <c r="BC456">
        <v>0</v>
      </c>
      <c r="BD456">
        <v>0</v>
      </c>
      <c r="BE456">
        <v>0</v>
      </c>
      <c r="BF456">
        <v>0</v>
      </c>
      <c r="BG456">
        <v>0</v>
      </c>
      <c r="BH456">
        <v>1</v>
      </c>
      <c r="BI456">
        <v>0.3</v>
      </c>
      <c r="BJ456">
        <v>1.9</v>
      </c>
      <c r="BK456">
        <v>2</v>
      </c>
      <c r="BL456">
        <v>60.3</v>
      </c>
      <c r="BM456">
        <v>9.0500000000000007</v>
      </c>
      <c r="BN456">
        <v>69.349999999999994</v>
      </c>
      <c r="BO456">
        <v>69.349999999999994</v>
      </c>
      <c r="BQ456" t="s">
        <v>619</v>
      </c>
      <c r="BR456" t="s">
        <v>82</v>
      </c>
      <c r="BS456" s="3">
        <v>44603</v>
      </c>
      <c r="BT456" s="4">
        <v>0.63055555555555554</v>
      </c>
      <c r="BU456" t="s">
        <v>1358</v>
      </c>
      <c r="BV456" t="s">
        <v>84</v>
      </c>
      <c r="BW456" t="s">
        <v>964</v>
      </c>
      <c r="BX456" t="s">
        <v>1359</v>
      </c>
      <c r="BY456">
        <v>9517.5</v>
      </c>
      <c r="BZ456" t="s">
        <v>87</v>
      </c>
      <c r="CA456" t="s">
        <v>230</v>
      </c>
      <c r="CC456" t="s">
        <v>226</v>
      </c>
      <c r="CD456">
        <v>8301</v>
      </c>
      <c r="CE456" t="s">
        <v>108</v>
      </c>
      <c r="CF456" s="3">
        <v>44606</v>
      </c>
      <c r="CI456">
        <v>2</v>
      </c>
      <c r="CJ456">
        <v>2</v>
      </c>
      <c r="CK456">
        <v>21</v>
      </c>
      <c r="CL456" t="s">
        <v>84</v>
      </c>
    </row>
    <row r="457" spans="1:90" x14ac:dyDescent="0.25">
      <c r="A457" t="s">
        <v>72</v>
      </c>
      <c r="B457" t="s">
        <v>73</v>
      </c>
      <c r="C457" t="s">
        <v>74</v>
      </c>
      <c r="E457" t="str">
        <f>"GAB2008171"</f>
        <v>GAB2008171</v>
      </c>
      <c r="F457" s="3">
        <v>44601</v>
      </c>
      <c r="G457">
        <v>202208</v>
      </c>
      <c r="H457" t="s">
        <v>75</v>
      </c>
      <c r="I457" t="s">
        <v>76</v>
      </c>
      <c r="J457" t="s">
        <v>77</v>
      </c>
      <c r="K457" t="s">
        <v>78</v>
      </c>
      <c r="L457" t="s">
        <v>466</v>
      </c>
      <c r="M457" t="s">
        <v>467</v>
      </c>
      <c r="N457" t="s">
        <v>1360</v>
      </c>
      <c r="O457" t="s">
        <v>125</v>
      </c>
      <c r="P457" t="str">
        <f>"CT071837                      "</f>
        <v xml:space="preserve">CT071837                      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0</v>
      </c>
      <c r="AB457">
        <v>0</v>
      </c>
      <c r="AC457">
        <v>0</v>
      </c>
      <c r="AD457">
        <v>0</v>
      </c>
      <c r="AE457">
        <v>0</v>
      </c>
      <c r="AF457">
        <v>0</v>
      </c>
      <c r="AG457">
        <v>0</v>
      </c>
      <c r="AH457">
        <v>0</v>
      </c>
      <c r="AI457">
        <v>0</v>
      </c>
      <c r="AJ457">
        <v>0</v>
      </c>
      <c r="AK457">
        <v>45.72</v>
      </c>
      <c r="AL457">
        <v>0</v>
      </c>
      <c r="AM457">
        <v>0</v>
      </c>
      <c r="AN457">
        <v>0</v>
      </c>
      <c r="AO457">
        <v>0</v>
      </c>
      <c r="AP457">
        <v>0</v>
      </c>
      <c r="AQ457">
        <v>0</v>
      </c>
      <c r="AR457">
        <v>0</v>
      </c>
      <c r="AS457">
        <v>0</v>
      </c>
      <c r="AT457">
        <v>0</v>
      </c>
      <c r="AU457">
        <v>0</v>
      </c>
      <c r="AV457">
        <v>0</v>
      </c>
      <c r="AW457">
        <v>0</v>
      </c>
      <c r="AX457">
        <v>0</v>
      </c>
      <c r="AY457">
        <v>0</v>
      </c>
      <c r="AZ457">
        <v>0</v>
      </c>
      <c r="BA457">
        <v>0</v>
      </c>
      <c r="BB457">
        <v>0</v>
      </c>
      <c r="BC457">
        <v>0</v>
      </c>
      <c r="BD457">
        <v>0</v>
      </c>
      <c r="BE457">
        <v>0</v>
      </c>
      <c r="BF457">
        <v>0</v>
      </c>
      <c r="BG457">
        <v>0</v>
      </c>
      <c r="BH457">
        <v>1</v>
      </c>
      <c r="BI457">
        <v>4.5</v>
      </c>
      <c r="BJ457">
        <v>13.1</v>
      </c>
      <c r="BK457">
        <v>14</v>
      </c>
      <c r="BL457">
        <v>169.72</v>
      </c>
      <c r="BM457">
        <v>25.46</v>
      </c>
      <c r="BN457">
        <v>195.18</v>
      </c>
      <c r="BO457">
        <v>195.18</v>
      </c>
      <c r="BQ457" t="s">
        <v>469</v>
      </c>
      <c r="BR457" t="s">
        <v>82</v>
      </c>
      <c r="BS457" s="3">
        <v>44606</v>
      </c>
      <c r="BT457" s="4">
        <v>0.4861111111111111</v>
      </c>
      <c r="BU457" t="s">
        <v>1361</v>
      </c>
      <c r="BV457" t="s">
        <v>101</v>
      </c>
      <c r="BY457">
        <v>65473.98</v>
      </c>
      <c r="CA457" t="s">
        <v>471</v>
      </c>
      <c r="CC457" t="s">
        <v>467</v>
      </c>
      <c r="CD457">
        <v>3900</v>
      </c>
      <c r="CE457" t="s">
        <v>130</v>
      </c>
      <c r="CF457" s="3">
        <v>44607</v>
      </c>
      <c r="CI457">
        <v>3</v>
      </c>
      <c r="CJ457">
        <v>3</v>
      </c>
      <c r="CK457">
        <v>43</v>
      </c>
      <c r="CL457" t="s">
        <v>84</v>
      </c>
    </row>
    <row r="458" spans="1:90" x14ac:dyDescent="0.25">
      <c r="A458" t="s">
        <v>72</v>
      </c>
      <c r="B458" t="s">
        <v>73</v>
      </c>
      <c r="C458" t="s">
        <v>74</v>
      </c>
      <c r="E458" t="str">
        <f>"GAB2008164"</f>
        <v>GAB2008164</v>
      </c>
      <c r="F458" s="3">
        <v>44601</v>
      </c>
      <c r="G458">
        <v>202208</v>
      </c>
      <c r="H458" t="s">
        <v>75</v>
      </c>
      <c r="I458" t="s">
        <v>76</v>
      </c>
      <c r="J458" t="s">
        <v>77</v>
      </c>
      <c r="K458" t="s">
        <v>78</v>
      </c>
      <c r="L458" t="s">
        <v>159</v>
      </c>
      <c r="M458" t="s">
        <v>160</v>
      </c>
      <c r="N458" t="s">
        <v>419</v>
      </c>
      <c r="O458" t="s">
        <v>80</v>
      </c>
      <c r="P458" t="str">
        <f>"CT071859                      "</f>
        <v xml:space="preserve">CT071859                      </v>
      </c>
      <c r="Q458">
        <v>0</v>
      </c>
      <c r="R458">
        <v>0</v>
      </c>
      <c r="S458">
        <v>0</v>
      </c>
      <c r="T458">
        <v>0</v>
      </c>
      <c r="U458">
        <v>0</v>
      </c>
      <c r="V458">
        <v>0</v>
      </c>
      <c r="W458">
        <v>0</v>
      </c>
      <c r="X458">
        <v>0</v>
      </c>
      <c r="Y458">
        <v>0</v>
      </c>
      <c r="Z458">
        <v>0</v>
      </c>
      <c r="AA458">
        <v>0</v>
      </c>
      <c r="AB458">
        <v>0</v>
      </c>
      <c r="AC458">
        <v>0</v>
      </c>
      <c r="AD458">
        <v>0</v>
      </c>
      <c r="AE458">
        <v>0</v>
      </c>
      <c r="AF458">
        <v>0</v>
      </c>
      <c r="AG458">
        <v>0</v>
      </c>
      <c r="AH458">
        <v>0</v>
      </c>
      <c r="AI458">
        <v>0</v>
      </c>
      <c r="AJ458">
        <v>0</v>
      </c>
      <c r="AK458">
        <v>32.479999999999997</v>
      </c>
      <c r="AL458">
        <v>0</v>
      </c>
      <c r="AM458">
        <v>0</v>
      </c>
      <c r="AN458">
        <v>0</v>
      </c>
      <c r="AO458">
        <v>0</v>
      </c>
      <c r="AP458">
        <v>0</v>
      </c>
      <c r="AQ458">
        <v>0</v>
      </c>
      <c r="AR458">
        <v>0</v>
      </c>
      <c r="AS458">
        <v>0</v>
      </c>
      <c r="AT458">
        <v>0</v>
      </c>
      <c r="AU458">
        <v>0</v>
      </c>
      <c r="AV458">
        <v>0</v>
      </c>
      <c r="AW458">
        <v>0</v>
      </c>
      <c r="AX458">
        <v>0</v>
      </c>
      <c r="AY458">
        <v>0</v>
      </c>
      <c r="AZ458">
        <v>0</v>
      </c>
      <c r="BA458">
        <v>0</v>
      </c>
      <c r="BB458">
        <v>0</v>
      </c>
      <c r="BC458">
        <v>0</v>
      </c>
      <c r="BD458">
        <v>0</v>
      </c>
      <c r="BE458">
        <v>0</v>
      </c>
      <c r="BF458">
        <v>0</v>
      </c>
      <c r="BG458">
        <v>0</v>
      </c>
      <c r="BH458">
        <v>1</v>
      </c>
      <c r="BI458">
        <v>0.2</v>
      </c>
      <c r="BJ458">
        <v>1.8</v>
      </c>
      <c r="BK458">
        <v>2</v>
      </c>
      <c r="BL458">
        <v>116.84</v>
      </c>
      <c r="BM458">
        <v>17.53</v>
      </c>
      <c r="BN458">
        <v>134.37</v>
      </c>
      <c r="BO458">
        <v>134.37</v>
      </c>
      <c r="BQ458" t="s">
        <v>420</v>
      </c>
      <c r="BR458" t="s">
        <v>82</v>
      </c>
      <c r="BS458" s="3">
        <v>44602</v>
      </c>
      <c r="BT458" s="4">
        <v>0.42986111111111108</v>
      </c>
      <c r="BU458" t="s">
        <v>1072</v>
      </c>
      <c r="BV458" t="s">
        <v>101</v>
      </c>
      <c r="BY458">
        <v>9109.6200000000008</v>
      </c>
      <c r="BZ458" t="s">
        <v>87</v>
      </c>
      <c r="CA458" t="s">
        <v>164</v>
      </c>
      <c r="CC458" t="s">
        <v>160</v>
      </c>
      <c r="CD458">
        <v>9459</v>
      </c>
      <c r="CE458" t="s">
        <v>1362</v>
      </c>
      <c r="CF458" s="3">
        <v>44602</v>
      </c>
      <c r="CI458">
        <v>1</v>
      </c>
      <c r="CJ458">
        <v>1</v>
      </c>
      <c r="CK458">
        <v>23</v>
      </c>
      <c r="CL458" t="s">
        <v>84</v>
      </c>
    </row>
    <row r="459" spans="1:90" x14ac:dyDescent="0.25">
      <c r="A459" t="s">
        <v>72</v>
      </c>
      <c r="B459" t="s">
        <v>73</v>
      </c>
      <c r="C459" t="s">
        <v>74</v>
      </c>
      <c r="E459" t="str">
        <f>"GAB2008168"</f>
        <v>GAB2008168</v>
      </c>
      <c r="F459" s="3">
        <v>44601</v>
      </c>
      <c r="G459">
        <v>202208</v>
      </c>
      <c r="H459" t="s">
        <v>75</v>
      </c>
      <c r="I459" t="s">
        <v>76</v>
      </c>
      <c r="J459" t="s">
        <v>77</v>
      </c>
      <c r="K459" t="s">
        <v>78</v>
      </c>
      <c r="L459" t="s">
        <v>176</v>
      </c>
      <c r="M459" t="s">
        <v>177</v>
      </c>
      <c r="N459" t="s">
        <v>261</v>
      </c>
      <c r="O459" t="s">
        <v>125</v>
      </c>
      <c r="P459" t="str">
        <f>"CT071855                      "</f>
        <v xml:space="preserve">CT071855                      </v>
      </c>
      <c r="Q459">
        <v>0</v>
      </c>
      <c r="R459">
        <v>0</v>
      </c>
      <c r="S459">
        <v>0</v>
      </c>
      <c r="T459">
        <v>0</v>
      </c>
      <c r="U459">
        <v>0</v>
      </c>
      <c r="V459">
        <v>0</v>
      </c>
      <c r="W459">
        <v>0</v>
      </c>
      <c r="X459">
        <v>0</v>
      </c>
      <c r="Y459">
        <v>0</v>
      </c>
      <c r="Z459">
        <v>0</v>
      </c>
      <c r="AA459">
        <v>0</v>
      </c>
      <c r="AB459">
        <v>0</v>
      </c>
      <c r="AC459">
        <v>0</v>
      </c>
      <c r="AD459">
        <v>0</v>
      </c>
      <c r="AE459">
        <v>0</v>
      </c>
      <c r="AF459">
        <v>0</v>
      </c>
      <c r="AG459">
        <v>0</v>
      </c>
      <c r="AH459">
        <v>0</v>
      </c>
      <c r="AI459">
        <v>0</v>
      </c>
      <c r="AJ459">
        <v>0</v>
      </c>
      <c r="AK459">
        <v>32.42</v>
      </c>
      <c r="AL459">
        <v>0</v>
      </c>
      <c r="AM459">
        <v>0</v>
      </c>
      <c r="AN459">
        <v>0</v>
      </c>
      <c r="AO459">
        <v>0</v>
      </c>
      <c r="AP459">
        <v>0</v>
      </c>
      <c r="AQ459">
        <v>0</v>
      </c>
      <c r="AR459">
        <v>0</v>
      </c>
      <c r="AS459">
        <v>0</v>
      </c>
      <c r="AT459">
        <v>0</v>
      </c>
      <c r="AU459">
        <v>0</v>
      </c>
      <c r="AV459">
        <v>0</v>
      </c>
      <c r="AW459">
        <v>0</v>
      </c>
      <c r="AX459">
        <v>0</v>
      </c>
      <c r="AY459">
        <v>0</v>
      </c>
      <c r="AZ459">
        <v>0</v>
      </c>
      <c r="BA459">
        <v>0</v>
      </c>
      <c r="BB459">
        <v>0</v>
      </c>
      <c r="BC459">
        <v>0</v>
      </c>
      <c r="BD459">
        <v>0</v>
      </c>
      <c r="BE459">
        <v>0</v>
      </c>
      <c r="BF459">
        <v>0</v>
      </c>
      <c r="BG459">
        <v>0</v>
      </c>
      <c r="BH459">
        <v>1</v>
      </c>
      <c r="BI459">
        <v>0.2</v>
      </c>
      <c r="BJ459">
        <v>4.9000000000000004</v>
      </c>
      <c r="BK459">
        <v>5</v>
      </c>
      <c r="BL459">
        <v>121.87</v>
      </c>
      <c r="BM459">
        <v>18.28</v>
      </c>
      <c r="BN459">
        <v>140.15</v>
      </c>
      <c r="BO459">
        <v>140.15</v>
      </c>
      <c r="BQ459" t="s">
        <v>262</v>
      </c>
      <c r="BR459" t="s">
        <v>82</v>
      </c>
      <c r="BS459" s="3">
        <v>44603</v>
      </c>
      <c r="BT459" s="4">
        <v>0.52430555555555558</v>
      </c>
      <c r="BU459" t="s">
        <v>1363</v>
      </c>
      <c r="BV459" t="s">
        <v>101</v>
      </c>
      <c r="BY459">
        <v>24696.15</v>
      </c>
      <c r="CA459" t="s">
        <v>264</v>
      </c>
      <c r="CC459" t="s">
        <v>177</v>
      </c>
      <c r="CD459">
        <v>3610</v>
      </c>
      <c r="CE459" t="s">
        <v>130</v>
      </c>
      <c r="CF459" s="3">
        <v>44603</v>
      </c>
      <c r="CI459">
        <v>3</v>
      </c>
      <c r="CJ459">
        <v>2</v>
      </c>
      <c r="CK459">
        <v>41</v>
      </c>
      <c r="CL459" t="s">
        <v>84</v>
      </c>
    </row>
    <row r="460" spans="1:90" x14ac:dyDescent="0.25">
      <c r="A460" t="s">
        <v>72</v>
      </c>
      <c r="B460" t="s">
        <v>73</v>
      </c>
      <c r="C460" t="s">
        <v>74</v>
      </c>
      <c r="E460" t="str">
        <f>"GAB2008204"</f>
        <v>GAB2008204</v>
      </c>
      <c r="F460" s="3">
        <v>44601</v>
      </c>
      <c r="G460">
        <v>202208</v>
      </c>
      <c r="H460" t="s">
        <v>75</v>
      </c>
      <c r="I460" t="s">
        <v>76</v>
      </c>
      <c r="J460" t="s">
        <v>77</v>
      </c>
      <c r="K460" t="s">
        <v>78</v>
      </c>
      <c r="L460" t="s">
        <v>246</v>
      </c>
      <c r="M460" t="s">
        <v>247</v>
      </c>
      <c r="N460" t="s">
        <v>248</v>
      </c>
      <c r="O460" t="s">
        <v>80</v>
      </c>
      <c r="P460" t="str">
        <f>"CT071889                      "</f>
        <v xml:space="preserve">CT071889                      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0</v>
      </c>
      <c r="X460">
        <v>0</v>
      </c>
      <c r="Y460">
        <v>0</v>
      </c>
      <c r="Z460">
        <v>0</v>
      </c>
      <c r="AA460">
        <v>0</v>
      </c>
      <c r="AB460">
        <v>0</v>
      </c>
      <c r="AC460">
        <v>0</v>
      </c>
      <c r="AD460">
        <v>0</v>
      </c>
      <c r="AE460">
        <v>0</v>
      </c>
      <c r="AF460">
        <v>0</v>
      </c>
      <c r="AG460">
        <v>0</v>
      </c>
      <c r="AH460">
        <v>0</v>
      </c>
      <c r="AI460">
        <v>0</v>
      </c>
      <c r="AJ460">
        <v>0</v>
      </c>
      <c r="AK460">
        <v>23.58</v>
      </c>
      <c r="AL460">
        <v>0</v>
      </c>
      <c r="AM460">
        <v>0</v>
      </c>
      <c r="AN460">
        <v>0</v>
      </c>
      <c r="AO460">
        <v>0</v>
      </c>
      <c r="AP460">
        <v>0</v>
      </c>
      <c r="AQ460">
        <v>0</v>
      </c>
      <c r="AR460">
        <v>0</v>
      </c>
      <c r="AS460">
        <v>0</v>
      </c>
      <c r="AT460">
        <v>0</v>
      </c>
      <c r="AU460">
        <v>0</v>
      </c>
      <c r="AV460">
        <v>0</v>
      </c>
      <c r="AW460">
        <v>0</v>
      </c>
      <c r="AX460">
        <v>0</v>
      </c>
      <c r="AY460">
        <v>0</v>
      </c>
      <c r="AZ460">
        <v>0</v>
      </c>
      <c r="BA460">
        <v>0</v>
      </c>
      <c r="BB460">
        <v>0</v>
      </c>
      <c r="BC460">
        <v>0</v>
      </c>
      <c r="BD460">
        <v>0</v>
      </c>
      <c r="BE460">
        <v>0</v>
      </c>
      <c r="BF460">
        <v>0</v>
      </c>
      <c r="BG460">
        <v>0</v>
      </c>
      <c r="BH460">
        <v>1</v>
      </c>
      <c r="BI460">
        <v>0.2</v>
      </c>
      <c r="BJ460">
        <v>1.7</v>
      </c>
      <c r="BK460">
        <v>2</v>
      </c>
      <c r="BL460">
        <v>84.82</v>
      </c>
      <c r="BM460">
        <v>12.72</v>
      </c>
      <c r="BN460">
        <v>97.54</v>
      </c>
      <c r="BO460">
        <v>97.54</v>
      </c>
      <c r="BQ460" t="s">
        <v>249</v>
      </c>
      <c r="BR460" t="s">
        <v>82</v>
      </c>
      <c r="BS460" s="3">
        <v>44602</v>
      </c>
      <c r="BT460" s="4">
        <v>0.54375000000000007</v>
      </c>
      <c r="BU460" t="s">
        <v>1364</v>
      </c>
      <c r="BV460" t="s">
        <v>84</v>
      </c>
      <c r="BW460" t="s">
        <v>85</v>
      </c>
      <c r="BX460" t="s">
        <v>86</v>
      </c>
      <c r="BY460">
        <v>8598.6299999999992</v>
      </c>
      <c r="BZ460" t="s">
        <v>87</v>
      </c>
      <c r="CA460" t="s">
        <v>251</v>
      </c>
      <c r="CC460" t="s">
        <v>247</v>
      </c>
      <c r="CD460">
        <v>7130</v>
      </c>
      <c r="CE460" t="s">
        <v>97</v>
      </c>
      <c r="CF460" s="3">
        <v>44603</v>
      </c>
      <c r="CI460">
        <v>1</v>
      </c>
      <c r="CJ460">
        <v>1</v>
      </c>
      <c r="CK460">
        <v>24</v>
      </c>
      <c r="CL460" t="s">
        <v>84</v>
      </c>
    </row>
    <row r="461" spans="1:90" x14ac:dyDescent="0.25">
      <c r="A461" t="s">
        <v>72</v>
      </c>
      <c r="B461" t="s">
        <v>73</v>
      </c>
      <c r="C461" t="s">
        <v>74</v>
      </c>
      <c r="E461" t="str">
        <f>"GAB2008165"</f>
        <v>GAB2008165</v>
      </c>
      <c r="F461" s="3">
        <v>44601</v>
      </c>
      <c r="G461">
        <v>202208</v>
      </c>
      <c r="H461" t="s">
        <v>75</v>
      </c>
      <c r="I461" t="s">
        <v>76</v>
      </c>
      <c r="J461" t="s">
        <v>77</v>
      </c>
      <c r="K461" t="s">
        <v>78</v>
      </c>
      <c r="L461" t="s">
        <v>1185</v>
      </c>
      <c r="M461" t="s">
        <v>1186</v>
      </c>
      <c r="N461" t="s">
        <v>1365</v>
      </c>
      <c r="O461" t="s">
        <v>125</v>
      </c>
      <c r="P461" t="str">
        <f>"CT071860                      "</f>
        <v xml:space="preserve">CT071860                      </v>
      </c>
      <c r="Q461">
        <v>0</v>
      </c>
      <c r="R461">
        <v>0</v>
      </c>
      <c r="S461">
        <v>0</v>
      </c>
      <c r="T461">
        <v>0</v>
      </c>
      <c r="U461">
        <v>0</v>
      </c>
      <c r="V461">
        <v>0</v>
      </c>
      <c r="W461">
        <v>0</v>
      </c>
      <c r="X461">
        <v>0</v>
      </c>
      <c r="Y461">
        <v>0</v>
      </c>
      <c r="Z461">
        <v>0</v>
      </c>
      <c r="AA461">
        <v>0</v>
      </c>
      <c r="AB461">
        <v>0</v>
      </c>
      <c r="AC461">
        <v>0</v>
      </c>
      <c r="AD461">
        <v>0</v>
      </c>
      <c r="AE461">
        <v>0</v>
      </c>
      <c r="AF461">
        <v>0</v>
      </c>
      <c r="AG461">
        <v>0</v>
      </c>
      <c r="AH461">
        <v>0</v>
      </c>
      <c r="AI461">
        <v>0</v>
      </c>
      <c r="AJ461">
        <v>0</v>
      </c>
      <c r="AK461">
        <v>45.72</v>
      </c>
      <c r="AL461">
        <v>0</v>
      </c>
      <c r="AM461">
        <v>0</v>
      </c>
      <c r="AN461">
        <v>0</v>
      </c>
      <c r="AO461">
        <v>0</v>
      </c>
      <c r="AP461">
        <v>0</v>
      </c>
      <c r="AQ461">
        <v>0</v>
      </c>
      <c r="AR461">
        <v>0</v>
      </c>
      <c r="AS461">
        <v>0</v>
      </c>
      <c r="AT461">
        <v>0</v>
      </c>
      <c r="AU461">
        <v>0</v>
      </c>
      <c r="AV461">
        <v>0</v>
      </c>
      <c r="AW461">
        <v>0</v>
      </c>
      <c r="AX461">
        <v>0</v>
      </c>
      <c r="AY461">
        <v>0</v>
      </c>
      <c r="AZ461">
        <v>0</v>
      </c>
      <c r="BA461">
        <v>0</v>
      </c>
      <c r="BB461">
        <v>0</v>
      </c>
      <c r="BC461">
        <v>0</v>
      </c>
      <c r="BD461">
        <v>0</v>
      </c>
      <c r="BE461">
        <v>0</v>
      </c>
      <c r="BF461">
        <v>0</v>
      </c>
      <c r="BG461">
        <v>0</v>
      </c>
      <c r="BH461">
        <v>1</v>
      </c>
      <c r="BI461">
        <v>0.2</v>
      </c>
      <c r="BJ461">
        <v>2.6</v>
      </c>
      <c r="BK461">
        <v>3</v>
      </c>
      <c r="BL461">
        <v>169.72</v>
      </c>
      <c r="BM461">
        <v>25.46</v>
      </c>
      <c r="BN461">
        <v>195.18</v>
      </c>
      <c r="BO461">
        <v>195.18</v>
      </c>
      <c r="BQ461" t="s">
        <v>1366</v>
      </c>
      <c r="BR461" t="s">
        <v>82</v>
      </c>
      <c r="BS461" s="3">
        <v>44603</v>
      </c>
      <c r="BT461" s="4">
        <v>0.5131944444444444</v>
      </c>
      <c r="BU461" t="s">
        <v>1367</v>
      </c>
      <c r="BV461" t="s">
        <v>101</v>
      </c>
      <c r="BY461">
        <v>13071.24</v>
      </c>
      <c r="CA461" t="s">
        <v>1368</v>
      </c>
      <c r="CC461" t="s">
        <v>1186</v>
      </c>
      <c r="CD461">
        <v>850</v>
      </c>
      <c r="CE461" t="s">
        <v>130</v>
      </c>
      <c r="CF461" s="3">
        <v>44603</v>
      </c>
      <c r="CI461">
        <v>2</v>
      </c>
      <c r="CJ461">
        <v>2</v>
      </c>
      <c r="CK461">
        <v>43</v>
      </c>
      <c r="CL461" t="s">
        <v>84</v>
      </c>
    </row>
    <row r="462" spans="1:90" x14ac:dyDescent="0.25">
      <c r="A462" t="s">
        <v>72</v>
      </c>
      <c r="B462" t="s">
        <v>73</v>
      </c>
      <c r="C462" t="s">
        <v>74</v>
      </c>
      <c r="E462" t="str">
        <f>"GAB2008207"</f>
        <v>GAB2008207</v>
      </c>
      <c r="F462" s="3">
        <v>44601</v>
      </c>
      <c r="G462">
        <v>202208</v>
      </c>
      <c r="H462" t="s">
        <v>75</v>
      </c>
      <c r="I462" t="s">
        <v>76</v>
      </c>
      <c r="J462" t="s">
        <v>77</v>
      </c>
      <c r="K462" t="s">
        <v>78</v>
      </c>
      <c r="L462" t="s">
        <v>210</v>
      </c>
      <c r="M462" t="s">
        <v>211</v>
      </c>
      <c r="N462" t="s">
        <v>212</v>
      </c>
      <c r="O462" t="s">
        <v>80</v>
      </c>
      <c r="P462" t="str">
        <f>"006739                        "</f>
        <v xml:space="preserve">006739                        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0</v>
      </c>
      <c r="AB462">
        <v>0</v>
      </c>
      <c r="AC462">
        <v>0</v>
      </c>
      <c r="AD462">
        <v>0</v>
      </c>
      <c r="AE462">
        <v>0</v>
      </c>
      <c r="AF462">
        <v>0</v>
      </c>
      <c r="AG462">
        <v>0</v>
      </c>
      <c r="AH462">
        <v>0</v>
      </c>
      <c r="AI462">
        <v>0</v>
      </c>
      <c r="AJ462">
        <v>0</v>
      </c>
      <c r="AK462">
        <v>40.799999999999997</v>
      </c>
      <c r="AL462">
        <v>0</v>
      </c>
      <c r="AM462">
        <v>0</v>
      </c>
      <c r="AN462">
        <v>0</v>
      </c>
      <c r="AO462">
        <v>0</v>
      </c>
      <c r="AP462">
        <v>0</v>
      </c>
      <c r="AQ462">
        <v>0</v>
      </c>
      <c r="AR462">
        <v>0</v>
      </c>
      <c r="AS462">
        <v>0</v>
      </c>
      <c r="AT462">
        <v>0</v>
      </c>
      <c r="AU462">
        <v>0</v>
      </c>
      <c r="AV462">
        <v>0</v>
      </c>
      <c r="AW462">
        <v>0</v>
      </c>
      <c r="AX462">
        <v>0</v>
      </c>
      <c r="AY462">
        <v>0</v>
      </c>
      <c r="AZ462">
        <v>0</v>
      </c>
      <c r="BA462">
        <v>0</v>
      </c>
      <c r="BB462">
        <v>0</v>
      </c>
      <c r="BC462">
        <v>0</v>
      </c>
      <c r="BD462">
        <v>0</v>
      </c>
      <c r="BE462">
        <v>0</v>
      </c>
      <c r="BF462">
        <v>0</v>
      </c>
      <c r="BG462">
        <v>0</v>
      </c>
      <c r="BH462">
        <v>1</v>
      </c>
      <c r="BI462">
        <v>0.2</v>
      </c>
      <c r="BJ462">
        <v>3.1</v>
      </c>
      <c r="BK462">
        <v>3.5</v>
      </c>
      <c r="BL462">
        <v>146.77000000000001</v>
      </c>
      <c r="BM462">
        <v>22.02</v>
      </c>
      <c r="BN462">
        <v>168.79</v>
      </c>
      <c r="BO462">
        <v>168.79</v>
      </c>
      <c r="BQ462" t="s">
        <v>693</v>
      </c>
      <c r="BR462" t="s">
        <v>82</v>
      </c>
      <c r="BS462" s="3">
        <v>44602</v>
      </c>
      <c r="BT462" s="4">
        <v>0.70833333333333337</v>
      </c>
      <c r="BU462" t="s">
        <v>1369</v>
      </c>
      <c r="BV462" t="s">
        <v>101</v>
      </c>
      <c r="BY462">
        <v>15273.73</v>
      </c>
      <c r="BZ462" t="s">
        <v>87</v>
      </c>
      <c r="CA462" t="s">
        <v>215</v>
      </c>
      <c r="CC462" t="s">
        <v>211</v>
      </c>
      <c r="CD462">
        <v>7380</v>
      </c>
      <c r="CE462" t="s">
        <v>97</v>
      </c>
      <c r="CF462" s="3">
        <v>44603</v>
      </c>
      <c r="CI462">
        <v>5</v>
      </c>
      <c r="CJ462">
        <v>1</v>
      </c>
      <c r="CK462">
        <v>24</v>
      </c>
      <c r="CL462" t="s">
        <v>84</v>
      </c>
    </row>
    <row r="463" spans="1:90" x14ac:dyDescent="0.25">
      <c r="A463" t="s">
        <v>72</v>
      </c>
      <c r="B463" t="s">
        <v>73</v>
      </c>
      <c r="C463" t="s">
        <v>74</v>
      </c>
      <c r="E463" t="str">
        <f>"GAB2008163"</f>
        <v>GAB2008163</v>
      </c>
      <c r="F463" s="3">
        <v>44601</v>
      </c>
      <c r="G463">
        <v>202208</v>
      </c>
      <c r="H463" t="s">
        <v>75</v>
      </c>
      <c r="I463" t="s">
        <v>76</v>
      </c>
      <c r="J463" t="s">
        <v>77</v>
      </c>
      <c r="K463" t="s">
        <v>78</v>
      </c>
      <c r="L463" t="s">
        <v>123</v>
      </c>
      <c r="M463" t="s">
        <v>124</v>
      </c>
      <c r="N463" t="s">
        <v>1370</v>
      </c>
      <c r="O463" t="s">
        <v>125</v>
      </c>
      <c r="P463" t="str">
        <f>"CT071856                      "</f>
        <v xml:space="preserve">CT071856                      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0</v>
      </c>
      <c r="Y463">
        <v>0</v>
      </c>
      <c r="Z463">
        <v>0</v>
      </c>
      <c r="AA463">
        <v>0</v>
      </c>
      <c r="AB463">
        <v>0</v>
      </c>
      <c r="AC463">
        <v>0</v>
      </c>
      <c r="AD463">
        <v>0</v>
      </c>
      <c r="AE463">
        <v>0</v>
      </c>
      <c r="AF463">
        <v>0</v>
      </c>
      <c r="AG463">
        <v>0</v>
      </c>
      <c r="AH463">
        <v>0</v>
      </c>
      <c r="AI463">
        <v>0</v>
      </c>
      <c r="AJ463">
        <v>0</v>
      </c>
      <c r="AK463">
        <v>35.090000000000003</v>
      </c>
      <c r="AL463">
        <v>0</v>
      </c>
      <c r="AM463">
        <v>0</v>
      </c>
      <c r="AN463">
        <v>0</v>
      </c>
      <c r="AO463">
        <v>0</v>
      </c>
      <c r="AP463">
        <v>0</v>
      </c>
      <c r="AQ463">
        <v>0</v>
      </c>
      <c r="AR463">
        <v>0</v>
      </c>
      <c r="AS463">
        <v>0</v>
      </c>
      <c r="AT463">
        <v>0</v>
      </c>
      <c r="AU463">
        <v>0</v>
      </c>
      <c r="AV463">
        <v>0</v>
      </c>
      <c r="AW463">
        <v>0</v>
      </c>
      <c r="AX463">
        <v>0</v>
      </c>
      <c r="AY463">
        <v>0</v>
      </c>
      <c r="AZ463">
        <v>0</v>
      </c>
      <c r="BA463">
        <v>0</v>
      </c>
      <c r="BB463">
        <v>0</v>
      </c>
      <c r="BC463">
        <v>0</v>
      </c>
      <c r="BD463">
        <v>0</v>
      </c>
      <c r="BE463">
        <v>0</v>
      </c>
      <c r="BF463">
        <v>0</v>
      </c>
      <c r="BG463">
        <v>0</v>
      </c>
      <c r="BH463">
        <v>2</v>
      </c>
      <c r="BI463">
        <v>7.3</v>
      </c>
      <c r="BJ463">
        <v>16.100000000000001</v>
      </c>
      <c r="BK463">
        <v>17</v>
      </c>
      <c r="BL463">
        <v>131.47999999999999</v>
      </c>
      <c r="BM463">
        <v>19.72</v>
      </c>
      <c r="BN463">
        <v>151.19999999999999</v>
      </c>
      <c r="BO463">
        <v>151.19999999999999</v>
      </c>
      <c r="BQ463" t="s">
        <v>499</v>
      </c>
      <c r="BR463" t="s">
        <v>82</v>
      </c>
      <c r="BS463" s="3">
        <v>44603</v>
      </c>
      <c r="BT463" s="4">
        <v>0.35347222222222219</v>
      </c>
      <c r="BU463" t="s">
        <v>1371</v>
      </c>
      <c r="BV463" t="s">
        <v>101</v>
      </c>
      <c r="BY463">
        <v>80733.42</v>
      </c>
      <c r="CA463" t="s">
        <v>1372</v>
      </c>
      <c r="CC463" t="s">
        <v>124</v>
      </c>
      <c r="CD463">
        <v>6001</v>
      </c>
      <c r="CE463" t="s">
        <v>130</v>
      </c>
      <c r="CF463" s="3">
        <v>44603</v>
      </c>
      <c r="CI463">
        <v>2</v>
      </c>
      <c r="CJ463">
        <v>2</v>
      </c>
      <c r="CK463">
        <v>41</v>
      </c>
      <c r="CL463" t="s">
        <v>84</v>
      </c>
    </row>
    <row r="464" spans="1:90" x14ac:dyDescent="0.25">
      <c r="A464" t="s">
        <v>72</v>
      </c>
      <c r="B464" t="s">
        <v>73</v>
      </c>
      <c r="C464" t="s">
        <v>74</v>
      </c>
      <c r="E464" t="str">
        <f>"GAB2008162"</f>
        <v>GAB2008162</v>
      </c>
      <c r="F464" s="3">
        <v>44601</v>
      </c>
      <c r="G464">
        <v>202208</v>
      </c>
      <c r="H464" t="s">
        <v>75</v>
      </c>
      <c r="I464" t="s">
        <v>76</v>
      </c>
      <c r="J464" t="s">
        <v>77</v>
      </c>
      <c r="K464" t="s">
        <v>78</v>
      </c>
      <c r="L464" t="s">
        <v>384</v>
      </c>
      <c r="M464" t="s">
        <v>385</v>
      </c>
      <c r="N464" t="s">
        <v>386</v>
      </c>
      <c r="O464" t="s">
        <v>80</v>
      </c>
      <c r="P464" t="str">
        <f>"CT071861                      "</f>
        <v xml:space="preserve">CT071861                      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0</v>
      </c>
      <c r="AA464">
        <v>0</v>
      </c>
      <c r="AB464">
        <v>0</v>
      </c>
      <c r="AC464">
        <v>0</v>
      </c>
      <c r="AD464">
        <v>0</v>
      </c>
      <c r="AE464">
        <v>0</v>
      </c>
      <c r="AF464">
        <v>0</v>
      </c>
      <c r="AG464">
        <v>0</v>
      </c>
      <c r="AH464">
        <v>0</v>
      </c>
      <c r="AI464">
        <v>0</v>
      </c>
      <c r="AJ464">
        <v>0</v>
      </c>
      <c r="AK464">
        <v>20.95</v>
      </c>
      <c r="AL464">
        <v>0</v>
      </c>
      <c r="AM464">
        <v>0</v>
      </c>
      <c r="AN464">
        <v>0</v>
      </c>
      <c r="AO464">
        <v>0</v>
      </c>
      <c r="AP464">
        <v>0</v>
      </c>
      <c r="AQ464">
        <v>0</v>
      </c>
      <c r="AR464">
        <v>0</v>
      </c>
      <c r="AS464">
        <v>0</v>
      </c>
      <c r="AT464">
        <v>0</v>
      </c>
      <c r="AU464">
        <v>0</v>
      </c>
      <c r="AV464">
        <v>0</v>
      </c>
      <c r="AW464">
        <v>0</v>
      </c>
      <c r="AX464">
        <v>0</v>
      </c>
      <c r="AY464">
        <v>0</v>
      </c>
      <c r="AZ464">
        <v>0</v>
      </c>
      <c r="BA464">
        <v>0</v>
      </c>
      <c r="BB464">
        <v>0</v>
      </c>
      <c r="BC464">
        <v>0</v>
      </c>
      <c r="BD464">
        <v>0</v>
      </c>
      <c r="BE464">
        <v>0</v>
      </c>
      <c r="BF464">
        <v>0</v>
      </c>
      <c r="BG464">
        <v>0</v>
      </c>
      <c r="BH464">
        <v>1</v>
      </c>
      <c r="BI464">
        <v>0.1</v>
      </c>
      <c r="BJ464">
        <v>2.2999999999999998</v>
      </c>
      <c r="BK464">
        <v>2.5</v>
      </c>
      <c r="BL464">
        <v>75.37</v>
      </c>
      <c r="BM464">
        <v>11.31</v>
      </c>
      <c r="BN464">
        <v>86.68</v>
      </c>
      <c r="BO464">
        <v>86.68</v>
      </c>
      <c r="BQ464" t="s">
        <v>387</v>
      </c>
      <c r="BR464" t="s">
        <v>82</v>
      </c>
      <c r="BS464" s="3">
        <v>44602</v>
      </c>
      <c r="BT464" s="4">
        <v>0.3888888888888889</v>
      </c>
      <c r="BU464" t="s">
        <v>388</v>
      </c>
      <c r="BV464" t="s">
        <v>101</v>
      </c>
      <c r="BY464">
        <v>11414.48</v>
      </c>
      <c r="BZ464" t="s">
        <v>87</v>
      </c>
      <c r="CA464" t="s">
        <v>389</v>
      </c>
      <c r="CC464" t="s">
        <v>385</v>
      </c>
      <c r="CD464">
        <v>2194</v>
      </c>
      <c r="CE464" t="s">
        <v>97</v>
      </c>
      <c r="CF464" s="3">
        <v>44603</v>
      </c>
      <c r="CI464">
        <v>1</v>
      </c>
      <c r="CJ464">
        <v>1</v>
      </c>
      <c r="CK464">
        <v>21</v>
      </c>
      <c r="CL464" t="s">
        <v>84</v>
      </c>
    </row>
    <row r="465" spans="1:90" x14ac:dyDescent="0.25">
      <c r="A465" t="s">
        <v>72</v>
      </c>
      <c r="B465" t="s">
        <v>73</v>
      </c>
      <c r="C465" t="s">
        <v>74</v>
      </c>
      <c r="E465" t="str">
        <f>"GAB2008277"</f>
        <v>GAB2008277</v>
      </c>
      <c r="F465" s="3">
        <v>44607</v>
      </c>
      <c r="G465">
        <v>202208</v>
      </c>
      <c r="H465" t="s">
        <v>75</v>
      </c>
      <c r="I465" t="s">
        <v>76</v>
      </c>
      <c r="J465" t="s">
        <v>77</v>
      </c>
      <c r="K465" t="s">
        <v>78</v>
      </c>
      <c r="L465" t="s">
        <v>225</v>
      </c>
      <c r="M465" t="s">
        <v>226</v>
      </c>
      <c r="N465" t="s">
        <v>618</v>
      </c>
      <c r="O465" t="s">
        <v>80</v>
      </c>
      <c r="P465" t="str">
        <f>"CT071986                      "</f>
        <v xml:space="preserve">CT071986                      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0</v>
      </c>
      <c r="X465">
        <v>0</v>
      </c>
      <c r="Y465">
        <v>0</v>
      </c>
      <c r="Z465">
        <v>0</v>
      </c>
      <c r="AA465">
        <v>0</v>
      </c>
      <c r="AB465">
        <v>0</v>
      </c>
      <c r="AC465">
        <v>0</v>
      </c>
      <c r="AD465">
        <v>0</v>
      </c>
      <c r="AE465">
        <v>0</v>
      </c>
      <c r="AF465">
        <v>0</v>
      </c>
      <c r="AG465">
        <v>0</v>
      </c>
      <c r="AH465">
        <v>0</v>
      </c>
      <c r="AI465">
        <v>0</v>
      </c>
      <c r="AJ465">
        <v>0</v>
      </c>
      <c r="AK465">
        <v>16.760000000000002</v>
      </c>
      <c r="AL465">
        <v>0</v>
      </c>
      <c r="AM465">
        <v>0</v>
      </c>
      <c r="AN465">
        <v>0</v>
      </c>
      <c r="AO465">
        <v>0</v>
      </c>
      <c r="AP465">
        <v>0</v>
      </c>
      <c r="AQ465">
        <v>0</v>
      </c>
      <c r="AR465">
        <v>0</v>
      </c>
      <c r="AS465">
        <v>0</v>
      </c>
      <c r="AT465">
        <v>0</v>
      </c>
      <c r="AU465">
        <v>0</v>
      </c>
      <c r="AV465">
        <v>0</v>
      </c>
      <c r="AW465">
        <v>0</v>
      </c>
      <c r="AX465">
        <v>0</v>
      </c>
      <c r="AY465">
        <v>0</v>
      </c>
      <c r="AZ465">
        <v>0</v>
      </c>
      <c r="BA465">
        <v>0</v>
      </c>
      <c r="BB465">
        <v>0</v>
      </c>
      <c r="BC465">
        <v>0</v>
      </c>
      <c r="BD465">
        <v>0</v>
      </c>
      <c r="BE465">
        <v>0</v>
      </c>
      <c r="BF465">
        <v>0</v>
      </c>
      <c r="BG465">
        <v>0</v>
      </c>
      <c r="BH465">
        <v>1</v>
      </c>
      <c r="BI465">
        <v>0.1</v>
      </c>
      <c r="BJ465">
        <v>1.9</v>
      </c>
      <c r="BK465">
        <v>2</v>
      </c>
      <c r="BL465">
        <v>60.3</v>
      </c>
      <c r="BM465">
        <v>9.0500000000000007</v>
      </c>
      <c r="BN465">
        <v>69.349999999999994</v>
      </c>
      <c r="BO465">
        <v>69.349999999999994</v>
      </c>
      <c r="BQ465" t="s">
        <v>619</v>
      </c>
      <c r="BR465" t="s">
        <v>82</v>
      </c>
      <c r="BS465" s="3">
        <v>44609</v>
      </c>
      <c r="BT465" s="4">
        <v>0.4916666666666667</v>
      </c>
      <c r="BU465" t="s">
        <v>1373</v>
      </c>
      <c r="BV465" t="s">
        <v>84</v>
      </c>
      <c r="BW465" t="s">
        <v>964</v>
      </c>
      <c r="BX465" t="s">
        <v>1359</v>
      </c>
      <c r="BY465">
        <v>9256.5</v>
      </c>
      <c r="BZ465" t="s">
        <v>87</v>
      </c>
      <c r="CA465" t="s">
        <v>1319</v>
      </c>
      <c r="CC465" t="s">
        <v>226</v>
      </c>
      <c r="CD465">
        <v>8301</v>
      </c>
      <c r="CE465" t="s">
        <v>97</v>
      </c>
      <c r="CF465" s="3">
        <v>44609</v>
      </c>
      <c r="CI465">
        <v>2</v>
      </c>
      <c r="CJ465">
        <v>2</v>
      </c>
      <c r="CK465">
        <v>21</v>
      </c>
      <c r="CL465" t="s">
        <v>84</v>
      </c>
    </row>
    <row r="466" spans="1:90" x14ac:dyDescent="0.25">
      <c r="A466" t="s">
        <v>72</v>
      </c>
      <c r="B466" t="s">
        <v>73</v>
      </c>
      <c r="C466" t="s">
        <v>74</v>
      </c>
      <c r="E466" t="str">
        <f>"GAB2008282"</f>
        <v>GAB2008282</v>
      </c>
      <c r="F466" s="3">
        <v>44607</v>
      </c>
      <c r="G466">
        <v>202208</v>
      </c>
      <c r="H466" t="s">
        <v>75</v>
      </c>
      <c r="I466" t="s">
        <v>76</v>
      </c>
      <c r="J466" t="s">
        <v>77</v>
      </c>
      <c r="K466" t="s">
        <v>78</v>
      </c>
      <c r="L466" t="s">
        <v>109</v>
      </c>
      <c r="M466" t="s">
        <v>110</v>
      </c>
      <c r="N466" t="s">
        <v>394</v>
      </c>
      <c r="O466" t="s">
        <v>125</v>
      </c>
      <c r="P466" t="str">
        <f>"CT071993                      "</f>
        <v xml:space="preserve">CT071993                      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0</v>
      </c>
      <c r="Y466">
        <v>0</v>
      </c>
      <c r="Z466">
        <v>0</v>
      </c>
      <c r="AA466">
        <v>0</v>
      </c>
      <c r="AB466">
        <v>0</v>
      </c>
      <c r="AC466">
        <v>0</v>
      </c>
      <c r="AD466">
        <v>0</v>
      </c>
      <c r="AE466">
        <v>0</v>
      </c>
      <c r="AF466">
        <v>0</v>
      </c>
      <c r="AG466">
        <v>0</v>
      </c>
      <c r="AH466">
        <v>0</v>
      </c>
      <c r="AI466">
        <v>0</v>
      </c>
      <c r="AJ466">
        <v>0</v>
      </c>
      <c r="AK466">
        <v>32.42</v>
      </c>
      <c r="AL466">
        <v>0</v>
      </c>
      <c r="AM466">
        <v>0</v>
      </c>
      <c r="AN466">
        <v>0</v>
      </c>
      <c r="AO466">
        <v>0</v>
      </c>
      <c r="AP466">
        <v>0</v>
      </c>
      <c r="AQ466">
        <v>0</v>
      </c>
      <c r="AR466">
        <v>0</v>
      </c>
      <c r="AS466">
        <v>0</v>
      </c>
      <c r="AT466">
        <v>0</v>
      </c>
      <c r="AU466">
        <v>0</v>
      </c>
      <c r="AV466">
        <v>0</v>
      </c>
      <c r="AW466">
        <v>0</v>
      </c>
      <c r="AX466">
        <v>0</v>
      </c>
      <c r="AY466">
        <v>0</v>
      </c>
      <c r="AZ466">
        <v>0</v>
      </c>
      <c r="BA466">
        <v>0</v>
      </c>
      <c r="BB466">
        <v>0</v>
      </c>
      <c r="BC466">
        <v>0</v>
      </c>
      <c r="BD466">
        <v>0</v>
      </c>
      <c r="BE466">
        <v>0</v>
      </c>
      <c r="BF466">
        <v>0</v>
      </c>
      <c r="BG466">
        <v>0</v>
      </c>
      <c r="BH466">
        <v>2</v>
      </c>
      <c r="BI466">
        <v>7.1</v>
      </c>
      <c r="BJ466">
        <v>12.2</v>
      </c>
      <c r="BK466">
        <v>13</v>
      </c>
      <c r="BL466">
        <v>121.87</v>
      </c>
      <c r="BM466">
        <v>18.28</v>
      </c>
      <c r="BN466">
        <v>140.15</v>
      </c>
      <c r="BO466">
        <v>140.15</v>
      </c>
      <c r="BQ466" t="s">
        <v>395</v>
      </c>
      <c r="BR466" t="s">
        <v>82</v>
      </c>
      <c r="BS466" s="3">
        <v>44609</v>
      </c>
      <c r="BT466" s="4">
        <v>0.45833333333333331</v>
      </c>
      <c r="BU466" t="s">
        <v>218</v>
      </c>
      <c r="BV466" t="s">
        <v>101</v>
      </c>
      <c r="BY466">
        <v>60878.400000000001</v>
      </c>
      <c r="CA466" t="s">
        <v>219</v>
      </c>
      <c r="CC466" t="s">
        <v>110</v>
      </c>
      <c r="CD466">
        <v>157</v>
      </c>
      <c r="CE466" t="s">
        <v>130</v>
      </c>
      <c r="CF466" s="3">
        <v>44609</v>
      </c>
      <c r="CI466">
        <v>2</v>
      </c>
      <c r="CJ466">
        <v>2</v>
      </c>
      <c r="CK466">
        <v>41</v>
      </c>
      <c r="CL466" t="s">
        <v>84</v>
      </c>
    </row>
    <row r="467" spans="1:90" x14ac:dyDescent="0.25">
      <c r="A467" t="s">
        <v>72</v>
      </c>
      <c r="B467" t="s">
        <v>73</v>
      </c>
      <c r="C467" t="s">
        <v>74</v>
      </c>
      <c r="E467" t="str">
        <f>"GAB2008278"</f>
        <v>GAB2008278</v>
      </c>
      <c r="F467" s="3">
        <v>44607</v>
      </c>
      <c r="G467">
        <v>202208</v>
      </c>
      <c r="H467" t="s">
        <v>75</v>
      </c>
      <c r="I467" t="s">
        <v>76</v>
      </c>
      <c r="J467" t="s">
        <v>77</v>
      </c>
      <c r="K467" t="s">
        <v>78</v>
      </c>
      <c r="L467" t="s">
        <v>435</v>
      </c>
      <c r="M467" t="s">
        <v>436</v>
      </c>
      <c r="N467" t="s">
        <v>1374</v>
      </c>
      <c r="O467" t="s">
        <v>125</v>
      </c>
      <c r="P467" t="str">
        <f>"CT071984                      "</f>
        <v xml:space="preserve">CT071984                      </v>
      </c>
      <c r="Q467">
        <v>0</v>
      </c>
      <c r="R467">
        <v>0</v>
      </c>
      <c r="S467">
        <v>0</v>
      </c>
      <c r="T467">
        <v>0</v>
      </c>
      <c r="U467">
        <v>0</v>
      </c>
      <c r="V467">
        <v>0</v>
      </c>
      <c r="W467">
        <v>0</v>
      </c>
      <c r="X467">
        <v>0</v>
      </c>
      <c r="Y467">
        <v>0</v>
      </c>
      <c r="Z467">
        <v>0</v>
      </c>
      <c r="AA467">
        <v>0</v>
      </c>
      <c r="AB467">
        <v>0</v>
      </c>
      <c r="AC467">
        <v>0</v>
      </c>
      <c r="AD467">
        <v>0</v>
      </c>
      <c r="AE467">
        <v>0</v>
      </c>
      <c r="AF467">
        <v>0</v>
      </c>
      <c r="AG467">
        <v>0</v>
      </c>
      <c r="AH467">
        <v>0</v>
      </c>
      <c r="AI467">
        <v>0</v>
      </c>
      <c r="AJ467">
        <v>0</v>
      </c>
      <c r="AK467">
        <v>45.72</v>
      </c>
      <c r="AL467">
        <v>0</v>
      </c>
      <c r="AM467">
        <v>0</v>
      </c>
      <c r="AN467">
        <v>0</v>
      </c>
      <c r="AO467">
        <v>0</v>
      </c>
      <c r="AP467">
        <v>0</v>
      </c>
      <c r="AQ467">
        <v>0</v>
      </c>
      <c r="AR467">
        <v>0</v>
      </c>
      <c r="AS467">
        <v>0</v>
      </c>
      <c r="AT467">
        <v>0</v>
      </c>
      <c r="AU467">
        <v>0</v>
      </c>
      <c r="AV467">
        <v>0</v>
      </c>
      <c r="AW467">
        <v>0</v>
      </c>
      <c r="AX467">
        <v>0</v>
      </c>
      <c r="AY467">
        <v>0</v>
      </c>
      <c r="AZ467">
        <v>0</v>
      </c>
      <c r="BA467">
        <v>0</v>
      </c>
      <c r="BB467">
        <v>0</v>
      </c>
      <c r="BC467">
        <v>0</v>
      </c>
      <c r="BD467">
        <v>0</v>
      </c>
      <c r="BE467">
        <v>0</v>
      </c>
      <c r="BF467">
        <v>0</v>
      </c>
      <c r="BG467">
        <v>0</v>
      </c>
      <c r="BH467">
        <v>1</v>
      </c>
      <c r="BI467">
        <v>0.4</v>
      </c>
      <c r="BJ467">
        <v>1.7</v>
      </c>
      <c r="BK467">
        <v>2</v>
      </c>
      <c r="BL467">
        <v>169.72</v>
      </c>
      <c r="BM467">
        <v>25.46</v>
      </c>
      <c r="BN467">
        <v>195.18</v>
      </c>
      <c r="BO467">
        <v>195.18</v>
      </c>
      <c r="BQ467" t="s">
        <v>1375</v>
      </c>
      <c r="BR467" t="s">
        <v>82</v>
      </c>
      <c r="BS467" s="3">
        <v>44609</v>
      </c>
      <c r="BT467" s="4">
        <v>0.44444444444444442</v>
      </c>
      <c r="BU467" t="s">
        <v>1376</v>
      </c>
      <c r="BV467" t="s">
        <v>101</v>
      </c>
      <c r="BY467">
        <v>8593.2000000000007</v>
      </c>
      <c r="CA467" t="s">
        <v>1377</v>
      </c>
      <c r="CC467" t="s">
        <v>436</v>
      </c>
      <c r="CD467">
        <v>2571</v>
      </c>
      <c r="CE467" t="s">
        <v>130</v>
      </c>
      <c r="CF467" s="3">
        <v>44610</v>
      </c>
      <c r="CI467">
        <v>2</v>
      </c>
      <c r="CJ467">
        <v>2</v>
      </c>
      <c r="CK467">
        <v>43</v>
      </c>
      <c r="CL467" t="s">
        <v>84</v>
      </c>
    </row>
    <row r="468" spans="1:90" x14ac:dyDescent="0.25">
      <c r="A468" t="s">
        <v>72</v>
      </c>
      <c r="B468" t="s">
        <v>73</v>
      </c>
      <c r="C468" t="s">
        <v>74</v>
      </c>
      <c r="E468" t="str">
        <f>"GAB2008280"</f>
        <v>GAB2008280</v>
      </c>
      <c r="F468" s="3">
        <v>44607</v>
      </c>
      <c r="G468">
        <v>202208</v>
      </c>
      <c r="H468" t="s">
        <v>75</v>
      </c>
      <c r="I468" t="s">
        <v>76</v>
      </c>
      <c r="J468" t="s">
        <v>77</v>
      </c>
      <c r="K468" t="s">
        <v>78</v>
      </c>
      <c r="L468" t="s">
        <v>1378</v>
      </c>
      <c r="M468" t="s">
        <v>1379</v>
      </c>
      <c r="N468" t="s">
        <v>1380</v>
      </c>
      <c r="O468" t="s">
        <v>125</v>
      </c>
      <c r="P468" t="str">
        <f>"CT071991                      "</f>
        <v xml:space="preserve">CT071991                      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0</v>
      </c>
      <c r="W468">
        <v>0</v>
      </c>
      <c r="X468">
        <v>0</v>
      </c>
      <c r="Y468">
        <v>0</v>
      </c>
      <c r="Z468">
        <v>0</v>
      </c>
      <c r="AA468">
        <v>0</v>
      </c>
      <c r="AB468">
        <v>0</v>
      </c>
      <c r="AC468">
        <v>0</v>
      </c>
      <c r="AD468">
        <v>0</v>
      </c>
      <c r="AE468">
        <v>0</v>
      </c>
      <c r="AF468">
        <v>0</v>
      </c>
      <c r="AG468">
        <v>0</v>
      </c>
      <c r="AH468">
        <v>0</v>
      </c>
      <c r="AI468">
        <v>0</v>
      </c>
      <c r="AJ468">
        <v>0</v>
      </c>
      <c r="AK468">
        <v>45.72</v>
      </c>
      <c r="AL468">
        <v>0</v>
      </c>
      <c r="AM468">
        <v>0</v>
      </c>
      <c r="AN468">
        <v>0</v>
      </c>
      <c r="AO468">
        <v>0</v>
      </c>
      <c r="AP468">
        <v>0</v>
      </c>
      <c r="AQ468">
        <v>0</v>
      </c>
      <c r="AR468">
        <v>0</v>
      </c>
      <c r="AS468">
        <v>0</v>
      </c>
      <c r="AT468">
        <v>0</v>
      </c>
      <c r="AU468">
        <v>0</v>
      </c>
      <c r="AV468">
        <v>0</v>
      </c>
      <c r="AW468">
        <v>0</v>
      </c>
      <c r="AX468">
        <v>0</v>
      </c>
      <c r="AY468">
        <v>0</v>
      </c>
      <c r="AZ468">
        <v>0</v>
      </c>
      <c r="BA468">
        <v>0</v>
      </c>
      <c r="BB468">
        <v>0</v>
      </c>
      <c r="BC468">
        <v>0</v>
      </c>
      <c r="BD468">
        <v>0</v>
      </c>
      <c r="BE468">
        <v>0</v>
      </c>
      <c r="BF468">
        <v>0</v>
      </c>
      <c r="BG468">
        <v>0</v>
      </c>
      <c r="BH468">
        <v>1</v>
      </c>
      <c r="BI468">
        <v>0.6</v>
      </c>
      <c r="BJ468">
        <v>1.7</v>
      </c>
      <c r="BK468">
        <v>2</v>
      </c>
      <c r="BL468">
        <v>169.72</v>
      </c>
      <c r="BM468">
        <v>25.46</v>
      </c>
      <c r="BN468">
        <v>195.18</v>
      </c>
      <c r="BO468">
        <v>195.18</v>
      </c>
      <c r="BR468" t="s">
        <v>82</v>
      </c>
      <c r="BS468" s="3">
        <v>44610</v>
      </c>
      <c r="BT468" s="4">
        <v>0.46527777777777773</v>
      </c>
      <c r="BU468" t="s">
        <v>1381</v>
      </c>
      <c r="BV468" t="s">
        <v>101</v>
      </c>
      <c r="BY468">
        <v>8649.6</v>
      </c>
      <c r="CA468" t="s">
        <v>976</v>
      </c>
      <c r="CC468" t="s">
        <v>1379</v>
      </c>
      <c r="CD468">
        <v>5900</v>
      </c>
      <c r="CE468" t="s">
        <v>130</v>
      </c>
      <c r="CI468">
        <v>6</v>
      </c>
      <c r="CJ468">
        <v>3</v>
      </c>
      <c r="CK468">
        <v>43</v>
      </c>
      <c r="CL468" t="s">
        <v>84</v>
      </c>
    </row>
    <row r="469" spans="1:90" x14ac:dyDescent="0.25">
      <c r="A469" t="s">
        <v>72</v>
      </c>
      <c r="B469" t="s">
        <v>73</v>
      </c>
      <c r="C469" t="s">
        <v>74</v>
      </c>
      <c r="E469" t="str">
        <f>"GAB2008284"</f>
        <v>GAB2008284</v>
      </c>
      <c r="F469" s="3">
        <v>44607</v>
      </c>
      <c r="G469">
        <v>202208</v>
      </c>
      <c r="H469" t="s">
        <v>75</v>
      </c>
      <c r="I469" t="s">
        <v>76</v>
      </c>
      <c r="J469" t="s">
        <v>77</v>
      </c>
      <c r="K469" t="s">
        <v>78</v>
      </c>
      <c r="L469" t="s">
        <v>1382</v>
      </c>
      <c r="M469" t="s">
        <v>1383</v>
      </c>
      <c r="N469" t="s">
        <v>1384</v>
      </c>
      <c r="O469" t="s">
        <v>80</v>
      </c>
      <c r="P469" t="str">
        <f>"CT071997                      "</f>
        <v xml:space="preserve">CT071997                      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0</v>
      </c>
      <c r="W469">
        <v>0</v>
      </c>
      <c r="X469">
        <v>0</v>
      </c>
      <c r="Y469">
        <v>0</v>
      </c>
      <c r="Z469">
        <v>0</v>
      </c>
      <c r="AA469">
        <v>0</v>
      </c>
      <c r="AB469">
        <v>0</v>
      </c>
      <c r="AC469">
        <v>0</v>
      </c>
      <c r="AD469">
        <v>0</v>
      </c>
      <c r="AE469">
        <v>0</v>
      </c>
      <c r="AF469">
        <v>0</v>
      </c>
      <c r="AG469">
        <v>0</v>
      </c>
      <c r="AH469">
        <v>0</v>
      </c>
      <c r="AI469">
        <v>0</v>
      </c>
      <c r="AJ469">
        <v>0</v>
      </c>
      <c r="AK469">
        <v>39.81</v>
      </c>
      <c r="AL469">
        <v>0</v>
      </c>
      <c r="AM469">
        <v>0</v>
      </c>
      <c r="AN469">
        <v>0</v>
      </c>
      <c r="AO469">
        <v>0</v>
      </c>
      <c r="AP469">
        <v>0</v>
      </c>
      <c r="AQ469">
        <v>0</v>
      </c>
      <c r="AR469">
        <v>0</v>
      </c>
      <c r="AS469">
        <v>0</v>
      </c>
      <c r="AT469">
        <v>0</v>
      </c>
      <c r="AU469">
        <v>0</v>
      </c>
      <c r="AV469">
        <v>0</v>
      </c>
      <c r="AW469">
        <v>0</v>
      </c>
      <c r="AX469">
        <v>0</v>
      </c>
      <c r="AY469">
        <v>0</v>
      </c>
      <c r="AZ469">
        <v>0</v>
      </c>
      <c r="BA469">
        <v>0</v>
      </c>
      <c r="BB469">
        <v>0</v>
      </c>
      <c r="BC469">
        <v>0</v>
      </c>
      <c r="BD469">
        <v>0</v>
      </c>
      <c r="BE469">
        <v>0</v>
      </c>
      <c r="BF469">
        <v>0</v>
      </c>
      <c r="BG469">
        <v>0</v>
      </c>
      <c r="BH469">
        <v>1</v>
      </c>
      <c r="BI469">
        <v>1</v>
      </c>
      <c r="BJ469">
        <v>2.4</v>
      </c>
      <c r="BK469">
        <v>2.5</v>
      </c>
      <c r="BL469">
        <v>143.22</v>
      </c>
      <c r="BM469">
        <v>21.48</v>
      </c>
      <c r="BN469">
        <v>164.7</v>
      </c>
      <c r="BO469">
        <v>164.7</v>
      </c>
      <c r="BQ469" t="s">
        <v>1385</v>
      </c>
      <c r="BR469" t="s">
        <v>82</v>
      </c>
      <c r="BS469" s="3">
        <v>44608</v>
      </c>
      <c r="BT469" s="4">
        <v>0.64166666666666672</v>
      </c>
      <c r="BU469" t="s">
        <v>1386</v>
      </c>
      <c r="BV469" t="s">
        <v>84</v>
      </c>
      <c r="BW469" t="s">
        <v>95</v>
      </c>
      <c r="BX469" t="s">
        <v>1387</v>
      </c>
      <c r="BY469">
        <v>12000</v>
      </c>
      <c r="BZ469" t="s">
        <v>87</v>
      </c>
      <c r="CA469" t="s">
        <v>1388</v>
      </c>
      <c r="CC469" t="s">
        <v>1383</v>
      </c>
      <c r="CD469">
        <v>2300</v>
      </c>
      <c r="CE469" t="s">
        <v>97</v>
      </c>
      <c r="CF469" s="3">
        <v>44608</v>
      </c>
      <c r="CI469">
        <v>1</v>
      </c>
      <c r="CJ469">
        <v>1</v>
      </c>
      <c r="CK469">
        <v>23</v>
      </c>
      <c r="CL469" t="s">
        <v>84</v>
      </c>
    </row>
    <row r="470" spans="1:90" x14ac:dyDescent="0.25">
      <c r="A470" t="s">
        <v>72</v>
      </c>
      <c r="B470" t="s">
        <v>73</v>
      </c>
      <c r="C470" t="s">
        <v>74</v>
      </c>
      <c r="E470" t="str">
        <f>"GAB2008290"</f>
        <v>GAB2008290</v>
      </c>
      <c r="F470" s="3">
        <v>44607</v>
      </c>
      <c r="G470">
        <v>202208</v>
      </c>
      <c r="H470" t="s">
        <v>75</v>
      </c>
      <c r="I470" t="s">
        <v>76</v>
      </c>
      <c r="J470" t="s">
        <v>77</v>
      </c>
      <c r="K470" t="s">
        <v>78</v>
      </c>
      <c r="L470" t="s">
        <v>153</v>
      </c>
      <c r="M470" t="s">
        <v>154</v>
      </c>
      <c r="N470" t="s">
        <v>243</v>
      </c>
      <c r="O470" t="s">
        <v>80</v>
      </c>
      <c r="P470" t="str">
        <f>"CT072003                      "</f>
        <v xml:space="preserve">CT072003                      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0</v>
      </c>
      <c r="Y470">
        <v>0</v>
      </c>
      <c r="Z470">
        <v>0</v>
      </c>
      <c r="AA470">
        <v>0</v>
      </c>
      <c r="AB470">
        <v>0</v>
      </c>
      <c r="AC470">
        <v>0</v>
      </c>
      <c r="AD470">
        <v>0</v>
      </c>
      <c r="AE470">
        <v>0</v>
      </c>
      <c r="AF470">
        <v>0</v>
      </c>
      <c r="AG470">
        <v>0</v>
      </c>
      <c r="AH470">
        <v>0</v>
      </c>
      <c r="AI470">
        <v>0</v>
      </c>
      <c r="AJ470">
        <v>0</v>
      </c>
      <c r="AK470">
        <v>16.760000000000002</v>
      </c>
      <c r="AL470">
        <v>0</v>
      </c>
      <c r="AM470">
        <v>0</v>
      </c>
      <c r="AN470">
        <v>0</v>
      </c>
      <c r="AO470">
        <v>0</v>
      </c>
      <c r="AP470">
        <v>0</v>
      </c>
      <c r="AQ470">
        <v>0</v>
      </c>
      <c r="AR470">
        <v>0</v>
      </c>
      <c r="AS470">
        <v>0</v>
      </c>
      <c r="AT470">
        <v>0</v>
      </c>
      <c r="AU470">
        <v>0</v>
      </c>
      <c r="AV470">
        <v>0</v>
      </c>
      <c r="AW470">
        <v>0</v>
      </c>
      <c r="AX470">
        <v>0</v>
      </c>
      <c r="AY470">
        <v>0</v>
      </c>
      <c r="AZ470">
        <v>0</v>
      </c>
      <c r="BA470">
        <v>0</v>
      </c>
      <c r="BB470">
        <v>0</v>
      </c>
      <c r="BC470">
        <v>0</v>
      </c>
      <c r="BD470">
        <v>0</v>
      </c>
      <c r="BE470">
        <v>0</v>
      </c>
      <c r="BF470">
        <v>0</v>
      </c>
      <c r="BG470">
        <v>0</v>
      </c>
      <c r="BH470">
        <v>1</v>
      </c>
      <c r="BI470">
        <v>0.1</v>
      </c>
      <c r="BJ470">
        <v>0</v>
      </c>
      <c r="BK470">
        <v>0.5</v>
      </c>
      <c r="BL470">
        <v>60.3</v>
      </c>
      <c r="BM470">
        <v>9.0500000000000007</v>
      </c>
      <c r="BN470">
        <v>69.349999999999994</v>
      </c>
      <c r="BO470">
        <v>69.349999999999994</v>
      </c>
      <c r="BQ470" t="s">
        <v>112</v>
      </c>
      <c r="BR470" t="s">
        <v>82</v>
      </c>
      <c r="BS470" s="3">
        <v>44608</v>
      </c>
      <c r="BT470" s="4">
        <v>0.34722222222222227</v>
      </c>
      <c r="BU470" t="s">
        <v>245</v>
      </c>
      <c r="BV470" t="s">
        <v>101</v>
      </c>
      <c r="BY470">
        <v>109.2</v>
      </c>
      <c r="BZ470" t="s">
        <v>87</v>
      </c>
      <c r="CA470" t="s">
        <v>174</v>
      </c>
      <c r="CC470" t="s">
        <v>154</v>
      </c>
      <c r="CD470">
        <v>2196</v>
      </c>
      <c r="CE470" t="s">
        <v>97</v>
      </c>
      <c r="CF470" s="3">
        <v>44609</v>
      </c>
      <c r="CI470">
        <v>1</v>
      </c>
      <c r="CJ470">
        <v>1</v>
      </c>
      <c r="CK470">
        <v>21</v>
      </c>
      <c r="CL470" t="s">
        <v>84</v>
      </c>
    </row>
    <row r="471" spans="1:90" x14ac:dyDescent="0.25">
      <c r="A471" t="s">
        <v>72</v>
      </c>
      <c r="B471" t="s">
        <v>73</v>
      </c>
      <c r="C471" t="s">
        <v>74</v>
      </c>
      <c r="E471" t="str">
        <f>"GAB2008286"</f>
        <v>GAB2008286</v>
      </c>
      <c r="F471" s="3">
        <v>44607</v>
      </c>
      <c r="G471">
        <v>202208</v>
      </c>
      <c r="H471" t="s">
        <v>75</v>
      </c>
      <c r="I471" t="s">
        <v>76</v>
      </c>
      <c r="J471" t="s">
        <v>77</v>
      </c>
      <c r="K471" t="s">
        <v>78</v>
      </c>
      <c r="L471" t="s">
        <v>75</v>
      </c>
      <c r="M471" t="s">
        <v>76</v>
      </c>
      <c r="N471" t="s">
        <v>530</v>
      </c>
      <c r="O471" t="s">
        <v>80</v>
      </c>
      <c r="P471" t="str">
        <f>"CT072000                      "</f>
        <v xml:space="preserve">CT072000                      </v>
      </c>
      <c r="Q471">
        <v>0</v>
      </c>
      <c r="R471">
        <v>0</v>
      </c>
      <c r="S471">
        <v>0</v>
      </c>
      <c r="T471">
        <v>0</v>
      </c>
      <c r="U471">
        <v>0</v>
      </c>
      <c r="V471">
        <v>0</v>
      </c>
      <c r="W471">
        <v>0</v>
      </c>
      <c r="X471">
        <v>0</v>
      </c>
      <c r="Y471">
        <v>0</v>
      </c>
      <c r="Z471">
        <v>0</v>
      </c>
      <c r="AA471">
        <v>0</v>
      </c>
      <c r="AB471">
        <v>0</v>
      </c>
      <c r="AC471">
        <v>0</v>
      </c>
      <c r="AD471">
        <v>0</v>
      </c>
      <c r="AE471">
        <v>0</v>
      </c>
      <c r="AF471">
        <v>0</v>
      </c>
      <c r="AG471">
        <v>0</v>
      </c>
      <c r="AH471">
        <v>0</v>
      </c>
      <c r="AI471">
        <v>0</v>
      </c>
      <c r="AJ471">
        <v>0</v>
      </c>
      <c r="AK471">
        <v>13.09</v>
      </c>
      <c r="AL471">
        <v>0</v>
      </c>
      <c r="AM471">
        <v>0</v>
      </c>
      <c r="AN471">
        <v>0</v>
      </c>
      <c r="AO471">
        <v>0</v>
      </c>
      <c r="AP471">
        <v>0</v>
      </c>
      <c r="AQ471">
        <v>0</v>
      </c>
      <c r="AR471">
        <v>0</v>
      </c>
      <c r="AS471">
        <v>0</v>
      </c>
      <c r="AT471">
        <v>0</v>
      </c>
      <c r="AU471">
        <v>0</v>
      </c>
      <c r="AV471">
        <v>0</v>
      </c>
      <c r="AW471">
        <v>0</v>
      </c>
      <c r="AX471">
        <v>0</v>
      </c>
      <c r="AY471">
        <v>0</v>
      </c>
      <c r="AZ471">
        <v>0</v>
      </c>
      <c r="BA471">
        <v>0</v>
      </c>
      <c r="BB471">
        <v>0</v>
      </c>
      <c r="BC471">
        <v>0</v>
      </c>
      <c r="BD471">
        <v>0</v>
      </c>
      <c r="BE471">
        <v>0</v>
      </c>
      <c r="BF471">
        <v>0</v>
      </c>
      <c r="BG471">
        <v>0</v>
      </c>
      <c r="BH471">
        <v>1</v>
      </c>
      <c r="BI471">
        <v>0.1</v>
      </c>
      <c r="BJ471">
        <v>0</v>
      </c>
      <c r="BK471">
        <v>0.5</v>
      </c>
      <c r="BL471">
        <v>47.1</v>
      </c>
      <c r="BM471">
        <v>7.07</v>
      </c>
      <c r="BN471">
        <v>54.17</v>
      </c>
      <c r="BO471">
        <v>54.17</v>
      </c>
      <c r="BQ471" t="s">
        <v>531</v>
      </c>
      <c r="BR471" t="s">
        <v>82</v>
      </c>
      <c r="BS471" s="3">
        <v>44608</v>
      </c>
      <c r="BT471" s="4">
        <v>0.40625</v>
      </c>
      <c r="BU471" t="s">
        <v>1389</v>
      </c>
      <c r="BV471" t="s">
        <v>101</v>
      </c>
      <c r="BY471">
        <v>72.5</v>
      </c>
      <c r="BZ471" t="s">
        <v>87</v>
      </c>
      <c r="CA471" t="s">
        <v>1390</v>
      </c>
      <c r="CC471" t="s">
        <v>76</v>
      </c>
      <c r="CD471">
        <v>7441</v>
      </c>
      <c r="CE471" t="s">
        <v>97</v>
      </c>
      <c r="CF471" s="3">
        <v>44609</v>
      </c>
      <c r="CI471">
        <v>1</v>
      </c>
      <c r="CJ471">
        <v>1</v>
      </c>
      <c r="CK471">
        <v>22</v>
      </c>
      <c r="CL471" t="s">
        <v>84</v>
      </c>
    </row>
    <row r="472" spans="1:90" x14ac:dyDescent="0.25">
      <c r="A472" t="s">
        <v>72</v>
      </c>
      <c r="B472" t="s">
        <v>73</v>
      </c>
      <c r="C472" t="s">
        <v>74</v>
      </c>
      <c r="E472" t="str">
        <f>"GAB2008295"</f>
        <v>GAB2008295</v>
      </c>
      <c r="F472" s="3">
        <v>44607</v>
      </c>
      <c r="G472">
        <v>202208</v>
      </c>
      <c r="H472" t="s">
        <v>75</v>
      </c>
      <c r="I472" t="s">
        <v>76</v>
      </c>
      <c r="J472" t="s">
        <v>77</v>
      </c>
      <c r="K472" t="s">
        <v>78</v>
      </c>
      <c r="L472" t="s">
        <v>153</v>
      </c>
      <c r="M472" t="s">
        <v>154</v>
      </c>
      <c r="N472" t="s">
        <v>1391</v>
      </c>
      <c r="O472" t="s">
        <v>80</v>
      </c>
      <c r="P472" t="str">
        <f>"007024                        "</f>
        <v xml:space="preserve">007024                        </v>
      </c>
      <c r="Q472">
        <v>0</v>
      </c>
      <c r="R472">
        <v>0</v>
      </c>
      <c r="S472">
        <v>0</v>
      </c>
      <c r="T472">
        <v>0</v>
      </c>
      <c r="U472">
        <v>0</v>
      </c>
      <c r="V472">
        <v>0</v>
      </c>
      <c r="W472">
        <v>0</v>
      </c>
      <c r="X472">
        <v>0</v>
      </c>
      <c r="Y472">
        <v>0</v>
      </c>
      <c r="Z472">
        <v>0</v>
      </c>
      <c r="AA472">
        <v>0</v>
      </c>
      <c r="AB472">
        <v>0</v>
      </c>
      <c r="AC472">
        <v>0</v>
      </c>
      <c r="AD472">
        <v>0</v>
      </c>
      <c r="AE472">
        <v>0</v>
      </c>
      <c r="AF472">
        <v>0</v>
      </c>
      <c r="AG472">
        <v>0</v>
      </c>
      <c r="AH472">
        <v>0</v>
      </c>
      <c r="AI472">
        <v>0</v>
      </c>
      <c r="AJ472">
        <v>0</v>
      </c>
      <c r="AK472">
        <v>16.760000000000002</v>
      </c>
      <c r="AL472">
        <v>0</v>
      </c>
      <c r="AM472">
        <v>0</v>
      </c>
      <c r="AN472">
        <v>0</v>
      </c>
      <c r="AO472">
        <v>0</v>
      </c>
      <c r="AP472">
        <v>0</v>
      </c>
      <c r="AQ472">
        <v>0</v>
      </c>
      <c r="AR472">
        <v>0</v>
      </c>
      <c r="AS472">
        <v>0</v>
      </c>
      <c r="AT472">
        <v>0</v>
      </c>
      <c r="AU472">
        <v>0</v>
      </c>
      <c r="AV472">
        <v>0</v>
      </c>
      <c r="AW472">
        <v>0</v>
      </c>
      <c r="AX472">
        <v>0</v>
      </c>
      <c r="AY472">
        <v>0</v>
      </c>
      <c r="AZ472">
        <v>0</v>
      </c>
      <c r="BA472">
        <v>0</v>
      </c>
      <c r="BB472">
        <v>0</v>
      </c>
      <c r="BC472">
        <v>0</v>
      </c>
      <c r="BD472">
        <v>0</v>
      </c>
      <c r="BE472">
        <v>0</v>
      </c>
      <c r="BF472">
        <v>0</v>
      </c>
      <c r="BG472">
        <v>0</v>
      </c>
      <c r="BH472">
        <v>1</v>
      </c>
      <c r="BI472">
        <v>0.5</v>
      </c>
      <c r="BJ472">
        <v>1.6</v>
      </c>
      <c r="BK472">
        <v>2</v>
      </c>
      <c r="BL472">
        <v>60.3</v>
      </c>
      <c r="BM472">
        <v>9.0500000000000007</v>
      </c>
      <c r="BN472">
        <v>69.349999999999994</v>
      </c>
      <c r="BO472">
        <v>69.349999999999994</v>
      </c>
      <c r="BQ472" t="s">
        <v>1392</v>
      </c>
      <c r="BR472" t="s">
        <v>82</v>
      </c>
      <c r="BS472" s="3">
        <v>44608</v>
      </c>
      <c r="BT472" s="4">
        <v>0.3833333333333333</v>
      </c>
      <c r="BU472" t="s">
        <v>1393</v>
      </c>
      <c r="BV472" t="s">
        <v>101</v>
      </c>
      <c r="BY472">
        <v>8228.64</v>
      </c>
      <c r="BZ472" t="s">
        <v>87</v>
      </c>
      <c r="CA472" t="s">
        <v>1394</v>
      </c>
      <c r="CC472" t="s">
        <v>154</v>
      </c>
      <c r="CD472">
        <v>2191</v>
      </c>
      <c r="CE472" t="s">
        <v>554</v>
      </c>
      <c r="CF472" s="3">
        <v>44609</v>
      </c>
      <c r="CI472">
        <v>1</v>
      </c>
      <c r="CJ472">
        <v>1</v>
      </c>
      <c r="CK472">
        <v>21</v>
      </c>
      <c r="CL472" t="s">
        <v>84</v>
      </c>
    </row>
    <row r="473" spans="1:90" x14ac:dyDescent="0.25">
      <c r="A473" t="s">
        <v>72</v>
      </c>
      <c r="B473" t="s">
        <v>73</v>
      </c>
      <c r="C473" t="s">
        <v>74</v>
      </c>
      <c r="E473" t="str">
        <f>"GAB2008279"</f>
        <v>GAB2008279</v>
      </c>
      <c r="F473" s="3">
        <v>44607</v>
      </c>
      <c r="G473">
        <v>202208</v>
      </c>
      <c r="H473" t="s">
        <v>75</v>
      </c>
      <c r="I473" t="s">
        <v>76</v>
      </c>
      <c r="J473" t="s">
        <v>77</v>
      </c>
      <c r="K473" t="s">
        <v>78</v>
      </c>
      <c r="L473" t="s">
        <v>185</v>
      </c>
      <c r="M473" t="s">
        <v>186</v>
      </c>
      <c r="N473" t="s">
        <v>187</v>
      </c>
      <c r="O473" t="s">
        <v>80</v>
      </c>
      <c r="P473" t="str">
        <f>"CT071988                      "</f>
        <v xml:space="preserve">CT071988                      </v>
      </c>
      <c r="Q473">
        <v>0</v>
      </c>
      <c r="R473">
        <v>0</v>
      </c>
      <c r="S473">
        <v>0</v>
      </c>
      <c r="T473">
        <v>0</v>
      </c>
      <c r="U473">
        <v>0</v>
      </c>
      <c r="V473">
        <v>0</v>
      </c>
      <c r="W473">
        <v>0</v>
      </c>
      <c r="X473">
        <v>0</v>
      </c>
      <c r="Y473">
        <v>0</v>
      </c>
      <c r="Z473">
        <v>0</v>
      </c>
      <c r="AA473">
        <v>0</v>
      </c>
      <c r="AB473">
        <v>0</v>
      </c>
      <c r="AC473">
        <v>0</v>
      </c>
      <c r="AD473">
        <v>0</v>
      </c>
      <c r="AE473">
        <v>0</v>
      </c>
      <c r="AF473">
        <v>0</v>
      </c>
      <c r="AG473">
        <v>0</v>
      </c>
      <c r="AH473">
        <v>0</v>
      </c>
      <c r="AI473">
        <v>0</v>
      </c>
      <c r="AJ473">
        <v>0</v>
      </c>
      <c r="AK473">
        <v>47.15</v>
      </c>
      <c r="AL473">
        <v>0</v>
      </c>
      <c r="AM473">
        <v>0</v>
      </c>
      <c r="AN473">
        <v>0</v>
      </c>
      <c r="AO473">
        <v>0</v>
      </c>
      <c r="AP473">
        <v>0</v>
      </c>
      <c r="AQ473">
        <v>15</v>
      </c>
      <c r="AR473">
        <v>0</v>
      </c>
      <c r="AS473">
        <v>0</v>
      </c>
      <c r="AT473">
        <v>0</v>
      </c>
      <c r="AU473">
        <v>0</v>
      </c>
      <c r="AV473">
        <v>0</v>
      </c>
      <c r="AW473">
        <v>0</v>
      </c>
      <c r="AX473">
        <v>0</v>
      </c>
      <c r="AY473">
        <v>0</v>
      </c>
      <c r="AZ473">
        <v>0</v>
      </c>
      <c r="BA473">
        <v>0</v>
      </c>
      <c r="BB473">
        <v>0</v>
      </c>
      <c r="BC473">
        <v>0</v>
      </c>
      <c r="BD473">
        <v>0</v>
      </c>
      <c r="BE473">
        <v>0</v>
      </c>
      <c r="BF473">
        <v>0</v>
      </c>
      <c r="BG473">
        <v>0</v>
      </c>
      <c r="BH473">
        <v>1</v>
      </c>
      <c r="BI473">
        <v>0.4</v>
      </c>
      <c r="BJ473">
        <v>2.6</v>
      </c>
      <c r="BK473">
        <v>3</v>
      </c>
      <c r="BL473">
        <v>184.61</v>
      </c>
      <c r="BM473">
        <v>27.69</v>
      </c>
      <c r="BN473">
        <v>212.3</v>
      </c>
      <c r="BO473">
        <v>212.3</v>
      </c>
      <c r="BQ473" t="s">
        <v>188</v>
      </c>
      <c r="BR473" t="s">
        <v>82</v>
      </c>
      <c r="BS473" s="3">
        <v>44608</v>
      </c>
      <c r="BT473" s="4">
        <v>0.4375</v>
      </c>
      <c r="BU473" t="s">
        <v>1395</v>
      </c>
      <c r="BV473" t="s">
        <v>101</v>
      </c>
      <c r="BY473">
        <v>13188</v>
      </c>
      <c r="BZ473" t="s">
        <v>121</v>
      </c>
      <c r="CA473" t="s">
        <v>705</v>
      </c>
      <c r="CC473" t="s">
        <v>186</v>
      </c>
      <c r="CD473">
        <v>2745</v>
      </c>
      <c r="CE473" t="s">
        <v>103</v>
      </c>
      <c r="CF473" s="3">
        <v>44609</v>
      </c>
      <c r="CI473">
        <v>1</v>
      </c>
      <c r="CJ473">
        <v>1</v>
      </c>
      <c r="CK473">
        <v>23</v>
      </c>
      <c r="CL473" t="s">
        <v>84</v>
      </c>
    </row>
    <row r="474" spans="1:90" x14ac:dyDescent="0.25">
      <c r="A474" t="s">
        <v>72</v>
      </c>
      <c r="B474" t="s">
        <v>73</v>
      </c>
      <c r="C474" t="s">
        <v>74</v>
      </c>
      <c r="E474" t="str">
        <f>"GAB2008298"</f>
        <v>GAB2008298</v>
      </c>
      <c r="F474" s="3">
        <v>44607</v>
      </c>
      <c r="G474">
        <v>202208</v>
      </c>
      <c r="H474" t="s">
        <v>75</v>
      </c>
      <c r="I474" t="s">
        <v>76</v>
      </c>
      <c r="J474" t="s">
        <v>77</v>
      </c>
      <c r="K474" t="s">
        <v>78</v>
      </c>
      <c r="L474" t="s">
        <v>815</v>
      </c>
      <c r="M474" t="s">
        <v>816</v>
      </c>
      <c r="N474" t="s">
        <v>817</v>
      </c>
      <c r="O474" t="s">
        <v>80</v>
      </c>
      <c r="P474" t="str">
        <f>"CT072007                      "</f>
        <v xml:space="preserve">CT072007                      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  <c r="X474">
        <v>0</v>
      </c>
      <c r="Y474">
        <v>0</v>
      </c>
      <c r="Z474">
        <v>0</v>
      </c>
      <c r="AA474">
        <v>0</v>
      </c>
      <c r="AB474">
        <v>0</v>
      </c>
      <c r="AC474">
        <v>0</v>
      </c>
      <c r="AD474">
        <v>0</v>
      </c>
      <c r="AE474">
        <v>0</v>
      </c>
      <c r="AF474">
        <v>0</v>
      </c>
      <c r="AG474">
        <v>0</v>
      </c>
      <c r="AH474">
        <v>0</v>
      </c>
      <c r="AI474">
        <v>0</v>
      </c>
      <c r="AJ474">
        <v>0</v>
      </c>
      <c r="AK474">
        <v>32.479999999999997</v>
      </c>
      <c r="AL474">
        <v>0</v>
      </c>
      <c r="AM474">
        <v>0</v>
      </c>
      <c r="AN474">
        <v>0</v>
      </c>
      <c r="AO474">
        <v>0</v>
      </c>
      <c r="AP474">
        <v>0</v>
      </c>
      <c r="AQ474">
        <v>0</v>
      </c>
      <c r="AR474">
        <v>0</v>
      </c>
      <c r="AS474">
        <v>0</v>
      </c>
      <c r="AT474">
        <v>0</v>
      </c>
      <c r="AU474">
        <v>0</v>
      </c>
      <c r="AV474">
        <v>0</v>
      </c>
      <c r="AW474">
        <v>0</v>
      </c>
      <c r="AX474">
        <v>0</v>
      </c>
      <c r="AY474">
        <v>0</v>
      </c>
      <c r="AZ474">
        <v>0</v>
      </c>
      <c r="BA474">
        <v>0</v>
      </c>
      <c r="BB474">
        <v>0</v>
      </c>
      <c r="BC474">
        <v>0</v>
      </c>
      <c r="BD474">
        <v>0</v>
      </c>
      <c r="BE474">
        <v>0</v>
      </c>
      <c r="BF474">
        <v>0</v>
      </c>
      <c r="BG474">
        <v>0</v>
      </c>
      <c r="BH474">
        <v>1</v>
      </c>
      <c r="BI474">
        <v>0.1</v>
      </c>
      <c r="BJ474">
        <v>2</v>
      </c>
      <c r="BK474">
        <v>2</v>
      </c>
      <c r="BL474">
        <v>116.84</v>
      </c>
      <c r="BM474">
        <v>17.53</v>
      </c>
      <c r="BN474">
        <v>134.37</v>
      </c>
      <c r="BO474">
        <v>134.37</v>
      </c>
      <c r="BQ474" t="s">
        <v>818</v>
      </c>
      <c r="BR474" t="s">
        <v>82</v>
      </c>
      <c r="BS474" s="3">
        <v>44610</v>
      </c>
      <c r="BT474" s="4">
        <v>0.41597222222222219</v>
      </c>
      <c r="BU474" t="s">
        <v>1396</v>
      </c>
      <c r="BV474" t="s">
        <v>101</v>
      </c>
      <c r="BY474">
        <v>10160.36</v>
      </c>
      <c r="BZ474" t="s">
        <v>87</v>
      </c>
      <c r="CA474" t="s">
        <v>820</v>
      </c>
      <c r="CC474" t="s">
        <v>816</v>
      </c>
      <c r="CD474">
        <v>8800</v>
      </c>
      <c r="CE474" t="s">
        <v>97</v>
      </c>
      <c r="CF474" s="3">
        <v>44610</v>
      </c>
      <c r="CI474">
        <v>3</v>
      </c>
      <c r="CJ474">
        <v>3</v>
      </c>
      <c r="CK474">
        <v>23</v>
      </c>
      <c r="CL474" t="s">
        <v>84</v>
      </c>
    </row>
    <row r="475" spans="1:90" x14ac:dyDescent="0.25">
      <c r="A475" t="s">
        <v>72</v>
      </c>
      <c r="B475" t="s">
        <v>73</v>
      </c>
      <c r="C475" t="s">
        <v>74</v>
      </c>
      <c r="E475" t="str">
        <f>"GAB2008283"</f>
        <v>GAB2008283</v>
      </c>
      <c r="F475" s="3">
        <v>44607</v>
      </c>
      <c r="G475">
        <v>202208</v>
      </c>
      <c r="H475" t="s">
        <v>75</v>
      </c>
      <c r="I475" t="s">
        <v>76</v>
      </c>
      <c r="J475" t="s">
        <v>77</v>
      </c>
      <c r="K475" t="s">
        <v>78</v>
      </c>
      <c r="L475" t="s">
        <v>642</v>
      </c>
      <c r="M475" t="s">
        <v>643</v>
      </c>
      <c r="N475" t="s">
        <v>644</v>
      </c>
      <c r="O475" t="s">
        <v>80</v>
      </c>
      <c r="P475" t="str">
        <f>"CT071996                      "</f>
        <v xml:space="preserve">CT071996                      </v>
      </c>
      <c r="Q475">
        <v>0</v>
      </c>
      <c r="R475">
        <v>0</v>
      </c>
      <c r="S475">
        <v>0</v>
      </c>
      <c r="T475">
        <v>0</v>
      </c>
      <c r="U475">
        <v>0</v>
      </c>
      <c r="V475">
        <v>0</v>
      </c>
      <c r="W475">
        <v>0</v>
      </c>
      <c r="X475">
        <v>0</v>
      </c>
      <c r="Y475">
        <v>0</v>
      </c>
      <c r="Z475">
        <v>0</v>
      </c>
      <c r="AA475">
        <v>0</v>
      </c>
      <c r="AB475">
        <v>0</v>
      </c>
      <c r="AC475">
        <v>0</v>
      </c>
      <c r="AD475">
        <v>0</v>
      </c>
      <c r="AE475">
        <v>0</v>
      </c>
      <c r="AF475">
        <v>0</v>
      </c>
      <c r="AG475">
        <v>0</v>
      </c>
      <c r="AH475">
        <v>0</v>
      </c>
      <c r="AI475">
        <v>0</v>
      </c>
      <c r="AJ475">
        <v>0</v>
      </c>
      <c r="AK475">
        <v>32.479999999999997</v>
      </c>
      <c r="AL475">
        <v>0</v>
      </c>
      <c r="AM475">
        <v>0</v>
      </c>
      <c r="AN475">
        <v>0</v>
      </c>
      <c r="AO475">
        <v>0</v>
      </c>
      <c r="AP475">
        <v>0</v>
      </c>
      <c r="AQ475">
        <v>15</v>
      </c>
      <c r="AR475">
        <v>0</v>
      </c>
      <c r="AS475">
        <v>0</v>
      </c>
      <c r="AT475">
        <v>0</v>
      </c>
      <c r="AU475">
        <v>0</v>
      </c>
      <c r="AV475">
        <v>0</v>
      </c>
      <c r="AW475">
        <v>0</v>
      </c>
      <c r="AX475">
        <v>0</v>
      </c>
      <c r="AY475">
        <v>0</v>
      </c>
      <c r="AZ475">
        <v>0</v>
      </c>
      <c r="BA475">
        <v>0</v>
      </c>
      <c r="BB475">
        <v>0</v>
      </c>
      <c r="BC475">
        <v>0</v>
      </c>
      <c r="BD475">
        <v>0</v>
      </c>
      <c r="BE475">
        <v>0</v>
      </c>
      <c r="BF475">
        <v>0</v>
      </c>
      <c r="BG475">
        <v>0</v>
      </c>
      <c r="BH475">
        <v>1</v>
      </c>
      <c r="BI475">
        <v>0.7</v>
      </c>
      <c r="BJ475">
        <v>1.7</v>
      </c>
      <c r="BK475">
        <v>2</v>
      </c>
      <c r="BL475">
        <v>131.84</v>
      </c>
      <c r="BM475">
        <v>19.78</v>
      </c>
      <c r="BN475">
        <v>151.62</v>
      </c>
      <c r="BO475">
        <v>151.62</v>
      </c>
      <c r="BQ475" t="s">
        <v>645</v>
      </c>
      <c r="BR475" t="s">
        <v>82</v>
      </c>
      <c r="BS475" s="3">
        <v>44608</v>
      </c>
      <c r="BT475" s="4">
        <v>0.50277777777777777</v>
      </c>
      <c r="BU475" t="s">
        <v>1397</v>
      </c>
      <c r="BV475" t="s">
        <v>101</v>
      </c>
      <c r="BY475">
        <v>8690.5499999999993</v>
      </c>
      <c r="BZ475" t="s">
        <v>121</v>
      </c>
      <c r="CA475" t="s">
        <v>648</v>
      </c>
      <c r="CC475" t="s">
        <v>643</v>
      </c>
      <c r="CD475">
        <v>250</v>
      </c>
      <c r="CE475" t="s">
        <v>495</v>
      </c>
      <c r="CF475" s="3">
        <v>44608</v>
      </c>
      <c r="CI475">
        <v>1</v>
      </c>
      <c r="CJ475">
        <v>1</v>
      </c>
      <c r="CK475">
        <v>23</v>
      </c>
      <c r="CL475" t="s">
        <v>84</v>
      </c>
    </row>
    <row r="477" spans="1:90" x14ac:dyDescent="0.25">
      <c r="E477" t="s">
        <v>1398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0</v>
      </c>
      <c r="X477">
        <v>0</v>
      </c>
      <c r="Y477">
        <v>15</v>
      </c>
      <c r="Z477">
        <v>0</v>
      </c>
      <c r="AA477">
        <v>0</v>
      </c>
      <c r="AB477">
        <v>0</v>
      </c>
      <c r="AC477">
        <v>0</v>
      </c>
      <c r="AD477">
        <v>0</v>
      </c>
      <c r="AE477">
        <v>0</v>
      </c>
      <c r="AF477">
        <v>0</v>
      </c>
      <c r="AG477">
        <v>0</v>
      </c>
      <c r="AH477">
        <v>0</v>
      </c>
      <c r="AI477">
        <v>0</v>
      </c>
      <c r="AJ477">
        <v>0</v>
      </c>
      <c r="AK477">
        <v>20810.95</v>
      </c>
      <c r="AL477">
        <v>0</v>
      </c>
      <c r="AM477">
        <v>0</v>
      </c>
      <c r="AN477">
        <v>0</v>
      </c>
      <c r="AO477">
        <v>0</v>
      </c>
      <c r="AP477">
        <v>0</v>
      </c>
      <c r="AQ477">
        <v>480</v>
      </c>
      <c r="AR477">
        <v>0</v>
      </c>
      <c r="AS477">
        <v>0</v>
      </c>
      <c r="AT477">
        <v>0</v>
      </c>
      <c r="AU477">
        <v>0</v>
      </c>
      <c r="AV477">
        <v>0</v>
      </c>
      <c r="AW477">
        <v>0</v>
      </c>
      <c r="AX477">
        <v>0</v>
      </c>
      <c r="AY477">
        <v>0</v>
      </c>
      <c r="AZ477">
        <v>0</v>
      </c>
      <c r="BA477">
        <v>384.28</v>
      </c>
      <c r="BB477">
        <v>0</v>
      </c>
      <c r="BC477">
        <v>0</v>
      </c>
      <c r="BD477">
        <v>0</v>
      </c>
      <c r="BE477">
        <v>0</v>
      </c>
      <c r="BF477">
        <v>0</v>
      </c>
      <c r="BG477">
        <v>0</v>
      </c>
      <c r="BI477">
        <v>2683.9</v>
      </c>
      <c r="BJ477">
        <v>6364.3</v>
      </c>
      <c r="BK477">
        <v>6679</v>
      </c>
      <c r="BL477">
        <v>77735.820000000007</v>
      </c>
      <c r="BM477">
        <v>10909.02</v>
      </c>
      <c r="BN477">
        <v>88644.84</v>
      </c>
    </row>
    <row r="479" spans="1:90" x14ac:dyDescent="0.25">
      <c r="A479" t="s">
        <v>1399</v>
      </c>
      <c r="B479" t="s">
        <v>1400</v>
      </c>
      <c r="C479" t="s">
        <v>74</v>
      </c>
      <c r="E479" t="str">
        <f>"009940901443"</f>
        <v>009940901443</v>
      </c>
      <c r="F479" s="3">
        <v>44617</v>
      </c>
      <c r="G479">
        <v>202208</v>
      </c>
      <c r="H479" t="s">
        <v>401</v>
      </c>
      <c r="I479" t="s">
        <v>402</v>
      </c>
      <c r="J479" t="s">
        <v>1401</v>
      </c>
      <c r="K479" t="s">
        <v>78</v>
      </c>
      <c r="L479" t="s">
        <v>153</v>
      </c>
      <c r="M479" t="s">
        <v>154</v>
      </c>
      <c r="N479" t="s">
        <v>1402</v>
      </c>
      <c r="O479" t="s">
        <v>125</v>
      </c>
      <c r="P479" t="str">
        <f>"                              "</f>
        <v xml:space="preserve">                              </v>
      </c>
      <c r="Q479">
        <v>0</v>
      </c>
      <c r="R479">
        <v>0</v>
      </c>
      <c r="S479">
        <v>0</v>
      </c>
      <c r="T479">
        <v>0</v>
      </c>
      <c r="U479">
        <v>0</v>
      </c>
      <c r="V479">
        <v>0</v>
      </c>
      <c r="W479">
        <v>0</v>
      </c>
      <c r="X479">
        <v>0</v>
      </c>
      <c r="Y479">
        <v>0</v>
      </c>
      <c r="Z479">
        <v>0</v>
      </c>
      <c r="AA479">
        <v>0</v>
      </c>
      <c r="AB479">
        <v>0</v>
      </c>
      <c r="AC479">
        <v>0</v>
      </c>
      <c r="AD479">
        <v>0</v>
      </c>
      <c r="AE479">
        <v>0</v>
      </c>
      <c r="AF479">
        <v>0</v>
      </c>
      <c r="AG479">
        <v>0</v>
      </c>
      <c r="AH479">
        <v>0</v>
      </c>
      <c r="AI479">
        <v>0</v>
      </c>
      <c r="AJ479">
        <v>0</v>
      </c>
      <c r="AK479">
        <v>32.42</v>
      </c>
      <c r="AL479">
        <v>0</v>
      </c>
      <c r="AM479">
        <v>0</v>
      </c>
      <c r="AN479">
        <v>0</v>
      </c>
      <c r="AO479">
        <v>0</v>
      </c>
      <c r="AP479">
        <v>0</v>
      </c>
      <c r="AQ479">
        <v>0</v>
      </c>
      <c r="AR479">
        <v>0</v>
      </c>
      <c r="AS479">
        <v>0</v>
      </c>
      <c r="AT479">
        <v>0</v>
      </c>
      <c r="AU479">
        <v>0</v>
      </c>
      <c r="AV479">
        <v>0</v>
      </c>
      <c r="AW479">
        <v>0</v>
      </c>
      <c r="AX479">
        <v>0</v>
      </c>
      <c r="AY479">
        <v>0</v>
      </c>
      <c r="AZ479">
        <v>0</v>
      </c>
      <c r="BA479">
        <v>0</v>
      </c>
      <c r="BB479">
        <v>0</v>
      </c>
      <c r="BC479">
        <v>0</v>
      </c>
      <c r="BD479">
        <v>0</v>
      </c>
      <c r="BE479">
        <v>0</v>
      </c>
      <c r="BF479">
        <v>0</v>
      </c>
      <c r="BG479">
        <v>0</v>
      </c>
      <c r="BH479">
        <v>1</v>
      </c>
      <c r="BI479">
        <v>1</v>
      </c>
      <c r="BJ479">
        <v>0.2</v>
      </c>
      <c r="BK479">
        <v>1</v>
      </c>
      <c r="BL479">
        <v>121.87</v>
      </c>
      <c r="BM479">
        <v>18.28</v>
      </c>
      <c r="BN479">
        <v>140.15</v>
      </c>
      <c r="BO479">
        <v>140.15</v>
      </c>
      <c r="BQ479" t="s">
        <v>1403</v>
      </c>
      <c r="BS479" s="3">
        <v>44620</v>
      </c>
      <c r="BT479" s="4">
        <v>0.39930555555555558</v>
      </c>
      <c r="BU479" t="s">
        <v>1404</v>
      </c>
      <c r="BV479" t="s">
        <v>101</v>
      </c>
      <c r="BY479">
        <v>1200</v>
      </c>
      <c r="BZ479" t="s">
        <v>137</v>
      </c>
      <c r="CA479" t="s">
        <v>1405</v>
      </c>
      <c r="CC479" t="s">
        <v>154</v>
      </c>
      <c r="CD479">
        <v>2031</v>
      </c>
      <c r="CE479" t="s">
        <v>130</v>
      </c>
      <c r="CI479">
        <v>1</v>
      </c>
      <c r="CJ479">
        <v>1</v>
      </c>
      <c r="CK479">
        <v>41</v>
      </c>
      <c r="CL479" t="s">
        <v>84</v>
      </c>
    </row>
    <row r="480" spans="1:90" x14ac:dyDescent="0.25">
      <c r="A480" t="s">
        <v>1399</v>
      </c>
      <c r="B480" t="s">
        <v>1400</v>
      </c>
      <c r="C480" t="s">
        <v>74</v>
      </c>
      <c r="E480" t="str">
        <f>"029908431972"</f>
        <v>029908431972</v>
      </c>
      <c r="F480" s="3">
        <v>44617</v>
      </c>
      <c r="G480">
        <v>202208</v>
      </c>
      <c r="H480" t="s">
        <v>131</v>
      </c>
      <c r="I480" t="s">
        <v>132</v>
      </c>
      <c r="J480" t="s">
        <v>1406</v>
      </c>
      <c r="K480" t="s">
        <v>78</v>
      </c>
      <c r="L480" t="s">
        <v>1407</v>
      </c>
      <c r="M480" t="s">
        <v>1408</v>
      </c>
      <c r="N480" t="s">
        <v>1409</v>
      </c>
      <c r="O480" t="s">
        <v>125</v>
      </c>
      <c r="P480" t="str">
        <f>"DUR0212640135                 "</f>
        <v xml:space="preserve">DUR0212640135                 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0</v>
      </c>
      <c r="X480">
        <v>0</v>
      </c>
      <c r="Y480">
        <v>0</v>
      </c>
      <c r="Z480">
        <v>0</v>
      </c>
      <c r="AA480">
        <v>0</v>
      </c>
      <c r="AB480">
        <v>0</v>
      </c>
      <c r="AC480">
        <v>0</v>
      </c>
      <c r="AD480">
        <v>0</v>
      </c>
      <c r="AE480">
        <v>0</v>
      </c>
      <c r="AF480">
        <v>0</v>
      </c>
      <c r="AG480">
        <v>0</v>
      </c>
      <c r="AH480">
        <v>0</v>
      </c>
      <c r="AI480">
        <v>0</v>
      </c>
      <c r="AJ480">
        <v>0</v>
      </c>
      <c r="AK480">
        <v>478.05</v>
      </c>
      <c r="AL480">
        <v>0</v>
      </c>
      <c r="AM480">
        <v>0</v>
      </c>
      <c r="AN480">
        <v>0</v>
      </c>
      <c r="AO480">
        <v>0</v>
      </c>
      <c r="AP480">
        <v>0</v>
      </c>
      <c r="AQ480">
        <v>0</v>
      </c>
      <c r="AR480">
        <v>0</v>
      </c>
      <c r="AS480">
        <v>0</v>
      </c>
      <c r="AT480">
        <v>0</v>
      </c>
      <c r="AU480">
        <v>0</v>
      </c>
      <c r="AV480">
        <v>0</v>
      </c>
      <c r="AW480">
        <v>0</v>
      </c>
      <c r="AX480">
        <v>0</v>
      </c>
      <c r="AY480">
        <v>0</v>
      </c>
      <c r="AZ480">
        <v>0</v>
      </c>
      <c r="BA480">
        <v>0</v>
      </c>
      <c r="BB480">
        <v>0</v>
      </c>
      <c r="BC480">
        <v>0</v>
      </c>
      <c r="BD480">
        <v>0</v>
      </c>
      <c r="BE480">
        <v>0</v>
      </c>
      <c r="BF480">
        <v>0</v>
      </c>
      <c r="BG480">
        <v>0</v>
      </c>
      <c r="BH480">
        <v>8</v>
      </c>
      <c r="BI480">
        <v>200</v>
      </c>
      <c r="BJ480">
        <v>50.8</v>
      </c>
      <c r="BK480">
        <v>200</v>
      </c>
      <c r="BL480">
        <v>1725</v>
      </c>
      <c r="BM480">
        <v>258.75</v>
      </c>
      <c r="BN480">
        <v>1983.75</v>
      </c>
      <c r="BO480">
        <v>1983.75</v>
      </c>
      <c r="BQ480" t="s">
        <v>1410</v>
      </c>
      <c r="BR480" t="s">
        <v>1411</v>
      </c>
      <c r="BS480" t="s">
        <v>653</v>
      </c>
      <c r="BY480">
        <v>31775</v>
      </c>
      <c r="BZ480" t="s">
        <v>137</v>
      </c>
      <c r="CC480" t="s">
        <v>1408</v>
      </c>
      <c r="CD480">
        <v>2940</v>
      </c>
      <c r="CE480" t="s">
        <v>130</v>
      </c>
      <c r="CI480">
        <v>1</v>
      </c>
      <c r="CJ480" t="s">
        <v>653</v>
      </c>
      <c r="CK480">
        <v>43</v>
      </c>
      <c r="CL480" t="s">
        <v>84</v>
      </c>
    </row>
    <row r="481" spans="1:90" x14ac:dyDescent="0.25">
      <c r="A481" t="s">
        <v>1399</v>
      </c>
      <c r="B481" t="s">
        <v>1400</v>
      </c>
      <c r="C481" t="s">
        <v>74</v>
      </c>
      <c r="E481" t="str">
        <f>"029908431970"</f>
        <v>029908431970</v>
      </c>
      <c r="F481" s="3">
        <v>44617</v>
      </c>
      <c r="G481">
        <v>202208</v>
      </c>
      <c r="H481" t="s">
        <v>131</v>
      </c>
      <c r="I481" t="s">
        <v>132</v>
      </c>
      <c r="J481" t="s">
        <v>1406</v>
      </c>
      <c r="K481" t="s">
        <v>78</v>
      </c>
      <c r="L481" t="s">
        <v>1412</v>
      </c>
      <c r="M481" t="s">
        <v>1413</v>
      </c>
      <c r="N481" t="s">
        <v>1414</v>
      </c>
      <c r="O481" t="s">
        <v>125</v>
      </c>
      <c r="P481" t="str">
        <f>"DUR0212640130                 "</f>
        <v xml:space="preserve">DUR0212640130                 </v>
      </c>
      <c r="Q481">
        <v>0</v>
      </c>
      <c r="R481">
        <v>0</v>
      </c>
      <c r="S481">
        <v>0</v>
      </c>
      <c r="T481">
        <v>0</v>
      </c>
      <c r="U481">
        <v>0</v>
      </c>
      <c r="V481">
        <v>0</v>
      </c>
      <c r="W481">
        <v>0</v>
      </c>
      <c r="X481">
        <v>0</v>
      </c>
      <c r="Y481">
        <v>0</v>
      </c>
      <c r="Z481">
        <v>0</v>
      </c>
      <c r="AA481">
        <v>0</v>
      </c>
      <c r="AB481">
        <v>0</v>
      </c>
      <c r="AC481">
        <v>0</v>
      </c>
      <c r="AD481">
        <v>0</v>
      </c>
      <c r="AE481">
        <v>0</v>
      </c>
      <c r="AF481">
        <v>0</v>
      </c>
      <c r="AG481">
        <v>0</v>
      </c>
      <c r="AH481">
        <v>0</v>
      </c>
      <c r="AI481">
        <v>0</v>
      </c>
      <c r="AJ481">
        <v>0</v>
      </c>
      <c r="AK481">
        <v>478.05</v>
      </c>
      <c r="AL481">
        <v>0</v>
      </c>
      <c r="AM481">
        <v>0</v>
      </c>
      <c r="AN481">
        <v>0</v>
      </c>
      <c r="AO481">
        <v>0</v>
      </c>
      <c r="AP481">
        <v>0</v>
      </c>
      <c r="AQ481">
        <v>0</v>
      </c>
      <c r="AR481">
        <v>0</v>
      </c>
      <c r="AS481">
        <v>0</v>
      </c>
      <c r="AT481">
        <v>0</v>
      </c>
      <c r="AU481">
        <v>0</v>
      </c>
      <c r="AV481">
        <v>0</v>
      </c>
      <c r="AW481">
        <v>0</v>
      </c>
      <c r="AX481">
        <v>0</v>
      </c>
      <c r="AY481">
        <v>0</v>
      </c>
      <c r="AZ481">
        <v>0</v>
      </c>
      <c r="BA481">
        <v>0</v>
      </c>
      <c r="BB481">
        <v>0</v>
      </c>
      <c r="BC481">
        <v>0</v>
      </c>
      <c r="BD481">
        <v>0</v>
      </c>
      <c r="BE481">
        <v>0</v>
      </c>
      <c r="BF481">
        <v>0</v>
      </c>
      <c r="BG481">
        <v>0</v>
      </c>
      <c r="BH481">
        <v>8</v>
      </c>
      <c r="BI481">
        <v>200</v>
      </c>
      <c r="BJ481">
        <v>55.2</v>
      </c>
      <c r="BK481">
        <v>200</v>
      </c>
      <c r="BL481">
        <v>1725</v>
      </c>
      <c r="BM481">
        <v>258.75</v>
      </c>
      <c r="BN481">
        <v>1983.75</v>
      </c>
      <c r="BO481">
        <v>1983.75</v>
      </c>
      <c r="BQ481" t="s">
        <v>1415</v>
      </c>
      <c r="BR481" t="s">
        <v>1416</v>
      </c>
      <c r="BS481" t="s">
        <v>653</v>
      </c>
      <c r="BY481">
        <v>68975</v>
      </c>
      <c r="BZ481" t="s">
        <v>137</v>
      </c>
      <c r="CC481" t="s">
        <v>1413</v>
      </c>
      <c r="CD481">
        <v>3370</v>
      </c>
      <c r="CE481" t="s">
        <v>130</v>
      </c>
      <c r="CI481">
        <v>2</v>
      </c>
      <c r="CJ481" t="s">
        <v>653</v>
      </c>
      <c r="CK481">
        <v>43</v>
      </c>
      <c r="CL481" t="s">
        <v>84</v>
      </c>
    </row>
    <row r="482" spans="1:90" x14ac:dyDescent="0.25">
      <c r="A482" t="s">
        <v>1417</v>
      </c>
      <c r="B482" t="s">
        <v>1400</v>
      </c>
      <c r="C482" t="s">
        <v>74</v>
      </c>
      <c r="E482" t="str">
        <f>"009941108102"</f>
        <v>009941108102</v>
      </c>
      <c r="F482" s="3">
        <v>44617</v>
      </c>
      <c r="G482">
        <v>202208</v>
      </c>
      <c r="H482" t="s">
        <v>282</v>
      </c>
      <c r="I482" t="s">
        <v>283</v>
      </c>
      <c r="J482" t="s">
        <v>1401</v>
      </c>
      <c r="K482" t="s">
        <v>78</v>
      </c>
      <c r="L482" t="s">
        <v>1418</v>
      </c>
      <c r="M482" t="s">
        <v>1419</v>
      </c>
      <c r="N482" t="s">
        <v>1401</v>
      </c>
      <c r="O482" t="s">
        <v>125</v>
      </c>
      <c r="P482" t="str">
        <f>"                              "</f>
        <v xml:space="preserve">                              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0</v>
      </c>
      <c r="W482">
        <v>0</v>
      </c>
      <c r="X482">
        <v>0</v>
      </c>
      <c r="Y482">
        <v>0</v>
      </c>
      <c r="Z482">
        <v>0</v>
      </c>
      <c r="AA482">
        <v>0</v>
      </c>
      <c r="AB482">
        <v>0</v>
      </c>
      <c r="AC482">
        <v>0</v>
      </c>
      <c r="AD482">
        <v>0</v>
      </c>
      <c r="AE482">
        <v>0</v>
      </c>
      <c r="AF482">
        <v>0</v>
      </c>
      <c r="AG482">
        <v>0</v>
      </c>
      <c r="AH482">
        <v>0</v>
      </c>
      <c r="AI482">
        <v>0</v>
      </c>
      <c r="AJ482">
        <v>0</v>
      </c>
      <c r="AK482">
        <v>45.72</v>
      </c>
      <c r="AL482">
        <v>0</v>
      </c>
      <c r="AM482">
        <v>0</v>
      </c>
      <c r="AN482">
        <v>0</v>
      </c>
      <c r="AO482">
        <v>0</v>
      </c>
      <c r="AP482">
        <v>0</v>
      </c>
      <c r="AQ482">
        <v>0</v>
      </c>
      <c r="AR482">
        <v>0</v>
      </c>
      <c r="AS482">
        <v>0</v>
      </c>
      <c r="AT482">
        <v>0</v>
      </c>
      <c r="AU482">
        <v>0</v>
      </c>
      <c r="AV482">
        <v>0</v>
      </c>
      <c r="AW482">
        <v>0</v>
      </c>
      <c r="AX482">
        <v>0</v>
      </c>
      <c r="AY482">
        <v>0</v>
      </c>
      <c r="AZ482">
        <v>0</v>
      </c>
      <c r="BA482">
        <v>0</v>
      </c>
      <c r="BB482">
        <v>0</v>
      </c>
      <c r="BC482">
        <v>0</v>
      </c>
      <c r="BD482">
        <v>0</v>
      </c>
      <c r="BE482">
        <v>0</v>
      </c>
      <c r="BF482">
        <v>0</v>
      </c>
      <c r="BG482">
        <v>0</v>
      </c>
      <c r="BH482">
        <v>1</v>
      </c>
      <c r="BI482">
        <v>1</v>
      </c>
      <c r="BJ482">
        <v>0.2</v>
      </c>
      <c r="BK482">
        <v>1</v>
      </c>
      <c r="BL482">
        <v>169.72</v>
      </c>
      <c r="BM482">
        <v>25.46</v>
      </c>
      <c r="BN482">
        <v>195.18</v>
      </c>
      <c r="BO482">
        <v>195.18</v>
      </c>
      <c r="BQ482" t="s">
        <v>1420</v>
      </c>
      <c r="BR482" t="s">
        <v>1421</v>
      </c>
      <c r="BS482" t="s">
        <v>653</v>
      </c>
      <c r="BY482">
        <v>1200</v>
      </c>
      <c r="BZ482" t="s">
        <v>1422</v>
      </c>
      <c r="CC482" t="s">
        <v>1419</v>
      </c>
      <c r="CD482">
        <v>8600</v>
      </c>
      <c r="CE482" t="s">
        <v>130</v>
      </c>
      <c r="CI482">
        <v>1</v>
      </c>
      <c r="CJ482" t="s">
        <v>653</v>
      </c>
      <c r="CK482">
        <v>43</v>
      </c>
      <c r="CL482" t="s">
        <v>84</v>
      </c>
    </row>
    <row r="483" spans="1:90" x14ac:dyDescent="0.25">
      <c r="A483" t="s">
        <v>1399</v>
      </c>
      <c r="B483" t="s">
        <v>1400</v>
      </c>
      <c r="C483" t="s">
        <v>74</v>
      </c>
      <c r="E483" t="str">
        <f>"009940901413"</f>
        <v>009940901413</v>
      </c>
      <c r="F483" s="3">
        <v>44593</v>
      </c>
      <c r="G483">
        <v>202208</v>
      </c>
      <c r="H483" t="s">
        <v>401</v>
      </c>
      <c r="I483" t="s">
        <v>402</v>
      </c>
      <c r="J483" t="s">
        <v>1401</v>
      </c>
      <c r="K483" t="s">
        <v>78</v>
      </c>
      <c r="L483" t="s">
        <v>1185</v>
      </c>
      <c r="M483" t="s">
        <v>1186</v>
      </c>
      <c r="N483" t="s">
        <v>1423</v>
      </c>
      <c r="O483" t="s">
        <v>125</v>
      </c>
      <c r="P483" t="str">
        <f>"                              "</f>
        <v xml:space="preserve">                              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0</v>
      </c>
      <c r="W483">
        <v>0</v>
      </c>
      <c r="X483">
        <v>0</v>
      </c>
      <c r="Y483">
        <v>0</v>
      </c>
      <c r="Z483">
        <v>0</v>
      </c>
      <c r="AA483">
        <v>0</v>
      </c>
      <c r="AB483">
        <v>0</v>
      </c>
      <c r="AC483">
        <v>0</v>
      </c>
      <c r="AD483">
        <v>0</v>
      </c>
      <c r="AE483">
        <v>0</v>
      </c>
      <c r="AF483">
        <v>0</v>
      </c>
      <c r="AG483">
        <v>0</v>
      </c>
      <c r="AH483">
        <v>0</v>
      </c>
      <c r="AI483">
        <v>0</v>
      </c>
      <c r="AJ483">
        <v>0</v>
      </c>
      <c r="AK483">
        <v>75.97</v>
      </c>
      <c r="AL483">
        <v>0</v>
      </c>
      <c r="AM483">
        <v>0</v>
      </c>
      <c r="AN483">
        <v>0</v>
      </c>
      <c r="AO483">
        <v>0</v>
      </c>
      <c r="AP483">
        <v>0</v>
      </c>
      <c r="AQ483">
        <v>0</v>
      </c>
      <c r="AR483">
        <v>0</v>
      </c>
      <c r="AS483">
        <v>0</v>
      </c>
      <c r="AT483">
        <v>0</v>
      </c>
      <c r="AU483">
        <v>0</v>
      </c>
      <c r="AV483">
        <v>0</v>
      </c>
      <c r="AW483">
        <v>0</v>
      </c>
      <c r="AX483">
        <v>0</v>
      </c>
      <c r="AY483">
        <v>0</v>
      </c>
      <c r="AZ483">
        <v>0</v>
      </c>
      <c r="BA483">
        <v>0</v>
      </c>
      <c r="BB483">
        <v>0</v>
      </c>
      <c r="BC483">
        <v>0</v>
      </c>
      <c r="BD483">
        <v>0</v>
      </c>
      <c r="BE483">
        <v>0</v>
      </c>
      <c r="BF483">
        <v>0</v>
      </c>
      <c r="BG483">
        <v>0</v>
      </c>
      <c r="BH483">
        <v>3</v>
      </c>
      <c r="BI483">
        <v>65</v>
      </c>
      <c r="BJ483">
        <v>55.5</v>
      </c>
      <c r="BK483">
        <v>65</v>
      </c>
      <c r="BL483">
        <v>295.20999999999998</v>
      </c>
      <c r="BM483">
        <v>44.28</v>
      </c>
      <c r="BN483">
        <v>339.49</v>
      </c>
      <c r="BO483">
        <v>339.49</v>
      </c>
      <c r="BQ483" t="s">
        <v>1424</v>
      </c>
      <c r="BS483" s="3">
        <v>44594</v>
      </c>
      <c r="BT483" s="4">
        <v>0.6069444444444444</v>
      </c>
      <c r="BU483" t="s">
        <v>1425</v>
      </c>
      <c r="BV483" t="s">
        <v>101</v>
      </c>
      <c r="BY483">
        <v>277250</v>
      </c>
      <c r="BZ483" t="s">
        <v>137</v>
      </c>
      <c r="CA483" t="s">
        <v>1368</v>
      </c>
      <c r="CC483" t="s">
        <v>1186</v>
      </c>
      <c r="CD483">
        <v>850</v>
      </c>
      <c r="CE483" t="s">
        <v>130</v>
      </c>
      <c r="CF483" s="3">
        <v>44594</v>
      </c>
      <c r="CI483">
        <v>1</v>
      </c>
      <c r="CJ483">
        <v>1</v>
      </c>
      <c r="CK483">
        <v>44</v>
      </c>
      <c r="CL483" t="s">
        <v>84</v>
      </c>
    </row>
    <row r="484" spans="1:90" x14ac:dyDescent="0.25">
      <c r="A484" t="s">
        <v>1417</v>
      </c>
      <c r="B484" t="s">
        <v>1400</v>
      </c>
      <c r="C484" t="s">
        <v>74</v>
      </c>
      <c r="E484" t="str">
        <f>"009942086272"</f>
        <v>009942086272</v>
      </c>
      <c r="F484" s="3">
        <v>44601</v>
      </c>
      <c r="G484">
        <v>202208</v>
      </c>
      <c r="H484" t="s">
        <v>123</v>
      </c>
      <c r="I484" t="s">
        <v>124</v>
      </c>
      <c r="J484" t="s">
        <v>1426</v>
      </c>
      <c r="K484" t="s">
        <v>78</v>
      </c>
      <c r="L484" t="s">
        <v>649</v>
      </c>
      <c r="M484" t="s">
        <v>650</v>
      </c>
      <c r="N484" t="s">
        <v>1401</v>
      </c>
      <c r="O484" t="s">
        <v>125</v>
      </c>
      <c r="P484" t="str">
        <f>"                              "</f>
        <v xml:space="preserve">                              </v>
      </c>
      <c r="Q484">
        <v>0</v>
      </c>
      <c r="R484">
        <v>0</v>
      </c>
      <c r="S484">
        <v>0</v>
      </c>
      <c r="T484">
        <v>0</v>
      </c>
      <c r="U484">
        <v>0</v>
      </c>
      <c r="V484">
        <v>0</v>
      </c>
      <c r="W484">
        <v>0</v>
      </c>
      <c r="X484">
        <v>0</v>
      </c>
      <c r="Y484">
        <v>0</v>
      </c>
      <c r="Z484">
        <v>0</v>
      </c>
      <c r="AA484">
        <v>0</v>
      </c>
      <c r="AB484">
        <v>0</v>
      </c>
      <c r="AC484">
        <v>0</v>
      </c>
      <c r="AD484">
        <v>0</v>
      </c>
      <c r="AE484">
        <v>0</v>
      </c>
      <c r="AF484">
        <v>0</v>
      </c>
      <c r="AG484">
        <v>0</v>
      </c>
      <c r="AH484">
        <v>0</v>
      </c>
      <c r="AI484">
        <v>0</v>
      </c>
      <c r="AJ484">
        <v>0</v>
      </c>
      <c r="AK484">
        <v>32.42</v>
      </c>
      <c r="AL484">
        <v>0</v>
      </c>
      <c r="AM484">
        <v>0</v>
      </c>
      <c r="AN484">
        <v>0</v>
      </c>
      <c r="AO484">
        <v>0</v>
      </c>
      <c r="AP484">
        <v>0</v>
      </c>
      <c r="AQ484">
        <v>0</v>
      </c>
      <c r="AR484">
        <v>0</v>
      </c>
      <c r="AS484">
        <v>0</v>
      </c>
      <c r="AT484">
        <v>0</v>
      </c>
      <c r="AU484">
        <v>0</v>
      </c>
      <c r="AV484">
        <v>0</v>
      </c>
      <c r="AW484">
        <v>0</v>
      </c>
      <c r="AX484">
        <v>0</v>
      </c>
      <c r="AY484">
        <v>0</v>
      </c>
      <c r="AZ484">
        <v>0</v>
      </c>
      <c r="BA484">
        <v>0</v>
      </c>
      <c r="BB484">
        <v>0</v>
      </c>
      <c r="BC484">
        <v>0</v>
      </c>
      <c r="BD484">
        <v>0</v>
      </c>
      <c r="BE484">
        <v>0</v>
      </c>
      <c r="BF484">
        <v>0</v>
      </c>
      <c r="BG484">
        <v>0</v>
      </c>
      <c r="BH484">
        <v>1</v>
      </c>
      <c r="BI484">
        <v>10</v>
      </c>
      <c r="BJ484">
        <v>4.8</v>
      </c>
      <c r="BK484">
        <v>10</v>
      </c>
      <c r="BL484">
        <v>121.87</v>
      </c>
      <c r="BM484">
        <v>18.28</v>
      </c>
      <c r="BN484">
        <v>140.15</v>
      </c>
      <c r="BO484">
        <v>140.15</v>
      </c>
      <c r="BP484" t="s">
        <v>1427</v>
      </c>
      <c r="BQ484" t="s">
        <v>1428</v>
      </c>
      <c r="BR484" t="s">
        <v>1429</v>
      </c>
      <c r="BS484" s="3">
        <v>44603</v>
      </c>
      <c r="BT484" s="4">
        <v>0.34722222222222227</v>
      </c>
      <c r="BU484" t="s">
        <v>1430</v>
      </c>
      <c r="BV484" t="s">
        <v>84</v>
      </c>
      <c r="BW484" t="s">
        <v>727</v>
      </c>
      <c r="BX484" t="s">
        <v>1431</v>
      </c>
      <c r="BY484">
        <v>24000</v>
      </c>
      <c r="BZ484" t="s">
        <v>137</v>
      </c>
      <c r="CA484" t="s">
        <v>1432</v>
      </c>
      <c r="CC484" t="s">
        <v>650</v>
      </c>
      <c r="CD484">
        <v>5200</v>
      </c>
      <c r="CE484" t="s">
        <v>130</v>
      </c>
      <c r="CF484" s="3">
        <v>44606</v>
      </c>
      <c r="CI484">
        <v>1</v>
      </c>
      <c r="CJ484">
        <v>2</v>
      </c>
      <c r="CK484">
        <v>41</v>
      </c>
      <c r="CL484" t="s">
        <v>84</v>
      </c>
    </row>
    <row r="485" spans="1:90" x14ac:dyDescent="0.25">
      <c r="A485" t="s">
        <v>1417</v>
      </c>
      <c r="B485" t="s">
        <v>1400</v>
      </c>
      <c r="C485" t="s">
        <v>74</v>
      </c>
      <c r="E485" t="str">
        <f>"009942086249"</f>
        <v>009942086249</v>
      </c>
      <c r="F485" s="3">
        <v>44601</v>
      </c>
      <c r="G485">
        <v>202208</v>
      </c>
      <c r="H485" t="s">
        <v>123</v>
      </c>
      <c r="I485" t="s">
        <v>124</v>
      </c>
      <c r="J485" t="s">
        <v>1426</v>
      </c>
      <c r="K485" t="s">
        <v>78</v>
      </c>
      <c r="L485" t="s">
        <v>153</v>
      </c>
      <c r="M485" t="s">
        <v>154</v>
      </c>
      <c r="N485" t="s">
        <v>1433</v>
      </c>
      <c r="O485" t="s">
        <v>125</v>
      </c>
      <c r="P485" t="str">
        <f>"                              "</f>
        <v xml:space="preserve">                              </v>
      </c>
      <c r="Q485">
        <v>0</v>
      </c>
      <c r="R485">
        <v>0</v>
      </c>
      <c r="S485">
        <v>0</v>
      </c>
      <c r="T485">
        <v>0</v>
      </c>
      <c r="U485">
        <v>0</v>
      </c>
      <c r="V485">
        <v>0</v>
      </c>
      <c r="W485">
        <v>0</v>
      </c>
      <c r="X485">
        <v>0</v>
      </c>
      <c r="Y485">
        <v>0</v>
      </c>
      <c r="Z485">
        <v>0</v>
      </c>
      <c r="AA485">
        <v>0</v>
      </c>
      <c r="AB485">
        <v>0</v>
      </c>
      <c r="AC485">
        <v>0</v>
      </c>
      <c r="AD485">
        <v>0</v>
      </c>
      <c r="AE485">
        <v>0</v>
      </c>
      <c r="AF485">
        <v>0</v>
      </c>
      <c r="AG485">
        <v>0</v>
      </c>
      <c r="AH485">
        <v>0</v>
      </c>
      <c r="AI485">
        <v>0</v>
      </c>
      <c r="AJ485">
        <v>0</v>
      </c>
      <c r="AK485">
        <v>39.1</v>
      </c>
      <c r="AL485">
        <v>0</v>
      </c>
      <c r="AM485">
        <v>0</v>
      </c>
      <c r="AN485">
        <v>0</v>
      </c>
      <c r="AO485">
        <v>0</v>
      </c>
      <c r="AP485">
        <v>0</v>
      </c>
      <c r="AQ485">
        <v>0</v>
      </c>
      <c r="AR485">
        <v>0</v>
      </c>
      <c r="AS485">
        <v>0</v>
      </c>
      <c r="AT485">
        <v>0</v>
      </c>
      <c r="AU485">
        <v>0</v>
      </c>
      <c r="AV485">
        <v>0</v>
      </c>
      <c r="AW485">
        <v>0</v>
      </c>
      <c r="AX485">
        <v>0</v>
      </c>
      <c r="AY485">
        <v>0</v>
      </c>
      <c r="AZ485">
        <v>0</v>
      </c>
      <c r="BA485">
        <v>0</v>
      </c>
      <c r="BB485">
        <v>0</v>
      </c>
      <c r="BC485">
        <v>0</v>
      </c>
      <c r="BD485">
        <v>0</v>
      </c>
      <c r="BE485">
        <v>0</v>
      </c>
      <c r="BF485">
        <v>0</v>
      </c>
      <c r="BG485">
        <v>0</v>
      </c>
      <c r="BH485">
        <v>2</v>
      </c>
      <c r="BI485">
        <v>20</v>
      </c>
      <c r="BJ485">
        <v>9.6</v>
      </c>
      <c r="BK485">
        <v>20</v>
      </c>
      <c r="BL485">
        <v>145.9</v>
      </c>
      <c r="BM485">
        <v>21.89</v>
      </c>
      <c r="BN485">
        <v>167.79</v>
      </c>
      <c r="BO485">
        <v>167.79</v>
      </c>
      <c r="BQ485" t="s">
        <v>1434</v>
      </c>
      <c r="BR485" t="s">
        <v>1429</v>
      </c>
      <c r="BS485" s="3">
        <v>44606</v>
      </c>
      <c r="BT485" s="4">
        <v>0.47083333333333338</v>
      </c>
      <c r="BU485" t="s">
        <v>1435</v>
      </c>
      <c r="BV485" t="s">
        <v>84</v>
      </c>
      <c r="BW485" t="s">
        <v>801</v>
      </c>
      <c r="BX485" t="s">
        <v>787</v>
      </c>
      <c r="BY485">
        <v>24000</v>
      </c>
      <c r="BZ485" t="s">
        <v>137</v>
      </c>
      <c r="CC485" t="s">
        <v>154</v>
      </c>
      <c r="CD485">
        <v>2090</v>
      </c>
      <c r="CE485" t="s">
        <v>130</v>
      </c>
      <c r="CF485" s="3">
        <v>44607</v>
      </c>
      <c r="CI485">
        <v>2</v>
      </c>
      <c r="CJ485">
        <v>3</v>
      </c>
      <c r="CK485">
        <v>41</v>
      </c>
      <c r="CL485" t="s">
        <v>84</v>
      </c>
    </row>
    <row r="486" spans="1:90" x14ac:dyDescent="0.25">
      <c r="A486" t="s">
        <v>1417</v>
      </c>
      <c r="B486" t="s">
        <v>1400</v>
      </c>
      <c r="C486" t="s">
        <v>74</v>
      </c>
      <c r="E486" t="str">
        <f>"009941108094"</f>
        <v>009941108094</v>
      </c>
      <c r="F486" s="3">
        <v>44601</v>
      </c>
      <c r="G486">
        <v>202208</v>
      </c>
      <c r="H486" t="s">
        <v>282</v>
      </c>
      <c r="I486" t="s">
        <v>283</v>
      </c>
      <c r="J486" t="s">
        <v>1401</v>
      </c>
      <c r="K486" t="s">
        <v>78</v>
      </c>
      <c r="L486" t="s">
        <v>1436</v>
      </c>
      <c r="M486" t="s">
        <v>1437</v>
      </c>
      <c r="N486" t="s">
        <v>1401</v>
      </c>
      <c r="O486" t="s">
        <v>125</v>
      </c>
      <c r="P486" t="str">
        <f>"00000                         "</f>
        <v xml:space="preserve">00000                         </v>
      </c>
      <c r="Q486">
        <v>0</v>
      </c>
      <c r="R486">
        <v>0</v>
      </c>
      <c r="S486">
        <v>0</v>
      </c>
      <c r="T486">
        <v>0</v>
      </c>
      <c r="U486">
        <v>0</v>
      </c>
      <c r="V486">
        <v>0</v>
      </c>
      <c r="W486">
        <v>0</v>
      </c>
      <c r="X486">
        <v>0</v>
      </c>
      <c r="Y486">
        <v>0</v>
      </c>
      <c r="Z486">
        <v>0</v>
      </c>
      <c r="AA486">
        <v>0</v>
      </c>
      <c r="AB486">
        <v>0</v>
      </c>
      <c r="AC486">
        <v>0</v>
      </c>
      <c r="AD486">
        <v>0</v>
      </c>
      <c r="AE486">
        <v>0</v>
      </c>
      <c r="AF486">
        <v>0</v>
      </c>
      <c r="AG486">
        <v>0</v>
      </c>
      <c r="AH486">
        <v>0</v>
      </c>
      <c r="AI486">
        <v>0</v>
      </c>
      <c r="AJ486">
        <v>0</v>
      </c>
      <c r="AK486">
        <v>45.72</v>
      </c>
      <c r="AL486">
        <v>0</v>
      </c>
      <c r="AM486">
        <v>0</v>
      </c>
      <c r="AN486">
        <v>0</v>
      </c>
      <c r="AO486">
        <v>0</v>
      </c>
      <c r="AP486">
        <v>0</v>
      </c>
      <c r="AQ486">
        <v>0</v>
      </c>
      <c r="AR486">
        <v>0</v>
      </c>
      <c r="AS486">
        <v>0</v>
      </c>
      <c r="AT486">
        <v>0</v>
      </c>
      <c r="AU486">
        <v>0</v>
      </c>
      <c r="AV486">
        <v>0</v>
      </c>
      <c r="AW486">
        <v>0</v>
      </c>
      <c r="AX486">
        <v>0</v>
      </c>
      <c r="AY486">
        <v>0</v>
      </c>
      <c r="AZ486">
        <v>0</v>
      </c>
      <c r="BA486">
        <v>0</v>
      </c>
      <c r="BB486">
        <v>0</v>
      </c>
      <c r="BC486">
        <v>0</v>
      </c>
      <c r="BD486">
        <v>0</v>
      </c>
      <c r="BE486">
        <v>0</v>
      </c>
      <c r="BF486">
        <v>0</v>
      </c>
      <c r="BG486">
        <v>0</v>
      </c>
      <c r="BH486">
        <v>1</v>
      </c>
      <c r="BI486">
        <v>1</v>
      </c>
      <c r="BJ486">
        <v>0.2</v>
      </c>
      <c r="BK486">
        <v>1</v>
      </c>
      <c r="BL486">
        <v>169.72</v>
      </c>
      <c r="BM486">
        <v>25.46</v>
      </c>
      <c r="BN486">
        <v>195.18</v>
      </c>
      <c r="BO486">
        <v>195.18</v>
      </c>
      <c r="BR486" t="s">
        <v>1421</v>
      </c>
      <c r="BS486" s="3">
        <v>44602</v>
      </c>
      <c r="BT486" s="4">
        <v>0.50486111111111109</v>
      </c>
      <c r="BU486" t="s">
        <v>1438</v>
      </c>
      <c r="BV486" t="s">
        <v>101</v>
      </c>
      <c r="BY486">
        <v>1200</v>
      </c>
      <c r="BZ486" t="s">
        <v>137</v>
      </c>
      <c r="CA486" t="s">
        <v>928</v>
      </c>
      <c r="CC486" t="s">
        <v>1437</v>
      </c>
      <c r="CD486">
        <v>2146</v>
      </c>
      <c r="CE486" t="s">
        <v>130</v>
      </c>
      <c r="CF486" s="3">
        <v>44603</v>
      </c>
      <c r="CI486">
        <v>1</v>
      </c>
      <c r="CJ486">
        <v>1</v>
      </c>
      <c r="CK486">
        <v>43</v>
      </c>
      <c r="CL486" t="s">
        <v>84</v>
      </c>
    </row>
    <row r="487" spans="1:90" x14ac:dyDescent="0.25">
      <c r="A487" t="s">
        <v>1417</v>
      </c>
      <c r="B487" t="s">
        <v>1400</v>
      </c>
      <c r="C487" t="s">
        <v>74</v>
      </c>
      <c r="E487" t="str">
        <f>"009941567796"</f>
        <v>009941567796</v>
      </c>
      <c r="F487" s="3">
        <v>44608</v>
      </c>
      <c r="G487">
        <v>202208</v>
      </c>
      <c r="H487" t="s">
        <v>1436</v>
      </c>
      <c r="I487" t="s">
        <v>1437</v>
      </c>
      <c r="J487" t="s">
        <v>1401</v>
      </c>
      <c r="K487" t="s">
        <v>78</v>
      </c>
      <c r="L487" t="s">
        <v>466</v>
      </c>
      <c r="M487" t="s">
        <v>467</v>
      </c>
      <c r="N487" t="s">
        <v>1401</v>
      </c>
      <c r="O487" t="s">
        <v>80</v>
      </c>
      <c r="P487" t="str">
        <f>"STORES                        "</f>
        <v xml:space="preserve">STORES                        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0</v>
      </c>
      <c r="W487">
        <v>0</v>
      </c>
      <c r="X487">
        <v>0</v>
      </c>
      <c r="Y487">
        <v>0</v>
      </c>
      <c r="Z487">
        <v>0</v>
      </c>
      <c r="AA487">
        <v>0</v>
      </c>
      <c r="AB487">
        <v>0</v>
      </c>
      <c r="AC487">
        <v>0</v>
      </c>
      <c r="AD487">
        <v>0</v>
      </c>
      <c r="AE487">
        <v>0</v>
      </c>
      <c r="AF487">
        <v>0</v>
      </c>
      <c r="AG487">
        <v>0</v>
      </c>
      <c r="AH487">
        <v>0</v>
      </c>
      <c r="AI487">
        <v>0</v>
      </c>
      <c r="AJ487">
        <v>0</v>
      </c>
      <c r="AK487">
        <v>32.479999999999997</v>
      </c>
      <c r="AL487">
        <v>0</v>
      </c>
      <c r="AM487">
        <v>0</v>
      </c>
      <c r="AN487">
        <v>0</v>
      </c>
      <c r="AO487">
        <v>0</v>
      </c>
      <c r="AP487">
        <v>0</v>
      </c>
      <c r="AQ487">
        <v>0</v>
      </c>
      <c r="AR487">
        <v>0</v>
      </c>
      <c r="AS487">
        <v>0</v>
      </c>
      <c r="AT487">
        <v>0</v>
      </c>
      <c r="AU487">
        <v>0</v>
      </c>
      <c r="AV487">
        <v>0</v>
      </c>
      <c r="AW487">
        <v>0</v>
      </c>
      <c r="AX487">
        <v>0</v>
      </c>
      <c r="AY487">
        <v>0</v>
      </c>
      <c r="AZ487">
        <v>0</v>
      </c>
      <c r="BA487">
        <v>0</v>
      </c>
      <c r="BB487">
        <v>0</v>
      </c>
      <c r="BC487">
        <v>0</v>
      </c>
      <c r="BD487">
        <v>0</v>
      </c>
      <c r="BE487">
        <v>0</v>
      </c>
      <c r="BF487">
        <v>0</v>
      </c>
      <c r="BG487">
        <v>0</v>
      </c>
      <c r="BH487">
        <v>1</v>
      </c>
      <c r="BI487">
        <v>1</v>
      </c>
      <c r="BJ487">
        <v>0.2</v>
      </c>
      <c r="BK487">
        <v>1</v>
      </c>
      <c r="BL487">
        <v>116.84</v>
      </c>
      <c r="BM487">
        <v>17.53</v>
      </c>
      <c r="BN487">
        <v>134.37</v>
      </c>
      <c r="BO487">
        <v>134.37</v>
      </c>
      <c r="BQ487" t="s">
        <v>1439</v>
      </c>
      <c r="BR487" t="s">
        <v>1440</v>
      </c>
      <c r="BS487" s="3">
        <v>44613</v>
      </c>
      <c r="BT487" s="4">
        <v>0.34027777777777773</v>
      </c>
      <c r="BU487" t="s">
        <v>305</v>
      </c>
      <c r="BV487" t="s">
        <v>84</v>
      </c>
      <c r="BW487" t="s">
        <v>727</v>
      </c>
      <c r="BX487" t="s">
        <v>1101</v>
      </c>
      <c r="BY487">
        <v>1200</v>
      </c>
      <c r="BZ487" t="s">
        <v>87</v>
      </c>
      <c r="CC487" t="s">
        <v>467</v>
      </c>
      <c r="CD487">
        <v>3900</v>
      </c>
      <c r="CE487" t="s">
        <v>130</v>
      </c>
      <c r="CF487" s="3">
        <v>44613</v>
      </c>
      <c r="CI487">
        <v>1</v>
      </c>
      <c r="CJ487">
        <v>3</v>
      </c>
      <c r="CK487">
        <v>23</v>
      </c>
      <c r="CL487" t="s">
        <v>84</v>
      </c>
    </row>
    <row r="488" spans="1:90" x14ac:dyDescent="0.25">
      <c r="A488" t="s">
        <v>1417</v>
      </c>
      <c r="B488" t="s">
        <v>1400</v>
      </c>
      <c r="C488" t="s">
        <v>74</v>
      </c>
      <c r="E488" t="str">
        <f>"009936115823"</f>
        <v>009936115823</v>
      </c>
      <c r="F488" s="3">
        <v>44608</v>
      </c>
      <c r="G488">
        <v>202208</v>
      </c>
      <c r="H488" t="s">
        <v>1436</v>
      </c>
      <c r="I488" t="s">
        <v>1437</v>
      </c>
      <c r="J488" t="s">
        <v>1401</v>
      </c>
      <c r="K488" t="s">
        <v>78</v>
      </c>
      <c r="L488" t="s">
        <v>123</v>
      </c>
      <c r="M488" t="s">
        <v>124</v>
      </c>
      <c r="N488" t="s">
        <v>1441</v>
      </c>
      <c r="O488" t="s">
        <v>80</v>
      </c>
      <c r="P488" t="str">
        <f>"STORES                        "</f>
        <v xml:space="preserve">STORES                        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0</v>
      </c>
      <c r="W488">
        <v>0</v>
      </c>
      <c r="X488">
        <v>0</v>
      </c>
      <c r="Y488">
        <v>0</v>
      </c>
      <c r="Z488">
        <v>0</v>
      </c>
      <c r="AA488">
        <v>0</v>
      </c>
      <c r="AB488">
        <v>0</v>
      </c>
      <c r="AC488">
        <v>0</v>
      </c>
      <c r="AD488">
        <v>0</v>
      </c>
      <c r="AE488">
        <v>0</v>
      </c>
      <c r="AF488">
        <v>0</v>
      </c>
      <c r="AG488">
        <v>0</v>
      </c>
      <c r="AH488">
        <v>0</v>
      </c>
      <c r="AI488">
        <v>0</v>
      </c>
      <c r="AJ488">
        <v>0</v>
      </c>
      <c r="AK488">
        <v>16.760000000000002</v>
      </c>
      <c r="AL488">
        <v>0</v>
      </c>
      <c r="AM488">
        <v>0</v>
      </c>
      <c r="AN488">
        <v>0</v>
      </c>
      <c r="AO488">
        <v>0</v>
      </c>
      <c r="AP488">
        <v>0</v>
      </c>
      <c r="AQ488">
        <v>0</v>
      </c>
      <c r="AR488">
        <v>0</v>
      </c>
      <c r="AS488">
        <v>0</v>
      </c>
      <c r="AT488">
        <v>0</v>
      </c>
      <c r="AU488">
        <v>0</v>
      </c>
      <c r="AV488">
        <v>0</v>
      </c>
      <c r="AW488">
        <v>0</v>
      </c>
      <c r="AX488">
        <v>0</v>
      </c>
      <c r="AY488">
        <v>0</v>
      </c>
      <c r="AZ488">
        <v>0</v>
      </c>
      <c r="BA488">
        <v>0</v>
      </c>
      <c r="BB488">
        <v>0</v>
      </c>
      <c r="BC488">
        <v>0</v>
      </c>
      <c r="BD488">
        <v>0</v>
      </c>
      <c r="BE488">
        <v>0</v>
      </c>
      <c r="BF488">
        <v>0</v>
      </c>
      <c r="BG488">
        <v>0</v>
      </c>
      <c r="BH488">
        <v>1</v>
      </c>
      <c r="BI488">
        <v>1</v>
      </c>
      <c r="BJ488">
        <v>0.2</v>
      </c>
      <c r="BK488">
        <v>1</v>
      </c>
      <c r="BL488">
        <v>60.3</v>
      </c>
      <c r="BM488">
        <v>9.0500000000000007</v>
      </c>
      <c r="BN488">
        <v>69.349999999999994</v>
      </c>
      <c r="BO488">
        <v>69.349999999999994</v>
      </c>
      <c r="BQ488" t="s">
        <v>1442</v>
      </c>
      <c r="BR488" t="s">
        <v>1443</v>
      </c>
      <c r="BS488" s="3">
        <v>44609</v>
      </c>
      <c r="BT488" s="4">
        <v>0.41250000000000003</v>
      </c>
      <c r="BU488" t="s">
        <v>1444</v>
      </c>
      <c r="BV488" t="s">
        <v>101</v>
      </c>
      <c r="BY488">
        <v>1200</v>
      </c>
      <c r="BZ488" t="s">
        <v>87</v>
      </c>
      <c r="CA488" t="s">
        <v>1445</v>
      </c>
      <c r="CC488" t="s">
        <v>124</v>
      </c>
      <c r="CD488">
        <v>6045</v>
      </c>
      <c r="CE488" t="s">
        <v>130</v>
      </c>
      <c r="CF488" s="3">
        <v>44610</v>
      </c>
      <c r="CI488">
        <v>1</v>
      </c>
      <c r="CJ488">
        <v>1</v>
      </c>
      <c r="CK488">
        <v>21</v>
      </c>
      <c r="CL488" t="s">
        <v>84</v>
      </c>
    </row>
    <row r="489" spans="1:90" x14ac:dyDescent="0.25">
      <c r="A489" t="s">
        <v>1399</v>
      </c>
      <c r="B489" t="s">
        <v>1400</v>
      </c>
      <c r="C489" t="s">
        <v>74</v>
      </c>
      <c r="E489" t="str">
        <f>"009941050272"</f>
        <v>009941050272</v>
      </c>
      <c r="F489" s="3">
        <v>44608</v>
      </c>
      <c r="G489">
        <v>202208</v>
      </c>
      <c r="H489" t="s">
        <v>131</v>
      </c>
      <c r="I489" t="s">
        <v>132</v>
      </c>
      <c r="J489" t="s">
        <v>1406</v>
      </c>
      <c r="K489" t="s">
        <v>78</v>
      </c>
      <c r="L489" t="s">
        <v>1436</v>
      </c>
      <c r="M489" t="s">
        <v>1437</v>
      </c>
      <c r="N489" t="s">
        <v>1401</v>
      </c>
      <c r="O489" t="s">
        <v>125</v>
      </c>
      <c r="P489" t="str">
        <f>"181 206 0151                  "</f>
        <v xml:space="preserve">181 206 0151                  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0</v>
      </c>
      <c r="W489">
        <v>0</v>
      </c>
      <c r="X489">
        <v>0</v>
      </c>
      <c r="Y489">
        <v>0</v>
      </c>
      <c r="Z489">
        <v>0</v>
      </c>
      <c r="AA489">
        <v>0</v>
      </c>
      <c r="AB489">
        <v>0</v>
      </c>
      <c r="AC489">
        <v>0</v>
      </c>
      <c r="AD489">
        <v>0</v>
      </c>
      <c r="AE489">
        <v>0</v>
      </c>
      <c r="AF489">
        <v>0</v>
      </c>
      <c r="AG489">
        <v>0</v>
      </c>
      <c r="AH489">
        <v>0</v>
      </c>
      <c r="AI489">
        <v>0</v>
      </c>
      <c r="AJ489">
        <v>0</v>
      </c>
      <c r="AK489">
        <v>119.25</v>
      </c>
      <c r="AL489">
        <v>0</v>
      </c>
      <c r="AM489">
        <v>0</v>
      </c>
      <c r="AN489">
        <v>0</v>
      </c>
      <c r="AO489">
        <v>0</v>
      </c>
      <c r="AP489">
        <v>0</v>
      </c>
      <c r="AQ489">
        <v>0</v>
      </c>
      <c r="AR489">
        <v>0</v>
      </c>
      <c r="AS489">
        <v>0</v>
      </c>
      <c r="AT489">
        <v>0</v>
      </c>
      <c r="AU489">
        <v>0</v>
      </c>
      <c r="AV489">
        <v>0</v>
      </c>
      <c r="AW489">
        <v>0</v>
      </c>
      <c r="AX489">
        <v>0</v>
      </c>
      <c r="AY489">
        <v>0</v>
      </c>
      <c r="AZ489">
        <v>0</v>
      </c>
      <c r="BA489">
        <v>0</v>
      </c>
      <c r="BB489">
        <v>0</v>
      </c>
      <c r="BC489">
        <v>0</v>
      </c>
      <c r="BD489">
        <v>0</v>
      </c>
      <c r="BE489">
        <v>0</v>
      </c>
      <c r="BF489">
        <v>0</v>
      </c>
      <c r="BG489">
        <v>0</v>
      </c>
      <c r="BH489">
        <v>3</v>
      </c>
      <c r="BI489">
        <v>79.2</v>
      </c>
      <c r="BJ489">
        <v>78.2</v>
      </c>
      <c r="BK489">
        <v>80</v>
      </c>
      <c r="BL489">
        <v>434.25</v>
      </c>
      <c r="BM489">
        <v>65.14</v>
      </c>
      <c r="BN489">
        <v>499.39</v>
      </c>
      <c r="BO489">
        <v>499.39</v>
      </c>
      <c r="BQ489" t="s">
        <v>497</v>
      </c>
      <c r="BR489" t="s">
        <v>1411</v>
      </c>
      <c r="BS489" s="3">
        <v>44609</v>
      </c>
      <c r="BT489" s="4">
        <v>0.36041666666666666</v>
      </c>
      <c r="BU489" t="s">
        <v>1446</v>
      </c>
      <c r="BV489" t="s">
        <v>101</v>
      </c>
      <c r="BY489">
        <v>391032</v>
      </c>
      <c r="BZ489" t="s">
        <v>137</v>
      </c>
      <c r="CA489" t="s">
        <v>928</v>
      </c>
      <c r="CC489" t="s">
        <v>1437</v>
      </c>
      <c r="CD489">
        <v>2146</v>
      </c>
      <c r="CE489" t="s">
        <v>130</v>
      </c>
      <c r="CF489" s="3">
        <v>44609</v>
      </c>
      <c r="CI489">
        <v>1</v>
      </c>
      <c r="CJ489">
        <v>1</v>
      </c>
      <c r="CK489">
        <v>41</v>
      </c>
      <c r="CL489" t="s">
        <v>84</v>
      </c>
    </row>
    <row r="490" spans="1:90" x14ac:dyDescent="0.25">
      <c r="A490" t="s">
        <v>1417</v>
      </c>
      <c r="B490" t="s">
        <v>1400</v>
      </c>
      <c r="C490" t="s">
        <v>74</v>
      </c>
      <c r="E490" t="str">
        <f>"009941962492"</f>
        <v>009941962492</v>
      </c>
      <c r="F490" s="3">
        <v>44607</v>
      </c>
      <c r="G490">
        <v>202208</v>
      </c>
      <c r="H490" t="s">
        <v>1447</v>
      </c>
      <c r="I490" t="s">
        <v>1448</v>
      </c>
      <c r="J490" t="s">
        <v>1449</v>
      </c>
      <c r="K490" t="s">
        <v>78</v>
      </c>
      <c r="L490" t="s">
        <v>153</v>
      </c>
      <c r="M490" t="s">
        <v>154</v>
      </c>
      <c r="N490" t="s">
        <v>1401</v>
      </c>
      <c r="O490" t="s">
        <v>125</v>
      </c>
      <c r="P490" t="str">
        <f>"                              "</f>
        <v xml:space="preserve">                              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0</v>
      </c>
      <c r="X490">
        <v>0</v>
      </c>
      <c r="Y490">
        <v>15</v>
      </c>
      <c r="Z490">
        <v>0</v>
      </c>
      <c r="AA490">
        <v>0</v>
      </c>
      <c r="AB490">
        <v>0</v>
      </c>
      <c r="AC490">
        <v>0</v>
      </c>
      <c r="AD490">
        <v>0</v>
      </c>
      <c r="AE490">
        <v>0</v>
      </c>
      <c r="AF490">
        <v>0</v>
      </c>
      <c r="AG490">
        <v>0</v>
      </c>
      <c r="AH490">
        <v>0</v>
      </c>
      <c r="AI490">
        <v>0</v>
      </c>
      <c r="AJ490">
        <v>0</v>
      </c>
      <c r="AK490">
        <v>80.77</v>
      </c>
      <c r="AL490">
        <v>0</v>
      </c>
      <c r="AM490">
        <v>0</v>
      </c>
      <c r="AN490">
        <v>0</v>
      </c>
      <c r="AO490">
        <v>0</v>
      </c>
      <c r="AP490">
        <v>0</v>
      </c>
      <c r="AQ490">
        <v>0</v>
      </c>
      <c r="AR490">
        <v>0</v>
      </c>
      <c r="AS490">
        <v>0</v>
      </c>
      <c r="AT490">
        <v>0</v>
      </c>
      <c r="AU490">
        <v>0</v>
      </c>
      <c r="AV490">
        <v>0</v>
      </c>
      <c r="AW490">
        <v>0</v>
      </c>
      <c r="AX490">
        <v>0</v>
      </c>
      <c r="AY490">
        <v>0</v>
      </c>
      <c r="AZ490">
        <v>0</v>
      </c>
      <c r="BA490">
        <v>0</v>
      </c>
      <c r="BB490">
        <v>0</v>
      </c>
      <c r="BC490">
        <v>0</v>
      </c>
      <c r="BD490">
        <v>0</v>
      </c>
      <c r="BE490">
        <v>0</v>
      </c>
      <c r="BF490">
        <v>0</v>
      </c>
      <c r="BG490">
        <v>0</v>
      </c>
      <c r="BH490">
        <v>3</v>
      </c>
      <c r="BI490">
        <v>23</v>
      </c>
      <c r="BJ490">
        <v>29.4</v>
      </c>
      <c r="BK490">
        <v>30</v>
      </c>
      <c r="BL490">
        <v>310.82</v>
      </c>
      <c r="BM490">
        <v>46.62</v>
      </c>
      <c r="BN490">
        <v>357.44</v>
      </c>
      <c r="BO490">
        <v>357.44</v>
      </c>
      <c r="BQ490" t="s">
        <v>1450</v>
      </c>
      <c r="BR490" t="s">
        <v>1450</v>
      </c>
      <c r="BS490" s="3">
        <v>44609</v>
      </c>
      <c r="BT490" s="4">
        <v>0.35902777777777778</v>
      </c>
      <c r="BU490" t="s">
        <v>1446</v>
      </c>
      <c r="BV490" t="s">
        <v>84</v>
      </c>
      <c r="BW490" t="s">
        <v>801</v>
      </c>
      <c r="BX490" t="s">
        <v>1451</v>
      </c>
      <c r="BY490">
        <v>87200</v>
      </c>
      <c r="BZ490" t="s">
        <v>545</v>
      </c>
      <c r="CA490" t="s">
        <v>928</v>
      </c>
      <c r="CC490" t="s">
        <v>154</v>
      </c>
      <c r="CD490">
        <v>2196</v>
      </c>
      <c r="CE490">
        <v>1</v>
      </c>
      <c r="CF490" s="3">
        <v>44609</v>
      </c>
      <c r="CI490">
        <v>1</v>
      </c>
      <c r="CJ490">
        <v>2</v>
      </c>
      <c r="CK490">
        <v>43</v>
      </c>
      <c r="CL490" t="s">
        <v>84</v>
      </c>
    </row>
    <row r="491" spans="1:90" x14ac:dyDescent="0.25">
      <c r="A491" t="s">
        <v>1417</v>
      </c>
      <c r="B491" t="s">
        <v>1400</v>
      </c>
      <c r="C491" t="s">
        <v>74</v>
      </c>
      <c r="E491" t="str">
        <f>"009941916049"</f>
        <v>009941916049</v>
      </c>
      <c r="F491" s="3">
        <v>44608</v>
      </c>
      <c r="G491">
        <v>202208</v>
      </c>
      <c r="H491" t="s">
        <v>1436</v>
      </c>
      <c r="I491" t="s">
        <v>1437</v>
      </c>
      <c r="J491" t="s">
        <v>1401</v>
      </c>
      <c r="K491" t="s">
        <v>78</v>
      </c>
      <c r="L491" t="s">
        <v>159</v>
      </c>
      <c r="M491" t="s">
        <v>160</v>
      </c>
      <c r="N491" t="s">
        <v>1401</v>
      </c>
      <c r="O491" t="s">
        <v>125</v>
      </c>
      <c r="P491" t="str">
        <f>"STORES                        "</f>
        <v xml:space="preserve">STORES                        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  <c r="X491">
        <v>0</v>
      </c>
      <c r="Y491">
        <v>0</v>
      </c>
      <c r="Z491">
        <v>0</v>
      </c>
      <c r="AA491">
        <v>0</v>
      </c>
      <c r="AB491">
        <v>0</v>
      </c>
      <c r="AC491">
        <v>0</v>
      </c>
      <c r="AD491">
        <v>0</v>
      </c>
      <c r="AE491">
        <v>0</v>
      </c>
      <c r="AF491">
        <v>0</v>
      </c>
      <c r="AG491">
        <v>0</v>
      </c>
      <c r="AH491">
        <v>0</v>
      </c>
      <c r="AI491">
        <v>0</v>
      </c>
      <c r="AJ491">
        <v>0</v>
      </c>
      <c r="AK491">
        <v>106.48</v>
      </c>
      <c r="AL491">
        <v>0</v>
      </c>
      <c r="AM491">
        <v>0</v>
      </c>
      <c r="AN491">
        <v>0</v>
      </c>
      <c r="AO491">
        <v>0</v>
      </c>
      <c r="AP491">
        <v>0</v>
      </c>
      <c r="AQ491">
        <v>0</v>
      </c>
      <c r="AR491">
        <v>0</v>
      </c>
      <c r="AS491">
        <v>0</v>
      </c>
      <c r="AT491">
        <v>0</v>
      </c>
      <c r="AU491">
        <v>0</v>
      </c>
      <c r="AV491">
        <v>0</v>
      </c>
      <c r="AW491">
        <v>0</v>
      </c>
      <c r="AX491">
        <v>0</v>
      </c>
      <c r="AY491">
        <v>0</v>
      </c>
      <c r="AZ491">
        <v>0</v>
      </c>
      <c r="BA491">
        <v>0</v>
      </c>
      <c r="BB491">
        <v>0</v>
      </c>
      <c r="BC491">
        <v>0</v>
      </c>
      <c r="BD491">
        <v>0</v>
      </c>
      <c r="BE491">
        <v>0</v>
      </c>
      <c r="BF491">
        <v>0</v>
      </c>
      <c r="BG491">
        <v>0</v>
      </c>
      <c r="BH491">
        <v>1</v>
      </c>
      <c r="BI491">
        <v>4</v>
      </c>
      <c r="BJ491">
        <v>40.200000000000003</v>
      </c>
      <c r="BK491">
        <v>41</v>
      </c>
      <c r="BL491">
        <v>388.3</v>
      </c>
      <c r="BM491">
        <v>58.25</v>
      </c>
      <c r="BN491">
        <v>446.55</v>
      </c>
      <c r="BO491">
        <v>446.55</v>
      </c>
      <c r="BQ491" t="s">
        <v>1452</v>
      </c>
      <c r="BR491" t="s">
        <v>1453</v>
      </c>
      <c r="BS491" s="3">
        <v>44610</v>
      </c>
      <c r="BT491" s="4">
        <v>0.3840277777777778</v>
      </c>
      <c r="BU491" t="s">
        <v>1454</v>
      </c>
      <c r="BV491" t="s">
        <v>84</v>
      </c>
      <c r="BW491" t="s">
        <v>727</v>
      </c>
      <c r="BX491" t="s">
        <v>1455</v>
      </c>
      <c r="BY491">
        <v>201096</v>
      </c>
      <c r="BZ491" t="s">
        <v>137</v>
      </c>
      <c r="CC491" t="s">
        <v>160</v>
      </c>
      <c r="CD491">
        <v>9459</v>
      </c>
      <c r="CE491" t="s">
        <v>130</v>
      </c>
      <c r="CF491" s="3">
        <v>44610</v>
      </c>
      <c r="CI491">
        <v>1</v>
      </c>
      <c r="CJ491">
        <v>2</v>
      </c>
      <c r="CK491">
        <v>43</v>
      </c>
      <c r="CL491" t="s">
        <v>84</v>
      </c>
    </row>
    <row r="492" spans="1:90" x14ac:dyDescent="0.25">
      <c r="A492" t="s">
        <v>1417</v>
      </c>
      <c r="B492" t="s">
        <v>1400</v>
      </c>
      <c r="C492" t="s">
        <v>74</v>
      </c>
      <c r="E492" t="str">
        <f>"009940901449"</f>
        <v>009940901449</v>
      </c>
      <c r="F492" s="3">
        <v>44608</v>
      </c>
      <c r="G492">
        <v>202208</v>
      </c>
      <c r="H492" t="s">
        <v>401</v>
      </c>
      <c r="I492" t="s">
        <v>402</v>
      </c>
      <c r="J492" t="s">
        <v>1401</v>
      </c>
      <c r="K492" t="s">
        <v>78</v>
      </c>
      <c r="L492" t="s">
        <v>1436</v>
      </c>
      <c r="M492" t="s">
        <v>1437</v>
      </c>
      <c r="N492" t="s">
        <v>1456</v>
      </c>
      <c r="O492" t="s">
        <v>125</v>
      </c>
      <c r="P492" t="str">
        <f t="shared" ref="P492:P498" si="0">"                              "</f>
        <v xml:space="preserve">                              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0</v>
      </c>
      <c r="X492">
        <v>0</v>
      </c>
      <c r="Y492">
        <v>0</v>
      </c>
      <c r="Z492">
        <v>0</v>
      </c>
      <c r="AA492">
        <v>0</v>
      </c>
      <c r="AB492">
        <v>0</v>
      </c>
      <c r="AC492">
        <v>0</v>
      </c>
      <c r="AD492">
        <v>0</v>
      </c>
      <c r="AE492">
        <v>0</v>
      </c>
      <c r="AF492">
        <v>0</v>
      </c>
      <c r="AG492">
        <v>0</v>
      </c>
      <c r="AH492">
        <v>0</v>
      </c>
      <c r="AI492">
        <v>0</v>
      </c>
      <c r="AJ492">
        <v>0</v>
      </c>
      <c r="AK492">
        <v>112.57</v>
      </c>
      <c r="AL492">
        <v>0</v>
      </c>
      <c r="AM492">
        <v>0</v>
      </c>
      <c r="AN492">
        <v>0</v>
      </c>
      <c r="AO492">
        <v>0</v>
      </c>
      <c r="AP492">
        <v>0</v>
      </c>
      <c r="AQ492">
        <v>0</v>
      </c>
      <c r="AR492">
        <v>0</v>
      </c>
      <c r="AS492">
        <v>0</v>
      </c>
      <c r="AT492">
        <v>0</v>
      </c>
      <c r="AU492">
        <v>0</v>
      </c>
      <c r="AV492">
        <v>0</v>
      </c>
      <c r="AW492">
        <v>0</v>
      </c>
      <c r="AX492">
        <v>0</v>
      </c>
      <c r="AY492">
        <v>0</v>
      </c>
      <c r="AZ492">
        <v>0</v>
      </c>
      <c r="BA492">
        <v>0</v>
      </c>
      <c r="BB492">
        <v>0</v>
      </c>
      <c r="BC492">
        <v>0</v>
      </c>
      <c r="BD492">
        <v>0</v>
      </c>
      <c r="BE492">
        <v>0</v>
      </c>
      <c r="BF492">
        <v>0</v>
      </c>
      <c r="BG492">
        <v>0</v>
      </c>
      <c r="BH492">
        <v>4</v>
      </c>
      <c r="BI492">
        <v>65</v>
      </c>
      <c r="BJ492">
        <v>75</v>
      </c>
      <c r="BK492">
        <v>75</v>
      </c>
      <c r="BL492">
        <v>410.22</v>
      </c>
      <c r="BM492">
        <v>61.53</v>
      </c>
      <c r="BN492">
        <v>471.75</v>
      </c>
      <c r="BO492">
        <v>471.75</v>
      </c>
      <c r="BQ492" t="s">
        <v>1457</v>
      </c>
      <c r="BS492" s="3">
        <v>44609</v>
      </c>
      <c r="BT492" s="4">
        <v>0.35972222222222222</v>
      </c>
      <c r="BU492" t="s">
        <v>1446</v>
      </c>
      <c r="BV492" t="s">
        <v>101</v>
      </c>
      <c r="BY492">
        <v>307608</v>
      </c>
      <c r="BZ492" t="s">
        <v>137</v>
      </c>
      <c r="CA492" t="s">
        <v>928</v>
      </c>
      <c r="CC492" t="s">
        <v>1437</v>
      </c>
      <c r="CD492">
        <v>2146</v>
      </c>
      <c r="CE492" t="s">
        <v>130</v>
      </c>
      <c r="CF492" s="3">
        <v>44609</v>
      </c>
      <c r="CI492">
        <v>1</v>
      </c>
      <c r="CJ492">
        <v>1</v>
      </c>
      <c r="CK492">
        <v>41</v>
      </c>
      <c r="CL492" t="s">
        <v>84</v>
      </c>
    </row>
    <row r="493" spans="1:90" x14ac:dyDescent="0.25">
      <c r="A493" t="s">
        <v>1417</v>
      </c>
      <c r="B493" t="s">
        <v>1400</v>
      </c>
      <c r="C493" t="s">
        <v>74</v>
      </c>
      <c r="E493" t="str">
        <f>"009940901448"</f>
        <v>009940901448</v>
      </c>
      <c r="F493" s="3">
        <v>44608</v>
      </c>
      <c r="G493">
        <v>202208</v>
      </c>
      <c r="H493" t="s">
        <v>401</v>
      </c>
      <c r="I493" t="s">
        <v>402</v>
      </c>
      <c r="J493" t="s">
        <v>1401</v>
      </c>
      <c r="K493" t="s">
        <v>78</v>
      </c>
      <c r="L493" t="s">
        <v>1458</v>
      </c>
      <c r="M493" t="s">
        <v>1459</v>
      </c>
      <c r="N493" t="s">
        <v>1460</v>
      </c>
      <c r="O493" t="s">
        <v>125</v>
      </c>
      <c r="P493" t="str">
        <f t="shared" si="0"/>
        <v xml:space="preserve">                              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</v>
      </c>
      <c r="W493">
        <v>0</v>
      </c>
      <c r="X493">
        <v>0</v>
      </c>
      <c r="Y493">
        <v>0</v>
      </c>
      <c r="Z493">
        <v>0</v>
      </c>
      <c r="AA493">
        <v>0</v>
      </c>
      <c r="AB493">
        <v>0</v>
      </c>
      <c r="AC493">
        <v>0</v>
      </c>
      <c r="AD493">
        <v>0</v>
      </c>
      <c r="AE493">
        <v>0</v>
      </c>
      <c r="AF493">
        <v>0</v>
      </c>
      <c r="AG493">
        <v>0</v>
      </c>
      <c r="AH493">
        <v>0</v>
      </c>
      <c r="AI493">
        <v>0</v>
      </c>
      <c r="AJ493">
        <v>0</v>
      </c>
      <c r="AK493">
        <v>100.09</v>
      </c>
      <c r="AL493">
        <v>0</v>
      </c>
      <c r="AM493">
        <v>0</v>
      </c>
      <c r="AN493">
        <v>0</v>
      </c>
      <c r="AO493">
        <v>0</v>
      </c>
      <c r="AP493">
        <v>0</v>
      </c>
      <c r="AQ493">
        <v>15</v>
      </c>
      <c r="AR493">
        <v>0</v>
      </c>
      <c r="AS493">
        <v>0</v>
      </c>
      <c r="AT493">
        <v>0</v>
      </c>
      <c r="AU493">
        <v>0</v>
      </c>
      <c r="AV493">
        <v>0</v>
      </c>
      <c r="AW493">
        <v>0</v>
      </c>
      <c r="AX493">
        <v>0</v>
      </c>
      <c r="AY493">
        <v>0</v>
      </c>
      <c r="AZ493">
        <v>0</v>
      </c>
      <c r="BA493">
        <v>0</v>
      </c>
      <c r="BB493">
        <v>0</v>
      </c>
      <c r="BC493">
        <v>0</v>
      </c>
      <c r="BD493">
        <v>0</v>
      </c>
      <c r="BE493">
        <v>0</v>
      </c>
      <c r="BF493">
        <v>0</v>
      </c>
      <c r="BG493">
        <v>0</v>
      </c>
      <c r="BH493">
        <v>2</v>
      </c>
      <c r="BI493">
        <v>44</v>
      </c>
      <c r="BJ493">
        <v>83.2</v>
      </c>
      <c r="BK493">
        <v>84</v>
      </c>
      <c r="BL493">
        <v>380.31</v>
      </c>
      <c r="BM493">
        <v>57.05</v>
      </c>
      <c r="BN493">
        <v>437.36</v>
      </c>
      <c r="BO493">
        <v>437.36</v>
      </c>
      <c r="BQ493" t="s">
        <v>1461</v>
      </c>
      <c r="BS493" s="3">
        <v>44609</v>
      </c>
      <c r="BT493" s="4">
        <v>0.58750000000000002</v>
      </c>
      <c r="BU493" t="s">
        <v>1462</v>
      </c>
      <c r="BV493" t="s">
        <v>101</v>
      </c>
      <c r="BY493">
        <v>416000</v>
      </c>
      <c r="BZ493" t="s">
        <v>1463</v>
      </c>
      <c r="CA493" t="s">
        <v>1464</v>
      </c>
      <c r="CC493" t="s">
        <v>1459</v>
      </c>
      <c r="CD493">
        <v>950</v>
      </c>
      <c r="CE493" t="s">
        <v>130</v>
      </c>
      <c r="CF493" s="3">
        <v>44609</v>
      </c>
      <c r="CI493">
        <v>1</v>
      </c>
      <c r="CJ493">
        <v>1</v>
      </c>
      <c r="CK493">
        <v>44</v>
      </c>
      <c r="CL493" t="s">
        <v>84</v>
      </c>
    </row>
    <row r="494" spans="1:90" x14ac:dyDescent="0.25">
      <c r="A494" t="s">
        <v>1417</v>
      </c>
      <c r="B494" t="s">
        <v>1400</v>
      </c>
      <c r="C494" t="s">
        <v>74</v>
      </c>
      <c r="E494" t="str">
        <f>"009940901447"</f>
        <v>009940901447</v>
      </c>
      <c r="F494" s="3">
        <v>44608</v>
      </c>
      <c r="G494">
        <v>202208</v>
      </c>
      <c r="H494" t="s">
        <v>401</v>
      </c>
      <c r="I494" t="s">
        <v>402</v>
      </c>
      <c r="J494" t="s">
        <v>1401</v>
      </c>
      <c r="K494" t="s">
        <v>78</v>
      </c>
      <c r="L494" t="s">
        <v>1185</v>
      </c>
      <c r="M494" t="s">
        <v>1186</v>
      </c>
      <c r="N494" t="s">
        <v>1465</v>
      </c>
      <c r="O494" t="s">
        <v>125</v>
      </c>
      <c r="P494" t="str">
        <f t="shared" si="0"/>
        <v xml:space="preserve">                              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0</v>
      </c>
      <c r="W494">
        <v>0</v>
      </c>
      <c r="X494">
        <v>0</v>
      </c>
      <c r="Y494">
        <v>0</v>
      </c>
      <c r="Z494">
        <v>0</v>
      </c>
      <c r="AA494">
        <v>0</v>
      </c>
      <c r="AB494">
        <v>0</v>
      </c>
      <c r="AC494">
        <v>0</v>
      </c>
      <c r="AD494">
        <v>0</v>
      </c>
      <c r="AE494">
        <v>0</v>
      </c>
      <c r="AF494">
        <v>0</v>
      </c>
      <c r="AG494">
        <v>0</v>
      </c>
      <c r="AH494">
        <v>0</v>
      </c>
      <c r="AI494">
        <v>0</v>
      </c>
      <c r="AJ494">
        <v>0</v>
      </c>
      <c r="AK494">
        <v>100.09</v>
      </c>
      <c r="AL494">
        <v>0</v>
      </c>
      <c r="AM494">
        <v>0</v>
      </c>
      <c r="AN494">
        <v>0</v>
      </c>
      <c r="AO494">
        <v>0</v>
      </c>
      <c r="AP494">
        <v>0</v>
      </c>
      <c r="AQ494">
        <v>0</v>
      </c>
      <c r="AR494">
        <v>0</v>
      </c>
      <c r="AS494">
        <v>0</v>
      </c>
      <c r="AT494">
        <v>0</v>
      </c>
      <c r="AU494">
        <v>0</v>
      </c>
      <c r="AV494">
        <v>0</v>
      </c>
      <c r="AW494">
        <v>0</v>
      </c>
      <c r="AX494">
        <v>0</v>
      </c>
      <c r="AY494">
        <v>0</v>
      </c>
      <c r="AZ494">
        <v>0</v>
      </c>
      <c r="BA494">
        <v>0</v>
      </c>
      <c r="BB494">
        <v>0</v>
      </c>
      <c r="BC494">
        <v>0</v>
      </c>
      <c r="BD494">
        <v>0</v>
      </c>
      <c r="BE494">
        <v>0</v>
      </c>
      <c r="BF494">
        <v>0</v>
      </c>
      <c r="BG494">
        <v>0</v>
      </c>
      <c r="BH494">
        <v>2</v>
      </c>
      <c r="BI494">
        <v>39</v>
      </c>
      <c r="BJ494">
        <v>83.2</v>
      </c>
      <c r="BK494">
        <v>84</v>
      </c>
      <c r="BL494">
        <v>365.31</v>
      </c>
      <c r="BM494">
        <v>54.8</v>
      </c>
      <c r="BN494">
        <v>420.11</v>
      </c>
      <c r="BO494">
        <v>420.11</v>
      </c>
      <c r="BQ494" t="s">
        <v>1466</v>
      </c>
      <c r="BS494" s="3">
        <v>44609</v>
      </c>
      <c r="BT494" s="4">
        <v>0.58819444444444446</v>
      </c>
      <c r="BU494" t="s">
        <v>1425</v>
      </c>
      <c r="BV494" t="s">
        <v>101</v>
      </c>
      <c r="BY494">
        <v>416000</v>
      </c>
      <c r="BZ494" t="s">
        <v>137</v>
      </c>
      <c r="CA494" t="s">
        <v>1368</v>
      </c>
      <c r="CC494" t="s">
        <v>1186</v>
      </c>
      <c r="CD494">
        <v>850</v>
      </c>
      <c r="CE494" t="s">
        <v>130</v>
      </c>
      <c r="CF494" s="3">
        <v>44610</v>
      </c>
      <c r="CI494">
        <v>1</v>
      </c>
      <c r="CJ494">
        <v>1</v>
      </c>
      <c r="CK494">
        <v>44</v>
      </c>
      <c r="CL494" t="s">
        <v>84</v>
      </c>
    </row>
    <row r="495" spans="1:90" x14ac:dyDescent="0.25">
      <c r="A495" t="s">
        <v>1399</v>
      </c>
      <c r="B495" t="s">
        <v>1400</v>
      </c>
      <c r="C495" t="s">
        <v>74</v>
      </c>
      <c r="E495" t="str">
        <f>"009941249528"</f>
        <v>009941249528</v>
      </c>
      <c r="F495" s="3">
        <v>44607</v>
      </c>
      <c r="G495">
        <v>202208</v>
      </c>
      <c r="H495" t="s">
        <v>790</v>
      </c>
      <c r="I495" t="s">
        <v>791</v>
      </c>
      <c r="J495" t="s">
        <v>1467</v>
      </c>
      <c r="K495" t="s">
        <v>78</v>
      </c>
      <c r="L495" t="s">
        <v>153</v>
      </c>
      <c r="M495" t="s">
        <v>154</v>
      </c>
      <c r="N495" t="s">
        <v>1468</v>
      </c>
      <c r="O495" t="s">
        <v>125</v>
      </c>
      <c r="P495" t="str">
        <f t="shared" si="0"/>
        <v xml:space="preserve">                              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0</v>
      </c>
      <c r="W495">
        <v>0</v>
      </c>
      <c r="X495">
        <v>0</v>
      </c>
      <c r="Y495">
        <v>0</v>
      </c>
      <c r="Z495">
        <v>0</v>
      </c>
      <c r="AA495">
        <v>0</v>
      </c>
      <c r="AB495">
        <v>0</v>
      </c>
      <c r="AC495">
        <v>0</v>
      </c>
      <c r="AD495">
        <v>0</v>
      </c>
      <c r="AE495">
        <v>0</v>
      </c>
      <c r="AF495">
        <v>0</v>
      </c>
      <c r="AG495">
        <v>0</v>
      </c>
      <c r="AH495">
        <v>0</v>
      </c>
      <c r="AI495">
        <v>0</v>
      </c>
      <c r="AJ495">
        <v>0</v>
      </c>
      <c r="AK495">
        <v>45.72</v>
      </c>
      <c r="AL495">
        <v>0</v>
      </c>
      <c r="AM495">
        <v>0</v>
      </c>
      <c r="AN495">
        <v>0</v>
      </c>
      <c r="AO495">
        <v>0</v>
      </c>
      <c r="AP495">
        <v>0</v>
      </c>
      <c r="AQ495">
        <v>15</v>
      </c>
      <c r="AR495">
        <v>0</v>
      </c>
      <c r="AS495">
        <v>0</v>
      </c>
      <c r="AT495">
        <v>0</v>
      </c>
      <c r="AU495">
        <v>0</v>
      </c>
      <c r="AV495">
        <v>0</v>
      </c>
      <c r="AW495">
        <v>0</v>
      </c>
      <c r="AX495">
        <v>0</v>
      </c>
      <c r="AY495">
        <v>0</v>
      </c>
      <c r="AZ495">
        <v>0</v>
      </c>
      <c r="BA495">
        <v>0</v>
      </c>
      <c r="BB495">
        <v>0</v>
      </c>
      <c r="BC495">
        <v>0</v>
      </c>
      <c r="BD495">
        <v>0</v>
      </c>
      <c r="BE495">
        <v>0</v>
      </c>
      <c r="BF495">
        <v>0</v>
      </c>
      <c r="BG495">
        <v>0</v>
      </c>
      <c r="BH495">
        <v>1</v>
      </c>
      <c r="BI495">
        <v>1</v>
      </c>
      <c r="BJ495">
        <v>0.4</v>
      </c>
      <c r="BK495">
        <v>1</v>
      </c>
      <c r="BL495">
        <v>184.72</v>
      </c>
      <c r="BM495">
        <v>27.71</v>
      </c>
      <c r="BN495">
        <v>212.43</v>
      </c>
      <c r="BO495">
        <v>212.43</v>
      </c>
      <c r="BQ495" t="s">
        <v>1450</v>
      </c>
      <c r="BR495" t="s">
        <v>1469</v>
      </c>
      <c r="BS495" s="3">
        <v>44613</v>
      </c>
      <c r="BT495" s="4">
        <v>0.43055555555555558</v>
      </c>
      <c r="BU495" t="s">
        <v>1470</v>
      </c>
      <c r="BV495" t="s">
        <v>84</v>
      </c>
      <c r="BW495" t="s">
        <v>1005</v>
      </c>
      <c r="BX495" t="s">
        <v>1006</v>
      </c>
      <c r="BY495">
        <v>1786</v>
      </c>
      <c r="BZ495" t="s">
        <v>1463</v>
      </c>
      <c r="CA495" t="s">
        <v>1405</v>
      </c>
      <c r="CC495" t="s">
        <v>154</v>
      </c>
      <c r="CD495">
        <v>2000</v>
      </c>
      <c r="CE495" t="s">
        <v>1471</v>
      </c>
      <c r="CF495" s="3">
        <v>44614</v>
      </c>
      <c r="CI495">
        <v>2</v>
      </c>
      <c r="CJ495">
        <v>4</v>
      </c>
      <c r="CK495">
        <v>43</v>
      </c>
      <c r="CL495" t="s">
        <v>84</v>
      </c>
    </row>
    <row r="496" spans="1:90" x14ac:dyDescent="0.25">
      <c r="A496" t="s">
        <v>1417</v>
      </c>
      <c r="B496" t="s">
        <v>1400</v>
      </c>
      <c r="C496" t="s">
        <v>74</v>
      </c>
      <c r="E496" t="str">
        <f>"009940900600"</f>
        <v>009940900600</v>
      </c>
      <c r="F496" s="3">
        <v>44608</v>
      </c>
      <c r="G496">
        <v>202208</v>
      </c>
      <c r="H496" t="s">
        <v>401</v>
      </c>
      <c r="I496" t="s">
        <v>402</v>
      </c>
      <c r="J496" t="s">
        <v>1401</v>
      </c>
      <c r="K496" t="s">
        <v>78</v>
      </c>
      <c r="L496" t="s">
        <v>384</v>
      </c>
      <c r="M496" t="s">
        <v>385</v>
      </c>
      <c r="N496" t="s">
        <v>1472</v>
      </c>
      <c r="O496" t="s">
        <v>125</v>
      </c>
      <c r="P496" t="str">
        <f t="shared" si="0"/>
        <v xml:space="preserve">                              </v>
      </c>
      <c r="Q496">
        <v>0</v>
      </c>
      <c r="R496">
        <v>0</v>
      </c>
      <c r="S496">
        <v>0</v>
      </c>
      <c r="T496">
        <v>0</v>
      </c>
      <c r="U496">
        <v>0</v>
      </c>
      <c r="V496">
        <v>0</v>
      </c>
      <c r="W496">
        <v>0</v>
      </c>
      <c r="X496">
        <v>0</v>
      </c>
      <c r="Y496">
        <v>0</v>
      </c>
      <c r="Z496">
        <v>0</v>
      </c>
      <c r="AA496">
        <v>0</v>
      </c>
      <c r="AB496">
        <v>0</v>
      </c>
      <c r="AC496">
        <v>0</v>
      </c>
      <c r="AD496">
        <v>0</v>
      </c>
      <c r="AE496">
        <v>0</v>
      </c>
      <c r="AF496">
        <v>0</v>
      </c>
      <c r="AG496">
        <v>0</v>
      </c>
      <c r="AH496">
        <v>0</v>
      </c>
      <c r="AI496">
        <v>0</v>
      </c>
      <c r="AJ496">
        <v>0</v>
      </c>
      <c r="AK496">
        <v>32.42</v>
      </c>
      <c r="AL496">
        <v>0</v>
      </c>
      <c r="AM496">
        <v>0</v>
      </c>
      <c r="AN496">
        <v>0</v>
      </c>
      <c r="AO496">
        <v>0</v>
      </c>
      <c r="AP496">
        <v>0</v>
      </c>
      <c r="AQ496">
        <v>0</v>
      </c>
      <c r="AR496">
        <v>0</v>
      </c>
      <c r="AS496">
        <v>0</v>
      </c>
      <c r="AT496">
        <v>0</v>
      </c>
      <c r="AU496">
        <v>0</v>
      </c>
      <c r="AV496">
        <v>0</v>
      </c>
      <c r="AW496">
        <v>0</v>
      </c>
      <c r="AX496">
        <v>0</v>
      </c>
      <c r="AY496">
        <v>0</v>
      </c>
      <c r="AZ496">
        <v>0</v>
      </c>
      <c r="BA496">
        <v>0</v>
      </c>
      <c r="BB496">
        <v>0</v>
      </c>
      <c r="BC496">
        <v>0</v>
      </c>
      <c r="BD496">
        <v>0</v>
      </c>
      <c r="BE496">
        <v>0</v>
      </c>
      <c r="BF496">
        <v>0</v>
      </c>
      <c r="BG496">
        <v>0</v>
      </c>
      <c r="BH496">
        <v>1</v>
      </c>
      <c r="BI496">
        <v>1</v>
      </c>
      <c r="BJ496">
        <v>0.2</v>
      </c>
      <c r="BK496">
        <v>1</v>
      </c>
      <c r="BL496">
        <v>121.87</v>
      </c>
      <c r="BM496">
        <v>18.28</v>
      </c>
      <c r="BN496">
        <v>140.15</v>
      </c>
      <c r="BO496">
        <v>140.15</v>
      </c>
      <c r="BQ496" t="s">
        <v>1473</v>
      </c>
      <c r="BS496" s="3">
        <v>44609</v>
      </c>
      <c r="BT496" s="4">
        <v>0.34722222222222227</v>
      </c>
      <c r="BU496" t="s">
        <v>1474</v>
      </c>
      <c r="BV496" t="s">
        <v>101</v>
      </c>
      <c r="BY496">
        <v>1200</v>
      </c>
      <c r="BZ496" t="s">
        <v>137</v>
      </c>
      <c r="CA496" t="s">
        <v>1475</v>
      </c>
      <c r="CC496" t="s">
        <v>385</v>
      </c>
      <c r="CD496">
        <v>2194</v>
      </c>
      <c r="CE496" t="s">
        <v>130</v>
      </c>
      <c r="CF496" s="3">
        <v>44610</v>
      </c>
      <c r="CI496">
        <v>1</v>
      </c>
      <c r="CJ496">
        <v>1</v>
      </c>
      <c r="CK496">
        <v>41</v>
      </c>
      <c r="CL496" t="s">
        <v>84</v>
      </c>
    </row>
    <row r="497" spans="1:90" x14ac:dyDescent="0.25">
      <c r="A497" t="s">
        <v>1417</v>
      </c>
      <c r="B497" t="s">
        <v>1400</v>
      </c>
      <c r="C497" t="s">
        <v>74</v>
      </c>
      <c r="E497" t="str">
        <f>"009940901415"</f>
        <v>009940901415</v>
      </c>
      <c r="F497" s="3">
        <v>44608</v>
      </c>
      <c r="G497">
        <v>202208</v>
      </c>
      <c r="H497" t="s">
        <v>401</v>
      </c>
      <c r="I497" t="s">
        <v>402</v>
      </c>
      <c r="J497" t="s">
        <v>1401</v>
      </c>
      <c r="K497" t="s">
        <v>78</v>
      </c>
      <c r="L497" t="s">
        <v>1436</v>
      </c>
      <c r="M497" t="s">
        <v>1437</v>
      </c>
      <c r="N497" t="s">
        <v>1476</v>
      </c>
      <c r="O497" t="s">
        <v>125</v>
      </c>
      <c r="P497" t="str">
        <f t="shared" si="0"/>
        <v xml:space="preserve">                              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0</v>
      </c>
      <c r="W497">
        <v>0</v>
      </c>
      <c r="X497">
        <v>0</v>
      </c>
      <c r="Y497">
        <v>0</v>
      </c>
      <c r="Z497">
        <v>0</v>
      </c>
      <c r="AA497">
        <v>0</v>
      </c>
      <c r="AB497">
        <v>0</v>
      </c>
      <c r="AC497">
        <v>0</v>
      </c>
      <c r="AD497">
        <v>0</v>
      </c>
      <c r="AE497">
        <v>0</v>
      </c>
      <c r="AF497">
        <v>0</v>
      </c>
      <c r="AG497">
        <v>0</v>
      </c>
      <c r="AH497">
        <v>0</v>
      </c>
      <c r="AI497">
        <v>0</v>
      </c>
      <c r="AJ497">
        <v>0</v>
      </c>
      <c r="AK497">
        <v>32.42</v>
      </c>
      <c r="AL497">
        <v>0</v>
      </c>
      <c r="AM497">
        <v>0</v>
      </c>
      <c r="AN497">
        <v>0</v>
      </c>
      <c r="AO497">
        <v>0</v>
      </c>
      <c r="AP497">
        <v>0</v>
      </c>
      <c r="AQ497">
        <v>0</v>
      </c>
      <c r="AR497">
        <v>0</v>
      </c>
      <c r="AS497">
        <v>0</v>
      </c>
      <c r="AT497">
        <v>0</v>
      </c>
      <c r="AU497">
        <v>0</v>
      </c>
      <c r="AV497">
        <v>0</v>
      </c>
      <c r="AW497">
        <v>0</v>
      </c>
      <c r="AX497">
        <v>0</v>
      </c>
      <c r="AY497">
        <v>0</v>
      </c>
      <c r="AZ497">
        <v>0</v>
      </c>
      <c r="BA497">
        <v>0</v>
      </c>
      <c r="BB497">
        <v>0</v>
      </c>
      <c r="BC497">
        <v>0</v>
      </c>
      <c r="BD497">
        <v>0</v>
      </c>
      <c r="BE497">
        <v>0</v>
      </c>
      <c r="BF497">
        <v>0</v>
      </c>
      <c r="BG497">
        <v>0</v>
      </c>
      <c r="BH497">
        <v>1</v>
      </c>
      <c r="BI497">
        <v>1</v>
      </c>
      <c r="BJ497">
        <v>0.2</v>
      </c>
      <c r="BK497">
        <v>1</v>
      </c>
      <c r="BL497">
        <v>121.87</v>
      </c>
      <c r="BM497">
        <v>18.28</v>
      </c>
      <c r="BN497">
        <v>140.15</v>
      </c>
      <c r="BO497">
        <v>140.15</v>
      </c>
      <c r="BQ497" t="s">
        <v>1477</v>
      </c>
      <c r="BR497" t="s">
        <v>1478</v>
      </c>
      <c r="BS497" s="3">
        <v>44609</v>
      </c>
      <c r="BT497" s="4">
        <v>0.36944444444444446</v>
      </c>
      <c r="BU497" t="s">
        <v>1479</v>
      </c>
      <c r="BV497" t="s">
        <v>101</v>
      </c>
      <c r="BY497">
        <v>1200</v>
      </c>
      <c r="BZ497" t="s">
        <v>137</v>
      </c>
      <c r="CA497" t="s">
        <v>1480</v>
      </c>
      <c r="CC497" t="s">
        <v>1437</v>
      </c>
      <c r="CD497">
        <v>2146</v>
      </c>
      <c r="CE497" t="s">
        <v>130</v>
      </c>
      <c r="CF497" s="3">
        <v>44609</v>
      </c>
      <c r="CI497">
        <v>1</v>
      </c>
      <c r="CJ497">
        <v>1</v>
      </c>
      <c r="CK497">
        <v>41</v>
      </c>
      <c r="CL497" t="s">
        <v>84</v>
      </c>
    </row>
    <row r="498" spans="1:90" x14ac:dyDescent="0.25">
      <c r="A498" t="s">
        <v>1417</v>
      </c>
      <c r="B498" t="s">
        <v>1400</v>
      </c>
      <c r="C498" t="s">
        <v>74</v>
      </c>
      <c r="E498" t="str">
        <f>"009941994657"</f>
        <v>009941994657</v>
      </c>
      <c r="F498" s="3">
        <v>44608</v>
      </c>
      <c r="G498">
        <v>202208</v>
      </c>
      <c r="H498" t="s">
        <v>761</v>
      </c>
      <c r="I498" t="s">
        <v>762</v>
      </c>
      <c r="J498" t="s">
        <v>1401</v>
      </c>
      <c r="K498" t="s">
        <v>78</v>
      </c>
      <c r="L498" t="s">
        <v>153</v>
      </c>
      <c r="M498" t="s">
        <v>154</v>
      </c>
      <c r="N498" t="s">
        <v>1401</v>
      </c>
      <c r="O498" t="s">
        <v>125</v>
      </c>
      <c r="P498" t="str">
        <f t="shared" si="0"/>
        <v xml:space="preserve">                              </v>
      </c>
      <c r="Q498">
        <v>0</v>
      </c>
      <c r="R498">
        <v>0</v>
      </c>
      <c r="S498">
        <v>0</v>
      </c>
      <c r="T498">
        <v>0</v>
      </c>
      <c r="U498">
        <v>0</v>
      </c>
      <c r="V498">
        <v>0</v>
      </c>
      <c r="W498">
        <v>0</v>
      </c>
      <c r="X498">
        <v>0</v>
      </c>
      <c r="Y498">
        <v>0</v>
      </c>
      <c r="Z498">
        <v>0</v>
      </c>
      <c r="AA498">
        <v>0</v>
      </c>
      <c r="AB498">
        <v>0</v>
      </c>
      <c r="AC498">
        <v>0</v>
      </c>
      <c r="AD498">
        <v>0</v>
      </c>
      <c r="AE498">
        <v>0</v>
      </c>
      <c r="AF498">
        <v>0</v>
      </c>
      <c r="AG498">
        <v>0</v>
      </c>
      <c r="AH498">
        <v>0</v>
      </c>
      <c r="AI498">
        <v>0</v>
      </c>
      <c r="AJ498">
        <v>0</v>
      </c>
      <c r="AK498">
        <v>145.97</v>
      </c>
      <c r="AL498">
        <v>0</v>
      </c>
      <c r="AM498">
        <v>0</v>
      </c>
      <c r="AN498">
        <v>0</v>
      </c>
      <c r="AO498">
        <v>0</v>
      </c>
      <c r="AP498">
        <v>0</v>
      </c>
      <c r="AQ498">
        <v>0</v>
      </c>
      <c r="AR498">
        <v>0</v>
      </c>
      <c r="AS498">
        <v>0</v>
      </c>
      <c r="AT498">
        <v>0</v>
      </c>
      <c r="AU498">
        <v>0</v>
      </c>
      <c r="AV498">
        <v>0</v>
      </c>
      <c r="AW498">
        <v>0</v>
      </c>
      <c r="AX498">
        <v>0</v>
      </c>
      <c r="AY498">
        <v>0</v>
      </c>
      <c r="AZ498">
        <v>0</v>
      </c>
      <c r="BA498">
        <v>0</v>
      </c>
      <c r="BB498">
        <v>0</v>
      </c>
      <c r="BC498">
        <v>0</v>
      </c>
      <c r="BD498">
        <v>0</v>
      </c>
      <c r="BE498">
        <v>0</v>
      </c>
      <c r="BF498">
        <v>0</v>
      </c>
      <c r="BG498">
        <v>0</v>
      </c>
      <c r="BH498">
        <v>1</v>
      </c>
      <c r="BI498">
        <v>16</v>
      </c>
      <c r="BJ498">
        <v>100</v>
      </c>
      <c r="BK498">
        <v>100</v>
      </c>
      <c r="BL498">
        <v>530.37</v>
      </c>
      <c r="BM498">
        <v>79.56</v>
      </c>
      <c r="BN498">
        <v>609.92999999999995</v>
      </c>
      <c r="BO498">
        <v>609.92999999999995</v>
      </c>
      <c r="BQ498" t="s">
        <v>1481</v>
      </c>
      <c r="BR498" t="s">
        <v>1482</v>
      </c>
      <c r="BS498" s="3">
        <v>44609</v>
      </c>
      <c r="BT498" s="4">
        <v>0.35972222222222222</v>
      </c>
      <c r="BU498" t="s">
        <v>1446</v>
      </c>
      <c r="BV498" t="s">
        <v>101</v>
      </c>
      <c r="BY498">
        <v>500000</v>
      </c>
      <c r="BZ498" t="s">
        <v>137</v>
      </c>
      <c r="CA498" t="s">
        <v>928</v>
      </c>
      <c r="CC498" t="s">
        <v>154</v>
      </c>
      <c r="CD498">
        <v>2196</v>
      </c>
      <c r="CE498" t="s">
        <v>130</v>
      </c>
      <c r="CF498" s="3">
        <v>44609</v>
      </c>
      <c r="CI498">
        <v>1</v>
      </c>
      <c r="CJ498">
        <v>1</v>
      </c>
      <c r="CK498">
        <v>41</v>
      </c>
      <c r="CL498" t="s">
        <v>84</v>
      </c>
    </row>
    <row r="499" spans="1:90" x14ac:dyDescent="0.25">
      <c r="A499" t="s">
        <v>1417</v>
      </c>
      <c r="B499" t="s">
        <v>1400</v>
      </c>
      <c r="C499" t="s">
        <v>74</v>
      </c>
      <c r="E499" t="str">
        <f>"080010400461"</f>
        <v>080010400461</v>
      </c>
      <c r="F499" s="3">
        <v>44608</v>
      </c>
      <c r="G499">
        <v>202208</v>
      </c>
      <c r="H499" t="s">
        <v>153</v>
      </c>
      <c r="I499" t="s">
        <v>154</v>
      </c>
      <c r="J499" t="s">
        <v>1402</v>
      </c>
      <c r="K499" t="s">
        <v>78</v>
      </c>
      <c r="L499" t="s">
        <v>384</v>
      </c>
      <c r="M499" t="s">
        <v>385</v>
      </c>
      <c r="N499" t="s">
        <v>1483</v>
      </c>
      <c r="O499" t="s">
        <v>80</v>
      </c>
      <c r="P499" t="str">
        <f>"-                             "</f>
        <v xml:space="preserve">-                             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0</v>
      </c>
      <c r="X499">
        <v>0</v>
      </c>
      <c r="Y499">
        <v>0</v>
      </c>
      <c r="Z499">
        <v>0</v>
      </c>
      <c r="AA499">
        <v>0</v>
      </c>
      <c r="AB499">
        <v>0</v>
      </c>
      <c r="AC499">
        <v>0</v>
      </c>
      <c r="AD499">
        <v>0</v>
      </c>
      <c r="AE499">
        <v>0</v>
      </c>
      <c r="AF499">
        <v>0</v>
      </c>
      <c r="AG499">
        <v>0</v>
      </c>
      <c r="AH499">
        <v>0</v>
      </c>
      <c r="AI499">
        <v>0</v>
      </c>
      <c r="AJ499">
        <v>0</v>
      </c>
      <c r="AK499">
        <v>13.09</v>
      </c>
      <c r="AL499">
        <v>0</v>
      </c>
      <c r="AM499">
        <v>0</v>
      </c>
      <c r="AN499">
        <v>0</v>
      </c>
      <c r="AO499">
        <v>0</v>
      </c>
      <c r="AP499">
        <v>0</v>
      </c>
      <c r="AQ499">
        <v>0</v>
      </c>
      <c r="AR499">
        <v>0</v>
      </c>
      <c r="AS499">
        <v>0</v>
      </c>
      <c r="AT499">
        <v>0</v>
      </c>
      <c r="AU499">
        <v>0</v>
      </c>
      <c r="AV499">
        <v>0</v>
      </c>
      <c r="AW499">
        <v>0</v>
      </c>
      <c r="AX499">
        <v>0</v>
      </c>
      <c r="AY499">
        <v>0</v>
      </c>
      <c r="AZ499">
        <v>0</v>
      </c>
      <c r="BA499">
        <v>0</v>
      </c>
      <c r="BB499">
        <v>0</v>
      </c>
      <c r="BC499">
        <v>0</v>
      </c>
      <c r="BD499">
        <v>0</v>
      </c>
      <c r="BE499">
        <v>0</v>
      </c>
      <c r="BF499">
        <v>0</v>
      </c>
      <c r="BG499">
        <v>0</v>
      </c>
      <c r="BH499">
        <v>1</v>
      </c>
      <c r="BI499">
        <v>1</v>
      </c>
      <c r="BJ499">
        <v>0.2</v>
      </c>
      <c r="BK499">
        <v>1</v>
      </c>
      <c r="BL499">
        <v>47.1</v>
      </c>
      <c r="BM499">
        <v>7.07</v>
      </c>
      <c r="BN499">
        <v>54.17</v>
      </c>
      <c r="BO499">
        <v>54.17</v>
      </c>
      <c r="BP499" t="s">
        <v>653</v>
      </c>
      <c r="BQ499" t="s">
        <v>1484</v>
      </c>
      <c r="BR499" t="s">
        <v>1485</v>
      </c>
      <c r="BS499" s="3">
        <v>44610</v>
      </c>
      <c r="BT499" s="4">
        <v>0.32777777777777778</v>
      </c>
      <c r="BU499" t="s">
        <v>1486</v>
      </c>
      <c r="BV499" t="s">
        <v>101</v>
      </c>
      <c r="BY499">
        <v>1200</v>
      </c>
      <c r="CA499" t="s">
        <v>1475</v>
      </c>
      <c r="CC499" t="s">
        <v>385</v>
      </c>
      <c r="CD499">
        <v>2194</v>
      </c>
      <c r="CE499" t="s">
        <v>1487</v>
      </c>
      <c r="CF499" s="3">
        <v>44610</v>
      </c>
      <c r="CI499">
        <v>1</v>
      </c>
      <c r="CJ499">
        <v>1</v>
      </c>
      <c r="CK499">
        <v>22</v>
      </c>
      <c r="CL499" t="s">
        <v>84</v>
      </c>
    </row>
    <row r="500" spans="1:90" x14ac:dyDescent="0.25">
      <c r="A500" t="s">
        <v>1417</v>
      </c>
      <c r="B500" t="s">
        <v>1400</v>
      </c>
      <c r="C500" t="s">
        <v>74</v>
      </c>
      <c r="E500" t="str">
        <f>"009941567795"</f>
        <v>009941567795</v>
      </c>
      <c r="F500" s="3">
        <v>44609</v>
      </c>
      <c r="G500">
        <v>202208</v>
      </c>
      <c r="H500" t="s">
        <v>1436</v>
      </c>
      <c r="I500" t="s">
        <v>1437</v>
      </c>
      <c r="J500" t="s">
        <v>1401</v>
      </c>
      <c r="K500" t="s">
        <v>78</v>
      </c>
      <c r="L500" t="s">
        <v>1185</v>
      </c>
      <c r="M500" t="s">
        <v>1186</v>
      </c>
      <c r="N500" t="s">
        <v>1488</v>
      </c>
      <c r="O500" t="s">
        <v>80</v>
      </c>
      <c r="P500" t="str">
        <f t="shared" ref="P500:P506" si="1">"STORES                        "</f>
        <v xml:space="preserve">STORES                        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0</v>
      </c>
      <c r="W500">
        <v>0</v>
      </c>
      <c r="X500">
        <v>0</v>
      </c>
      <c r="Y500">
        <v>0</v>
      </c>
      <c r="Z500">
        <v>0</v>
      </c>
      <c r="AA500">
        <v>0</v>
      </c>
      <c r="AB500">
        <v>0</v>
      </c>
      <c r="AC500">
        <v>0</v>
      </c>
      <c r="AD500">
        <v>0</v>
      </c>
      <c r="AE500">
        <v>0</v>
      </c>
      <c r="AF500">
        <v>0</v>
      </c>
      <c r="AG500">
        <v>0</v>
      </c>
      <c r="AH500">
        <v>0</v>
      </c>
      <c r="AI500">
        <v>0</v>
      </c>
      <c r="AJ500">
        <v>0</v>
      </c>
      <c r="AK500">
        <v>32.479999999999997</v>
      </c>
      <c r="AL500">
        <v>0</v>
      </c>
      <c r="AM500">
        <v>0</v>
      </c>
      <c r="AN500">
        <v>0</v>
      </c>
      <c r="AO500">
        <v>0</v>
      </c>
      <c r="AP500">
        <v>0</v>
      </c>
      <c r="AQ500">
        <v>0</v>
      </c>
      <c r="AR500">
        <v>0</v>
      </c>
      <c r="AS500">
        <v>0</v>
      </c>
      <c r="AT500">
        <v>0</v>
      </c>
      <c r="AU500">
        <v>0</v>
      </c>
      <c r="AV500">
        <v>0</v>
      </c>
      <c r="AW500">
        <v>0</v>
      </c>
      <c r="AX500">
        <v>0</v>
      </c>
      <c r="AY500">
        <v>0</v>
      </c>
      <c r="AZ500">
        <v>0</v>
      </c>
      <c r="BA500">
        <v>0</v>
      </c>
      <c r="BB500">
        <v>0</v>
      </c>
      <c r="BC500">
        <v>0</v>
      </c>
      <c r="BD500">
        <v>0</v>
      </c>
      <c r="BE500">
        <v>0</v>
      </c>
      <c r="BF500">
        <v>0</v>
      </c>
      <c r="BG500">
        <v>0</v>
      </c>
      <c r="BH500">
        <v>1</v>
      </c>
      <c r="BI500">
        <v>1</v>
      </c>
      <c r="BJ500">
        <v>0.9</v>
      </c>
      <c r="BK500">
        <v>1</v>
      </c>
      <c r="BL500">
        <v>116.84</v>
      </c>
      <c r="BM500">
        <v>17.53</v>
      </c>
      <c r="BN500">
        <v>134.37</v>
      </c>
      <c r="BO500">
        <v>134.37</v>
      </c>
      <c r="BQ500" t="s">
        <v>1489</v>
      </c>
      <c r="BR500" t="s">
        <v>1440</v>
      </c>
      <c r="BS500" s="3">
        <v>44610</v>
      </c>
      <c r="BT500" s="4">
        <v>0.46875</v>
      </c>
      <c r="BU500" t="s">
        <v>1490</v>
      </c>
      <c r="BV500" t="s">
        <v>101</v>
      </c>
      <c r="BY500">
        <v>4650.05</v>
      </c>
      <c r="BZ500" t="s">
        <v>87</v>
      </c>
      <c r="CA500" t="s">
        <v>1368</v>
      </c>
      <c r="CC500" t="s">
        <v>1186</v>
      </c>
      <c r="CD500">
        <v>850</v>
      </c>
      <c r="CE500" t="s">
        <v>130</v>
      </c>
      <c r="CF500" s="3">
        <v>44610</v>
      </c>
      <c r="CI500">
        <v>1</v>
      </c>
      <c r="CJ500">
        <v>1</v>
      </c>
      <c r="CK500">
        <v>23</v>
      </c>
      <c r="CL500" t="s">
        <v>84</v>
      </c>
    </row>
    <row r="501" spans="1:90" x14ac:dyDescent="0.25">
      <c r="A501" t="s">
        <v>1417</v>
      </c>
      <c r="B501" t="s">
        <v>1400</v>
      </c>
      <c r="C501" t="s">
        <v>74</v>
      </c>
      <c r="E501" t="str">
        <f>"009941618983"</f>
        <v>009941618983</v>
      </c>
      <c r="F501" s="3">
        <v>44609</v>
      </c>
      <c r="G501">
        <v>202208</v>
      </c>
      <c r="H501" t="s">
        <v>1436</v>
      </c>
      <c r="I501" t="s">
        <v>1437</v>
      </c>
      <c r="J501" t="s">
        <v>1401</v>
      </c>
      <c r="K501" t="s">
        <v>78</v>
      </c>
      <c r="L501" t="s">
        <v>131</v>
      </c>
      <c r="M501" t="s">
        <v>132</v>
      </c>
      <c r="N501" t="s">
        <v>1488</v>
      </c>
      <c r="O501" t="s">
        <v>80</v>
      </c>
      <c r="P501" t="str">
        <f t="shared" si="1"/>
        <v xml:space="preserve">STORES                        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0</v>
      </c>
      <c r="W501">
        <v>0</v>
      </c>
      <c r="X501">
        <v>0</v>
      </c>
      <c r="Y501">
        <v>0</v>
      </c>
      <c r="Z501">
        <v>0</v>
      </c>
      <c r="AA501">
        <v>0</v>
      </c>
      <c r="AB501">
        <v>0</v>
      </c>
      <c r="AC501">
        <v>0</v>
      </c>
      <c r="AD501">
        <v>0</v>
      </c>
      <c r="AE501">
        <v>0</v>
      </c>
      <c r="AF501">
        <v>0</v>
      </c>
      <c r="AG501">
        <v>0</v>
      </c>
      <c r="AH501">
        <v>0</v>
      </c>
      <c r="AI501">
        <v>0</v>
      </c>
      <c r="AJ501">
        <v>0</v>
      </c>
      <c r="AK501">
        <v>16.760000000000002</v>
      </c>
      <c r="AL501">
        <v>0</v>
      </c>
      <c r="AM501">
        <v>0</v>
      </c>
      <c r="AN501">
        <v>0</v>
      </c>
      <c r="AO501">
        <v>0</v>
      </c>
      <c r="AP501">
        <v>0</v>
      </c>
      <c r="AQ501">
        <v>0</v>
      </c>
      <c r="AR501">
        <v>0</v>
      </c>
      <c r="AS501">
        <v>0</v>
      </c>
      <c r="AT501">
        <v>0</v>
      </c>
      <c r="AU501">
        <v>0</v>
      </c>
      <c r="AV501">
        <v>0</v>
      </c>
      <c r="AW501">
        <v>0</v>
      </c>
      <c r="AX501">
        <v>0</v>
      </c>
      <c r="AY501">
        <v>0</v>
      </c>
      <c r="AZ501">
        <v>0</v>
      </c>
      <c r="BA501">
        <v>0</v>
      </c>
      <c r="BB501">
        <v>0</v>
      </c>
      <c r="BC501">
        <v>0</v>
      </c>
      <c r="BD501">
        <v>0</v>
      </c>
      <c r="BE501">
        <v>0</v>
      </c>
      <c r="BF501">
        <v>0</v>
      </c>
      <c r="BG501">
        <v>0</v>
      </c>
      <c r="BH501">
        <v>1</v>
      </c>
      <c r="BI501">
        <v>0.7</v>
      </c>
      <c r="BJ501">
        <v>1.1000000000000001</v>
      </c>
      <c r="BK501">
        <v>1.5</v>
      </c>
      <c r="BL501">
        <v>60.3</v>
      </c>
      <c r="BM501">
        <v>9.0500000000000007</v>
      </c>
      <c r="BN501">
        <v>69.349999999999994</v>
      </c>
      <c r="BO501">
        <v>69.349999999999994</v>
      </c>
      <c r="BQ501" t="s">
        <v>733</v>
      </c>
      <c r="BR501" t="s">
        <v>1440</v>
      </c>
      <c r="BS501" s="3">
        <v>44610</v>
      </c>
      <c r="BT501" s="4">
        <v>0.41111111111111115</v>
      </c>
      <c r="BU501" t="s">
        <v>1491</v>
      </c>
      <c r="BV501" t="s">
        <v>101</v>
      </c>
      <c r="BY501">
        <v>5267.92</v>
      </c>
      <c r="BZ501" t="s">
        <v>87</v>
      </c>
      <c r="CA501" t="s">
        <v>1492</v>
      </c>
      <c r="CC501" t="s">
        <v>132</v>
      </c>
      <c r="CD501">
        <v>4091</v>
      </c>
      <c r="CE501" t="s">
        <v>130</v>
      </c>
      <c r="CF501" s="3">
        <v>44610</v>
      </c>
      <c r="CI501">
        <v>1</v>
      </c>
      <c r="CJ501">
        <v>1</v>
      </c>
      <c r="CK501">
        <v>21</v>
      </c>
      <c r="CL501" t="s">
        <v>84</v>
      </c>
    </row>
    <row r="502" spans="1:90" x14ac:dyDescent="0.25">
      <c r="A502" t="s">
        <v>1417</v>
      </c>
      <c r="B502" t="s">
        <v>1400</v>
      </c>
      <c r="C502" t="s">
        <v>74</v>
      </c>
      <c r="E502" t="str">
        <f>"009941567793"</f>
        <v>009941567793</v>
      </c>
      <c r="F502" s="3">
        <v>44609</v>
      </c>
      <c r="G502">
        <v>202208</v>
      </c>
      <c r="H502" t="s">
        <v>1436</v>
      </c>
      <c r="I502" t="s">
        <v>1437</v>
      </c>
      <c r="J502" t="s">
        <v>1401</v>
      </c>
      <c r="K502" t="s">
        <v>78</v>
      </c>
      <c r="L502" t="s">
        <v>466</v>
      </c>
      <c r="M502" t="s">
        <v>467</v>
      </c>
      <c r="N502" t="s">
        <v>1488</v>
      </c>
      <c r="O502" t="s">
        <v>80</v>
      </c>
      <c r="P502" t="str">
        <f t="shared" si="1"/>
        <v xml:space="preserve">STORES                        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0</v>
      </c>
      <c r="W502">
        <v>0</v>
      </c>
      <c r="X502">
        <v>0</v>
      </c>
      <c r="Y502">
        <v>0</v>
      </c>
      <c r="Z502">
        <v>0</v>
      </c>
      <c r="AA502">
        <v>0</v>
      </c>
      <c r="AB502">
        <v>0</v>
      </c>
      <c r="AC502">
        <v>0</v>
      </c>
      <c r="AD502">
        <v>0</v>
      </c>
      <c r="AE502">
        <v>0</v>
      </c>
      <c r="AF502">
        <v>0</v>
      </c>
      <c r="AG502">
        <v>0</v>
      </c>
      <c r="AH502">
        <v>0</v>
      </c>
      <c r="AI502">
        <v>0</v>
      </c>
      <c r="AJ502">
        <v>0</v>
      </c>
      <c r="AK502">
        <v>32.479999999999997</v>
      </c>
      <c r="AL502">
        <v>0</v>
      </c>
      <c r="AM502">
        <v>0</v>
      </c>
      <c r="AN502">
        <v>0</v>
      </c>
      <c r="AO502">
        <v>0</v>
      </c>
      <c r="AP502">
        <v>0</v>
      </c>
      <c r="AQ502">
        <v>0</v>
      </c>
      <c r="AR502">
        <v>0</v>
      </c>
      <c r="AS502">
        <v>0</v>
      </c>
      <c r="AT502">
        <v>0</v>
      </c>
      <c r="AU502">
        <v>0</v>
      </c>
      <c r="AV502">
        <v>0</v>
      </c>
      <c r="AW502">
        <v>0</v>
      </c>
      <c r="AX502">
        <v>0</v>
      </c>
      <c r="AY502">
        <v>0</v>
      </c>
      <c r="AZ502">
        <v>0</v>
      </c>
      <c r="BA502">
        <v>0</v>
      </c>
      <c r="BB502">
        <v>0</v>
      </c>
      <c r="BC502">
        <v>0</v>
      </c>
      <c r="BD502">
        <v>0</v>
      </c>
      <c r="BE502">
        <v>0</v>
      </c>
      <c r="BF502">
        <v>0</v>
      </c>
      <c r="BG502">
        <v>0</v>
      </c>
      <c r="BH502">
        <v>1</v>
      </c>
      <c r="BI502">
        <v>0.9</v>
      </c>
      <c r="BJ502">
        <v>2</v>
      </c>
      <c r="BK502">
        <v>2</v>
      </c>
      <c r="BL502">
        <v>116.84</v>
      </c>
      <c r="BM502">
        <v>17.53</v>
      </c>
      <c r="BN502">
        <v>134.37</v>
      </c>
      <c r="BO502">
        <v>134.37</v>
      </c>
      <c r="BQ502" t="s">
        <v>1493</v>
      </c>
      <c r="BR502" t="s">
        <v>1440</v>
      </c>
      <c r="BS502" s="3">
        <v>44613</v>
      </c>
      <c r="BT502" s="4">
        <v>0.41666666666666669</v>
      </c>
      <c r="BU502" t="s">
        <v>305</v>
      </c>
      <c r="BV502" t="s">
        <v>84</v>
      </c>
      <c r="BW502" t="s">
        <v>727</v>
      </c>
      <c r="BX502" t="s">
        <v>1101</v>
      </c>
      <c r="BY502">
        <v>10190.33</v>
      </c>
      <c r="BZ502" t="s">
        <v>87</v>
      </c>
      <c r="CC502" t="s">
        <v>467</v>
      </c>
      <c r="CD502">
        <v>3900</v>
      </c>
      <c r="CE502" t="s">
        <v>130</v>
      </c>
      <c r="CF502" s="3">
        <v>44613</v>
      </c>
      <c r="CI502">
        <v>1</v>
      </c>
      <c r="CJ502">
        <v>2</v>
      </c>
      <c r="CK502">
        <v>23</v>
      </c>
      <c r="CL502" t="s">
        <v>84</v>
      </c>
    </row>
    <row r="503" spans="1:90" x14ac:dyDescent="0.25">
      <c r="A503" t="s">
        <v>1417</v>
      </c>
      <c r="B503" t="s">
        <v>1400</v>
      </c>
      <c r="C503" t="s">
        <v>74</v>
      </c>
      <c r="E503" t="str">
        <f>"009940956760"</f>
        <v>009940956760</v>
      </c>
      <c r="F503" s="3">
        <v>44609</v>
      </c>
      <c r="G503">
        <v>202208</v>
      </c>
      <c r="H503" t="s">
        <v>1436</v>
      </c>
      <c r="I503" t="s">
        <v>1437</v>
      </c>
      <c r="J503" t="s">
        <v>1401</v>
      </c>
      <c r="K503" t="s">
        <v>78</v>
      </c>
      <c r="L503" t="s">
        <v>441</v>
      </c>
      <c r="M503" t="s">
        <v>442</v>
      </c>
      <c r="N503" t="s">
        <v>1401</v>
      </c>
      <c r="O503" t="s">
        <v>80</v>
      </c>
      <c r="P503" t="str">
        <f t="shared" si="1"/>
        <v xml:space="preserve">STORES                        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0</v>
      </c>
      <c r="W503">
        <v>0</v>
      </c>
      <c r="X503">
        <v>0</v>
      </c>
      <c r="Y503">
        <v>0</v>
      </c>
      <c r="Z503">
        <v>0</v>
      </c>
      <c r="AA503">
        <v>0</v>
      </c>
      <c r="AB503">
        <v>0</v>
      </c>
      <c r="AC503">
        <v>0</v>
      </c>
      <c r="AD503">
        <v>0</v>
      </c>
      <c r="AE503">
        <v>0</v>
      </c>
      <c r="AF503">
        <v>0</v>
      </c>
      <c r="AG503">
        <v>0</v>
      </c>
      <c r="AH503">
        <v>0</v>
      </c>
      <c r="AI503">
        <v>0</v>
      </c>
      <c r="AJ503">
        <v>0</v>
      </c>
      <c r="AK503">
        <v>32.479999999999997</v>
      </c>
      <c r="AL503">
        <v>0</v>
      </c>
      <c r="AM503">
        <v>0</v>
      </c>
      <c r="AN503">
        <v>0</v>
      </c>
      <c r="AO503">
        <v>0</v>
      </c>
      <c r="AP503">
        <v>0</v>
      </c>
      <c r="AQ503">
        <v>0</v>
      </c>
      <c r="AR503">
        <v>0</v>
      </c>
      <c r="AS503">
        <v>0</v>
      </c>
      <c r="AT503">
        <v>0</v>
      </c>
      <c r="AU503">
        <v>0</v>
      </c>
      <c r="AV503">
        <v>0</v>
      </c>
      <c r="AW503">
        <v>0</v>
      </c>
      <c r="AX503">
        <v>0</v>
      </c>
      <c r="AY503">
        <v>0</v>
      </c>
      <c r="AZ503">
        <v>0</v>
      </c>
      <c r="BA503">
        <v>0</v>
      </c>
      <c r="BB503">
        <v>0</v>
      </c>
      <c r="BC503">
        <v>0</v>
      </c>
      <c r="BD503">
        <v>0</v>
      </c>
      <c r="BE503">
        <v>0</v>
      </c>
      <c r="BF503">
        <v>0</v>
      </c>
      <c r="BG503">
        <v>0</v>
      </c>
      <c r="BH503">
        <v>1</v>
      </c>
      <c r="BI503">
        <v>1</v>
      </c>
      <c r="BJ503">
        <v>0.2</v>
      </c>
      <c r="BK503">
        <v>1</v>
      </c>
      <c r="BL503">
        <v>116.84</v>
      </c>
      <c r="BM503">
        <v>17.53</v>
      </c>
      <c r="BN503">
        <v>134.37</v>
      </c>
      <c r="BO503">
        <v>134.37</v>
      </c>
      <c r="BQ503" t="s">
        <v>1494</v>
      </c>
      <c r="BR503" t="s">
        <v>1443</v>
      </c>
      <c r="BS503" s="3">
        <v>44610</v>
      </c>
      <c r="BT503" s="4">
        <v>0.35833333333333334</v>
      </c>
      <c r="BU503" t="s">
        <v>1495</v>
      </c>
      <c r="BV503" t="s">
        <v>101</v>
      </c>
      <c r="BY503">
        <v>1200</v>
      </c>
      <c r="BZ503" t="s">
        <v>87</v>
      </c>
      <c r="CA503" t="s">
        <v>1496</v>
      </c>
      <c r="CC503" t="s">
        <v>442</v>
      </c>
      <c r="CD503">
        <v>1034</v>
      </c>
      <c r="CE503" t="s">
        <v>130</v>
      </c>
      <c r="CF503" s="3">
        <v>44610</v>
      </c>
      <c r="CI503">
        <v>1</v>
      </c>
      <c r="CJ503">
        <v>1</v>
      </c>
      <c r="CK503">
        <v>23</v>
      </c>
      <c r="CL503" t="s">
        <v>84</v>
      </c>
    </row>
    <row r="504" spans="1:90" x14ac:dyDescent="0.25">
      <c r="A504" t="s">
        <v>1417</v>
      </c>
      <c r="B504" t="s">
        <v>1400</v>
      </c>
      <c r="C504" t="s">
        <v>74</v>
      </c>
      <c r="E504" t="str">
        <f>"009941567794"</f>
        <v>009941567794</v>
      </c>
      <c r="F504" s="3">
        <v>44609</v>
      </c>
      <c r="G504">
        <v>202208</v>
      </c>
      <c r="H504" t="s">
        <v>1436</v>
      </c>
      <c r="I504" t="s">
        <v>1437</v>
      </c>
      <c r="J504" t="s">
        <v>1401</v>
      </c>
      <c r="K504" t="s">
        <v>78</v>
      </c>
      <c r="L504" t="s">
        <v>1418</v>
      </c>
      <c r="M504" t="s">
        <v>1419</v>
      </c>
      <c r="N504" t="s">
        <v>1488</v>
      </c>
      <c r="O504" t="s">
        <v>80</v>
      </c>
      <c r="P504" t="str">
        <f t="shared" si="1"/>
        <v xml:space="preserve">STORES                        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0</v>
      </c>
      <c r="W504">
        <v>0</v>
      </c>
      <c r="X504">
        <v>0</v>
      </c>
      <c r="Y504">
        <v>0</v>
      </c>
      <c r="Z504">
        <v>0</v>
      </c>
      <c r="AA504">
        <v>0</v>
      </c>
      <c r="AB504">
        <v>0</v>
      </c>
      <c r="AC504">
        <v>0</v>
      </c>
      <c r="AD504">
        <v>0</v>
      </c>
      <c r="AE504">
        <v>0</v>
      </c>
      <c r="AF504">
        <v>0</v>
      </c>
      <c r="AG504">
        <v>0</v>
      </c>
      <c r="AH504">
        <v>0</v>
      </c>
      <c r="AI504">
        <v>0</v>
      </c>
      <c r="AJ504">
        <v>0</v>
      </c>
      <c r="AK504">
        <v>32.479999999999997</v>
      </c>
      <c r="AL504">
        <v>0</v>
      </c>
      <c r="AM504">
        <v>0</v>
      </c>
      <c r="AN504">
        <v>0</v>
      </c>
      <c r="AO504">
        <v>0</v>
      </c>
      <c r="AP504">
        <v>0</v>
      </c>
      <c r="AQ504">
        <v>0</v>
      </c>
      <c r="AR504">
        <v>0</v>
      </c>
      <c r="AS504">
        <v>0</v>
      </c>
      <c r="AT504">
        <v>0</v>
      </c>
      <c r="AU504">
        <v>0</v>
      </c>
      <c r="AV504">
        <v>0</v>
      </c>
      <c r="AW504">
        <v>0</v>
      </c>
      <c r="AX504">
        <v>0</v>
      </c>
      <c r="AY504">
        <v>0</v>
      </c>
      <c r="AZ504">
        <v>0</v>
      </c>
      <c r="BA504">
        <v>0</v>
      </c>
      <c r="BB504">
        <v>0</v>
      </c>
      <c r="BC504">
        <v>0</v>
      </c>
      <c r="BD504">
        <v>0</v>
      </c>
      <c r="BE504">
        <v>0</v>
      </c>
      <c r="BF504">
        <v>0</v>
      </c>
      <c r="BG504">
        <v>0</v>
      </c>
      <c r="BH504">
        <v>1</v>
      </c>
      <c r="BI504">
        <v>0.2</v>
      </c>
      <c r="BJ504">
        <v>1.8</v>
      </c>
      <c r="BK504">
        <v>2</v>
      </c>
      <c r="BL504">
        <v>116.84</v>
      </c>
      <c r="BM504">
        <v>17.53</v>
      </c>
      <c r="BN504">
        <v>134.37</v>
      </c>
      <c r="BO504">
        <v>134.37</v>
      </c>
      <c r="BQ504" t="s">
        <v>1497</v>
      </c>
      <c r="BR504" t="s">
        <v>1440</v>
      </c>
      <c r="BS504" s="3">
        <v>44610</v>
      </c>
      <c r="BT504" s="4">
        <v>0.4368055555555555</v>
      </c>
      <c r="BU504" t="s">
        <v>1498</v>
      </c>
      <c r="BV504" t="s">
        <v>101</v>
      </c>
      <c r="BY504">
        <v>8939.9500000000007</v>
      </c>
      <c r="BZ504" t="s">
        <v>87</v>
      </c>
      <c r="CA504" t="s">
        <v>1499</v>
      </c>
      <c r="CC504" t="s">
        <v>1419</v>
      </c>
      <c r="CD504">
        <v>8600</v>
      </c>
      <c r="CE504" t="s">
        <v>130</v>
      </c>
      <c r="CF504" s="3">
        <v>44613</v>
      </c>
      <c r="CI504">
        <v>1</v>
      </c>
      <c r="CJ504">
        <v>1</v>
      </c>
      <c r="CK504">
        <v>23</v>
      </c>
      <c r="CL504" t="s">
        <v>84</v>
      </c>
    </row>
    <row r="505" spans="1:90" x14ac:dyDescent="0.25">
      <c r="A505" t="s">
        <v>1417</v>
      </c>
      <c r="B505" t="s">
        <v>1400</v>
      </c>
      <c r="C505" t="s">
        <v>74</v>
      </c>
      <c r="E505" t="str">
        <f>"009941915242"</f>
        <v>009941915242</v>
      </c>
      <c r="F505" s="3">
        <v>44609</v>
      </c>
      <c r="G505">
        <v>202208</v>
      </c>
      <c r="H505" t="s">
        <v>1436</v>
      </c>
      <c r="I505" t="s">
        <v>1437</v>
      </c>
      <c r="J505" t="s">
        <v>1401</v>
      </c>
      <c r="K505" t="s">
        <v>78</v>
      </c>
      <c r="L505" t="s">
        <v>1447</v>
      </c>
      <c r="M505" t="s">
        <v>1448</v>
      </c>
      <c r="N505" t="s">
        <v>1401</v>
      </c>
      <c r="O505" t="s">
        <v>125</v>
      </c>
      <c r="P505" t="str">
        <f t="shared" si="1"/>
        <v xml:space="preserve">STORES                        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0</v>
      </c>
      <c r="W505">
        <v>0</v>
      </c>
      <c r="X505">
        <v>0</v>
      </c>
      <c r="Y505">
        <v>0</v>
      </c>
      <c r="Z505">
        <v>0</v>
      </c>
      <c r="AA505">
        <v>0</v>
      </c>
      <c r="AB505">
        <v>0</v>
      </c>
      <c r="AC505">
        <v>0</v>
      </c>
      <c r="AD505">
        <v>0</v>
      </c>
      <c r="AE505">
        <v>0</v>
      </c>
      <c r="AF505">
        <v>0</v>
      </c>
      <c r="AG505">
        <v>0</v>
      </c>
      <c r="AH505">
        <v>0</v>
      </c>
      <c r="AI505">
        <v>0</v>
      </c>
      <c r="AJ505">
        <v>0</v>
      </c>
      <c r="AK505">
        <v>108.82</v>
      </c>
      <c r="AL505">
        <v>0</v>
      </c>
      <c r="AM505">
        <v>0</v>
      </c>
      <c r="AN505">
        <v>0</v>
      </c>
      <c r="AO505">
        <v>0</v>
      </c>
      <c r="AP505">
        <v>0</v>
      </c>
      <c r="AQ505">
        <v>15</v>
      </c>
      <c r="AR505">
        <v>0</v>
      </c>
      <c r="AS505">
        <v>0</v>
      </c>
      <c r="AT505">
        <v>0</v>
      </c>
      <c r="AU505">
        <v>0</v>
      </c>
      <c r="AV505">
        <v>0</v>
      </c>
      <c r="AW505">
        <v>0</v>
      </c>
      <c r="AX505">
        <v>0</v>
      </c>
      <c r="AY505">
        <v>0</v>
      </c>
      <c r="AZ505">
        <v>0</v>
      </c>
      <c r="BA505">
        <v>0</v>
      </c>
      <c r="BB505">
        <v>0</v>
      </c>
      <c r="BC505">
        <v>0</v>
      </c>
      <c r="BD505">
        <v>0</v>
      </c>
      <c r="BE505">
        <v>0</v>
      </c>
      <c r="BF505">
        <v>0</v>
      </c>
      <c r="BG505">
        <v>0</v>
      </c>
      <c r="BH505">
        <v>1</v>
      </c>
      <c r="BI505">
        <v>29</v>
      </c>
      <c r="BJ505">
        <v>41.6</v>
      </c>
      <c r="BK505">
        <v>42</v>
      </c>
      <c r="BL505">
        <v>411.71</v>
      </c>
      <c r="BM505">
        <v>61.76</v>
      </c>
      <c r="BN505">
        <v>473.47</v>
      </c>
      <c r="BO505">
        <v>473.47</v>
      </c>
      <c r="BQ505" t="s">
        <v>1500</v>
      </c>
      <c r="BR505" t="s">
        <v>733</v>
      </c>
      <c r="BS505" s="3">
        <v>44610</v>
      </c>
      <c r="BT505" s="4">
        <v>0.45555555555555555</v>
      </c>
      <c r="BU505" t="s">
        <v>1500</v>
      </c>
      <c r="BV505" t="s">
        <v>101</v>
      </c>
      <c r="BY505">
        <v>207760.54</v>
      </c>
      <c r="BZ505" t="s">
        <v>1463</v>
      </c>
      <c r="CC505" t="s">
        <v>1448</v>
      </c>
      <c r="CD505">
        <v>8460</v>
      </c>
      <c r="CE505" t="s">
        <v>130</v>
      </c>
      <c r="CF505" s="3">
        <v>44613</v>
      </c>
      <c r="CI505">
        <v>1</v>
      </c>
      <c r="CJ505">
        <v>1</v>
      </c>
      <c r="CK505">
        <v>43</v>
      </c>
      <c r="CL505" t="s">
        <v>84</v>
      </c>
    </row>
    <row r="506" spans="1:90" x14ac:dyDescent="0.25">
      <c r="A506" t="s">
        <v>1417</v>
      </c>
      <c r="B506" t="s">
        <v>1400</v>
      </c>
      <c r="C506" t="s">
        <v>74</v>
      </c>
      <c r="E506" t="str">
        <f>"009941851572"</f>
        <v>009941851572</v>
      </c>
      <c r="F506" s="3">
        <v>44610</v>
      </c>
      <c r="G506">
        <v>202208</v>
      </c>
      <c r="H506" t="s">
        <v>1436</v>
      </c>
      <c r="I506" t="s">
        <v>1437</v>
      </c>
      <c r="J506" t="s">
        <v>1401</v>
      </c>
      <c r="K506" t="s">
        <v>78</v>
      </c>
      <c r="L506" t="s">
        <v>761</v>
      </c>
      <c r="M506" t="s">
        <v>762</v>
      </c>
      <c r="N506" t="s">
        <v>1401</v>
      </c>
      <c r="O506" t="s">
        <v>80</v>
      </c>
      <c r="P506" t="str">
        <f t="shared" si="1"/>
        <v xml:space="preserve">STORES                        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0</v>
      </c>
      <c r="W506">
        <v>0</v>
      </c>
      <c r="X506">
        <v>0</v>
      </c>
      <c r="Y506">
        <v>0</v>
      </c>
      <c r="Z506">
        <v>0</v>
      </c>
      <c r="AA506">
        <v>0</v>
      </c>
      <c r="AB506">
        <v>0</v>
      </c>
      <c r="AC506">
        <v>0</v>
      </c>
      <c r="AD506">
        <v>0</v>
      </c>
      <c r="AE506">
        <v>0</v>
      </c>
      <c r="AF506">
        <v>0</v>
      </c>
      <c r="AG506">
        <v>0</v>
      </c>
      <c r="AH506">
        <v>0</v>
      </c>
      <c r="AI506">
        <v>0</v>
      </c>
      <c r="AJ506">
        <v>0</v>
      </c>
      <c r="AK506">
        <v>16.760000000000002</v>
      </c>
      <c r="AL506">
        <v>0</v>
      </c>
      <c r="AM506">
        <v>0</v>
      </c>
      <c r="AN506">
        <v>0</v>
      </c>
      <c r="AO506">
        <v>0</v>
      </c>
      <c r="AP506">
        <v>0</v>
      </c>
      <c r="AQ506">
        <v>0</v>
      </c>
      <c r="AR506">
        <v>0</v>
      </c>
      <c r="AS506">
        <v>0</v>
      </c>
      <c r="AT506">
        <v>0</v>
      </c>
      <c r="AU506">
        <v>0</v>
      </c>
      <c r="AV506">
        <v>0</v>
      </c>
      <c r="AW506">
        <v>0</v>
      </c>
      <c r="AX506">
        <v>0</v>
      </c>
      <c r="AY506">
        <v>0</v>
      </c>
      <c r="AZ506">
        <v>0</v>
      </c>
      <c r="BA506">
        <v>0</v>
      </c>
      <c r="BB506">
        <v>0</v>
      </c>
      <c r="BC506">
        <v>0</v>
      </c>
      <c r="BD506">
        <v>0</v>
      </c>
      <c r="BE506">
        <v>0</v>
      </c>
      <c r="BF506">
        <v>0</v>
      </c>
      <c r="BG506">
        <v>0</v>
      </c>
      <c r="BH506">
        <v>1</v>
      </c>
      <c r="BI506">
        <v>1</v>
      </c>
      <c r="BJ506">
        <v>0.2</v>
      </c>
      <c r="BK506">
        <v>1</v>
      </c>
      <c r="BL506">
        <v>60.3</v>
      </c>
      <c r="BM506">
        <v>9.0500000000000007</v>
      </c>
      <c r="BN506">
        <v>69.349999999999994</v>
      </c>
      <c r="BO506">
        <v>69.349999999999994</v>
      </c>
      <c r="BQ506" t="s">
        <v>1501</v>
      </c>
      <c r="BR506" t="s">
        <v>1443</v>
      </c>
      <c r="BS506" s="3">
        <v>44613</v>
      </c>
      <c r="BT506" s="4">
        <v>0.42777777777777781</v>
      </c>
      <c r="BU506" t="s">
        <v>1502</v>
      </c>
      <c r="BV506" t="s">
        <v>101</v>
      </c>
      <c r="BY506">
        <v>1200</v>
      </c>
      <c r="BZ506" t="s">
        <v>87</v>
      </c>
      <c r="CA506" t="s">
        <v>767</v>
      </c>
      <c r="CC506" t="s">
        <v>762</v>
      </c>
      <c r="CD506">
        <v>9300</v>
      </c>
      <c r="CE506" t="s">
        <v>130</v>
      </c>
      <c r="CF506" s="3">
        <v>44614</v>
      </c>
      <c r="CI506">
        <v>1</v>
      </c>
      <c r="CJ506">
        <v>1</v>
      </c>
      <c r="CK506">
        <v>21</v>
      </c>
      <c r="CL506" t="s">
        <v>84</v>
      </c>
    </row>
    <row r="507" spans="1:90" x14ac:dyDescent="0.25">
      <c r="A507" t="s">
        <v>1417</v>
      </c>
      <c r="B507" t="s">
        <v>1400</v>
      </c>
      <c r="C507" t="s">
        <v>74</v>
      </c>
      <c r="E507" t="str">
        <f>"080010402530"</f>
        <v>080010402530</v>
      </c>
      <c r="F507" s="3">
        <v>44610</v>
      </c>
      <c r="G507">
        <v>202208</v>
      </c>
      <c r="H507" t="s">
        <v>384</v>
      </c>
      <c r="I507" t="s">
        <v>385</v>
      </c>
      <c r="J507" t="s">
        <v>1483</v>
      </c>
      <c r="K507" t="s">
        <v>78</v>
      </c>
      <c r="L507" t="s">
        <v>401</v>
      </c>
      <c r="M507" t="s">
        <v>402</v>
      </c>
      <c r="N507" t="s">
        <v>1503</v>
      </c>
      <c r="O507" t="s">
        <v>80</v>
      </c>
      <c r="P507" t="str">
        <f>"-                             "</f>
        <v xml:space="preserve">-                             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0</v>
      </c>
      <c r="W507">
        <v>0</v>
      </c>
      <c r="X507">
        <v>0</v>
      </c>
      <c r="Y507">
        <v>0</v>
      </c>
      <c r="Z507">
        <v>0</v>
      </c>
      <c r="AA507">
        <v>0</v>
      </c>
      <c r="AB507">
        <v>0</v>
      </c>
      <c r="AC507">
        <v>0</v>
      </c>
      <c r="AD507">
        <v>0</v>
      </c>
      <c r="AE507">
        <v>0</v>
      </c>
      <c r="AF507">
        <v>0</v>
      </c>
      <c r="AG507">
        <v>0</v>
      </c>
      <c r="AH507">
        <v>0</v>
      </c>
      <c r="AI507">
        <v>0</v>
      </c>
      <c r="AJ507">
        <v>0</v>
      </c>
      <c r="AK507">
        <v>16.760000000000002</v>
      </c>
      <c r="AL507">
        <v>0</v>
      </c>
      <c r="AM507">
        <v>0</v>
      </c>
      <c r="AN507">
        <v>0</v>
      </c>
      <c r="AO507">
        <v>0</v>
      </c>
      <c r="AP507">
        <v>0</v>
      </c>
      <c r="AQ507">
        <v>0</v>
      </c>
      <c r="AR507">
        <v>0</v>
      </c>
      <c r="AS507">
        <v>0</v>
      </c>
      <c r="AT507">
        <v>0</v>
      </c>
      <c r="AU507">
        <v>0</v>
      </c>
      <c r="AV507">
        <v>0</v>
      </c>
      <c r="AW507">
        <v>0</v>
      </c>
      <c r="AX507">
        <v>0</v>
      </c>
      <c r="AY507">
        <v>0</v>
      </c>
      <c r="AZ507">
        <v>0</v>
      </c>
      <c r="BA507">
        <v>0</v>
      </c>
      <c r="BB507">
        <v>0</v>
      </c>
      <c r="BC507">
        <v>0</v>
      </c>
      <c r="BD507">
        <v>0</v>
      </c>
      <c r="BE507">
        <v>0</v>
      </c>
      <c r="BF507">
        <v>0</v>
      </c>
      <c r="BG507">
        <v>0</v>
      </c>
      <c r="BH507">
        <v>1</v>
      </c>
      <c r="BI507">
        <v>1</v>
      </c>
      <c r="BJ507">
        <v>0.2</v>
      </c>
      <c r="BK507">
        <v>1</v>
      </c>
      <c r="BL507">
        <v>60.3</v>
      </c>
      <c r="BM507">
        <v>9.0500000000000007</v>
      </c>
      <c r="BN507">
        <v>69.349999999999994</v>
      </c>
      <c r="BO507">
        <v>69.349999999999994</v>
      </c>
      <c r="BP507" t="s">
        <v>653</v>
      </c>
      <c r="BQ507" t="s">
        <v>1504</v>
      </c>
      <c r="BR507" t="s">
        <v>1505</v>
      </c>
      <c r="BS507" s="3">
        <v>44613</v>
      </c>
      <c r="BT507" s="4">
        <v>0.47430555555555554</v>
      </c>
      <c r="BU507" t="s">
        <v>1506</v>
      </c>
      <c r="BV507" t="s">
        <v>84</v>
      </c>
      <c r="BW507" t="s">
        <v>801</v>
      </c>
      <c r="BX507" t="s">
        <v>766</v>
      </c>
      <c r="BY507">
        <v>1200</v>
      </c>
      <c r="BZ507" t="s">
        <v>87</v>
      </c>
      <c r="CA507" t="s">
        <v>1507</v>
      </c>
      <c r="CC507" t="s">
        <v>402</v>
      </c>
      <c r="CD507">
        <v>701</v>
      </c>
      <c r="CE507" t="s">
        <v>1487</v>
      </c>
      <c r="CF507" s="3">
        <v>44613</v>
      </c>
      <c r="CI507">
        <v>1</v>
      </c>
      <c r="CJ507">
        <v>1</v>
      </c>
      <c r="CK507">
        <v>21</v>
      </c>
      <c r="CL507" t="s">
        <v>84</v>
      </c>
    </row>
    <row r="508" spans="1:90" x14ac:dyDescent="0.25">
      <c r="A508" t="s">
        <v>1417</v>
      </c>
      <c r="B508" t="s">
        <v>1400</v>
      </c>
      <c r="C508" t="s">
        <v>74</v>
      </c>
      <c r="E508" t="str">
        <f>"080010402537"</f>
        <v>080010402537</v>
      </c>
      <c r="F508" s="3">
        <v>44610</v>
      </c>
      <c r="G508">
        <v>202208</v>
      </c>
      <c r="H508" t="s">
        <v>384</v>
      </c>
      <c r="I508" t="s">
        <v>385</v>
      </c>
      <c r="J508" t="s">
        <v>1483</v>
      </c>
      <c r="K508" t="s">
        <v>78</v>
      </c>
      <c r="L508" t="s">
        <v>282</v>
      </c>
      <c r="M508" t="s">
        <v>283</v>
      </c>
      <c r="N508" t="s">
        <v>1508</v>
      </c>
      <c r="O508" t="s">
        <v>80</v>
      </c>
      <c r="P508" t="str">
        <f>"-                             "</f>
        <v xml:space="preserve">-                             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0</v>
      </c>
      <c r="W508">
        <v>0</v>
      </c>
      <c r="X508">
        <v>0</v>
      </c>
      <c r="Y508">
        <v>0</v>
      </c>
      <c r="Z508">
        <v>0</v>
      </c>
      <c r="AA508">
        <v>0</v>
      </c>
      <c r="AB508">
        <v>0</v>
      </c>
      <c r="AC508">
        <v>0</v>
      </c>
      <c r="AD508">
        <v>0</v>
      </c>
      <c r="AE508">
        <v>0</v>
      </c>
      <c r="AF508">
        <v>0</v>
      </c>
      <c r="AG508">
        <v>0</v>
      </c>
      <c r="AH508">
        <v>0</v>
      </c>
      <c r="AI508">
        <v>0</v>
      </c>
      <c r="AJ508">
        <v>0</v>
      </c>
      <c r="AK508">
        <v>32.479999999999997</v>
      </c>
      <c r="AL508">
        <v>0</v>
      </c>
      <c r="AM508">
        <v>0</v>
      </c>
      <c r="AN508">
        <v>0</v>
      </c>
      <c r="AO508">
        <v>0</v>
      </c>
      <c r="AP508">
        <v>0</v>
      </c>
      <c r="AQ508">
        <v>0</v>
      </c>
      <c r="AR508">
        <v>0</v>
      </c>
      <c r="AS508">
        <v>0</v>
      </c>
      <c r="AT508">
        <v>0</v>
      </c>
      <c r="AU508">
        <v>0</v>
      </c>
      <c r="AV508">
        <v>0</v>
      </c>
      <c r="AW508">
        <v>0</v>
      </c>
      <c r="AX508">
        <v>0</v>
      </c>
      <c r="AY508">
        <v>0</v>
      </c>
      <c r="AZ508">
        <v>0</v>
      </c>
      <c r="BA508">
        <v>0</v>
      </c>
      <c r="BB508">
        <v>0</v>
      </c>
      <c r="BC508">
        <v>0</v>
      </c>
      <c r="BD508">
        <v>0</v>
      </c>
      <c r="BE508">
        <v>0</v>
      </c>
      <c r="BF508">
        <v>0</v>
      </c>
      <c r="BG508">
        <v>0</v>
      </c>
      <c r="BH508">
        <v>1</v>
      </c>
      <c r="BI508">
        <v>1</v>
      </c>
      <c r="BJ508">
        <v>0.2</v>
      </c>
      <c r="BK508">
        <v>1</v>
      </c>
      <c r="BL508">
        <v>116.84</v>
      </c>
      <c r="BM508">
        <v>17.53</v>
      </c>
      <c r="BN508">
        <v>134.37</v>
      </c>
      <c r="BO508">
        <v>134.37</v>
      </c>
      <c r="BP508" t="s">
        <v>653</v>
      </c>
      <c r="BQ508" t="s">
        <v>1509</v>
      </c>
      <c r="BR508" t="s">
        <v>1505</v>
      </c>
      <c r="BS508" s="3">
        <v>44613</v>
      </c>
      <c r="BT508" s="4">
        <v>0.3743055555555555</v>
      </c>
      <c r="BU508" t="s">
        <v>1510</v>
      </c>
      <c r="BV508" t="s">
        <v>101</v>
      </c>
      <c r="BY508">
        <v>1200</v>
      </c>
      <c r="BZ508" t="s">
        <v>87</v>
      </c>
      <c r="CA508" t="s">
        <v>1089</v>
      </c>
      <c r="CC508" t="s">
        <v>283</v>
      </c>
      <c r="CD508">
        <v>299</v>
      </c>
      <c r="CE508" t="s">
        <v>1487</v>
      </c>
      <c r="CF508" s="3">
        <v>44613</v>
      </c>
      <c r="CI508">
        <v>1</v>
      </c>
      <c r="CJ508">
        <v>1</v>
      </c>
      <c r="CK508">
        <v>23</v>
      </c>
      <c r="CL508" t="s">
        <v>84</v>
      </c>
    </row>
    <row r="509" spans="1:90" x14ac:dyDescent="0.25">
      <c r="A509" t="s">
        <v>1417</v>
      </c>
      <c r="B509" t="s">
        <v>1400</v>
      </c>
      <c r="C509" t="s">
        <v>74</v>
      </c>
      <c r="E509" t="str">
        <f>"009941330908"</f>
        <v>009941330908</v>
      </c>
      <c r="F509" s="3">
        <v>44610</v>
      </c>
      <c r="G509">
        <v>202208</v>
      </c>
      <c r="H509" t="s">
        <v>1436</v>
      </c>
      <c r="I509" t="s">
        <v>1437</v>
      </c>
      <c r="J509" t="s">
        <v>1401</v>
      </c>
      <c r="K509" t="s">
        <v>78</v>
      </c>
      <c r="L509" t="s">
        <v>1185</v>
      </c>
      <c r="M509" t="s">
        <v>1186</v>
      </c>
      <c r="N509" t="s">
        <v>1511</v>
      </c>
      <c r="O509" t="s">
        <v>125</v>
      </c>
      <c r="P509" t="str">
        <f>"STORES                        "</f>
        <v xml:space="preserve">STORES                        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0</v>
      </c>
      <c r="X509">
        <v>0</v>
      </c>
      <c r="Y509">
        <v>0</v>
      </c>
      <c r="Z509">
        <v>0</v>
      </c>
      <c r="AA509">
        <v>0</v>
      </c>
      <c r="AB509">
        <v>0</v>
      </c>
      <c r="AC509">
        <v>0</v>
      </c>
      <c r="AD509">
        <v>0</v>
      </c>
      <c r="AE509">
        <v>0</v>
      </c>
      <c r="AF509">
        <v>0</v>
      </c>
      <c r="AG509">
        <v>0</v>
      </c>
      <c r="AH509">
        <v>0</v>
      </c>
      <c r="AI509">
        <v>0</v>
      </c>
      <c r="AJ509">
        <v>0</v>
      </c>
      <c r="AK509">
        <v>45.72</v>
      </c>
      <c r="AL509">
        <v>0</v>
      </c>
      <c r="AM509">
        <v>0</v>
      </c>
      <c r="AN509">
        <v>0</v>
      </c>
      <c r="AO509">
        <v>0</v>
      </c>
      <c r="AP509">
        <v>0</v>
      </c>
      <c r="AQ509">
        <v>0</v>
      </c>
      <c r="AR509">
        <v>0</v>
      </c>
      <c r="AS509">
        <v>0</v>
      </c>
      <c r="AT509">
        <v>0</v>
      </c>
      <c r="AU509">
        <v>0</v>
      </c>
      <c r="AV509">
        <v>0</v>
      </c>
      <c r="AW509">
        <v>0</v>
      </c>
      <c r="AX509">
        <v>0</v>
      </c>
      <c r="AY509">
        <v>0</v>
      </c>
      <c r="AZ509">
        <v>0</v>
      </c>
      <c r="BA509">
        <v>0</v>
      </c>
      <c r="BB509">
        <v>0</v>
      </c>
      <c r="BC509">
        <v>0</v>
      </c>
      <c r="BD509">
        <v>0</v>
      </c>
      <c r="BE509">
        <v>0</v>
      </c>
      <c r="BF509">
        <v>0</v>
      </c>
      <c r="BG509">
        <v>0</v>
      </c>
      <c r="BH509">
        <v>1</v>
      </c>
      <c r="BI509">
        <v>0.2</v>
      </c>
      <c r="BJ509">
        <v>1.5</v>
      </c>
      <c r="BK509">
        <v>2</v>
      </c>
      <c r="BL509">
        <v>169.72</v>
      </c>
      <c r="BM509">
        <v>25.46</v>
      </c>
      <c r="BN509">
        <v>195.18</v>
      </c>
      <c r="BO509">
        <v>195.18</v>
      </c>
      <c r="BQ509" t="s">
        <v>733</v>
      </c>
      <c r="BR509" t="s">
        <v>1440</v>
      </c>
      <c r="BS509" s="3">
        <v>44613</v>
      </c>
      <c r="BT509" s="4">
        <v>0.68611111111111101</v>
      </c>
      <c r="BU509" t="s">
        <v>1425</v>
      </c>
      <c r="BV509" t="s">
        <v>101</v>
      </c>
      <c r="BY509">
        <v>7392.52</v>
      </c>
      <c r="BZ509" t="s">
        <v>137</v>
      </c>
      <c r="CA509" t="s">
        <v>1368</v>
      </c>
      <c r="CC509" t="s">
        <v>1186</v>
      </c>
      <c r="CD509">
        <v>850</v>
      </c>
      <c r="CE509" t="s">
        <v>130</v>
      </c>
      <c r="CF509" s="3">
        <v>44613</v>
      </c>
      <c r="CI509">
        <v>1</v>
      </c>
      <c r="CJ509">
        <v>1</v>
      </c>
      <c r="CK509">
        <v>43</v>
      </c>
      <c r="CL509" t="s">
        <v>84</v>
      </c>
    </row>
    <row r="510" spans="1:90" x14ac:dyDescent="0.25">
      <c r="A510" t="s">
        <v>1417</v>
      </c>
      <c r="B510" t="s">
        <v>1400</v>
      </c>
      <c r="C510" t="s">
        <v>74</v>
      </c>
      <c r="E510" t="str">
        <f>"080010402540"</f>
        <v>080010402540</v>
      </c>
      <c r="F510" s="3">
        <v>44610</v>
      </c>
      <c r="G510">
        <v>202208</v>
      </c>
      <c r="H510" t="s">
        <v>384</v>
      </c>
      <c r="I510" t="s">
        <v>385</v>
      </c>
      <c r="J510" t="s">
        <v>1483</v>
      </c>
      <c r="K510" t="s">
        <v>78</v>
      </c>
      <c r="L510" t="s">
        <v>75</v>
      </c>
      <c r="M510" t="s">
        <v>76</v>
      </c>
      <c r="N510" t="s">
        <v>1401</v>
      </c>
      <c r="O510" t="s">
        <v>80</v>
      </c>
      <c r="P510" t="str">
        <f>"-                             "</f>
        <v xml:space="preserve">-                             </v>
      </c>
      <c r="Q510">
        <v>0</v>
      </c>
      <c r="R510">
        <v>0</v>
      </c>
      <c r="S510">
        <v>0</v>
      </c>
      <c r="T510">
        <v>0</v>
      </c>
      <c r="U510">
        <v>0</v>
      </c>
      <c r="V510">
        <v>0</v>
      </c>
      <c r="W510">
        <v>0</v>
      </c>
      <c r="X510">
        <v>0</v>
      </c>
      <c r="Y510">
        <v>0</v>
      </c>
      <c r="Z510">
        <v>0</v>
      </c>
      <c r="AA510">
        <v>0</v>
      </c>
      <c r="AB510">
        <v>0</v>
      </c>
      <c r="AC510">
        <v>0</v>
      </c>
      <c r="AD510">
        <v>0</v>
      </c>
      <c r="AE510">
        <v>0</v>
      </c>
      <c r="AF510">
        <v>0</v>
      </c>
      <c r="AG510">
        <v>0</v>
      </c>
      <c r="AH510">
        <v>0</v>
      </c>
      <c r="AI510">
        <v>0</v>
      </c>
      <c r="AJ510">
        <v>0</v>
      </c>
      <c r="AK510">
        <v>16.760000000000002</v>
      </c>
      <c r="AL510">
        <v>0</v>
      </c>
      <c r="AM510">
        <v>0</v>
      </c>
      <c r="AN510">
        <v>0</v>
      </c>
      <c r="AO510">
        <v>0</v>
      </c>
      <c r="AP510">
        <v>0</v>
      </c>
      <c r="AQ510">
        <v>0</v>
      </c>
      <c r="AR510">
        <v>0</v>
      </c>
      <c r="AS510">
        <v>0</v>
      </c>
      <c r="AT510">
        <v>0</v>
      </c>
      <c r="AU510">
        <v>0</v>
      </c>
      <c r="AV510">
        <v>0</v>
      </c>
      <c r="AW510">
        <v>0</v>
      </c>
      <c r="AX510">
        <v>0</v>
      </c>
      <c r="AY510">
        <v>0</v>
      </c>
      <c r="AZ510">
        <v>0</v>
      </c>
      <c r="BA510">
        <v>0</v>
      </c>
      <c r="BB510">
        <v>0</v>
      </c>
      <c r="BC510">
        <v>0</v>
      </c>
      <c r="BD510">
        <v>0</v>
      </c>
      <c r="BE510">
        <v>0</v>
      </c>
      <c r="BF510">
        <v>0</v>
      </c>
      <c r="BG510">
        <v>0</v>
      </c>
      <c r="BH510">
        <v>1</v>
      </c>
      <c r="BI510">
        <v>1</v>
      </c>
      <c r="BJ510">
        <v>0.2</v>
      </c>
      <c r="BK510">
        <v>1</v>
      </c>
      <c r="BL510">
        <v>60.3</v>
      </c>
      <c r="BM510">
        <v>9.0500000000000007</v>
      </c>
      <c r="BN510">
        <v>69.349999999999994</v>
      </c>
      <c r="BO510">
        <v>69.349999999999994</v>
      </c>
      <c r="BP510" t="s">
        <v>653</v>
      </c>
      <c r="BQ510" t="s">
        <v>1512</v>
      </c>
      <c r="BR510" t="s">
        <v>1505</v>
      </c>
      <c r="BS510" s="3">
        <v>44613</v>
      </c>
      <c r="BT510" s="4">
        <v>0.35416666666666669</v>
      </c>
      <c r="BU510" t="s">
        <v>1513</v>
      </c>
      <c r="BV510" t="s">
        <v>101</v>
      </c>
      <c r="BY510">
        <v>1200</v>
      </c>
      <c r="BZ510" t="s">
        <v>87</v>
      </c>
      <c r="CA510" t="s">
        <v>1514</v>
      </c>
      <c r="CC510" t="s">
        <v>76</v>
      </c>
      <c r="CD510">
        <v>7700</v>
      </c>
      <c r="CE510" t="s">
        <v>1487</v>
      </c>
      <c r="CF510" s="3">
        <v>44614</v>
      </c>
      <c r="CI510">
        <v>1</v>
      </c>
      <c r="CJ510">
        <v>1</v>
      </c>
      <c r="CK510">
        <v>21</v>
      </c>
      <c r="CL510" t="s">
        <v>84</v>
      </c>
    </row>
    <row r="511" spans="1:90" x14ac:dyDescent="0.25">
      <c r="A511" t="s">
        <v>1417</v>
      </c>
      <c r="B511" t="s">
        <v>1400</v>
      </c>
      <c r="C511" t="s">
        <v>74</v>
      </c>
      <c r="E511" t="str">
        <f>"009941108097"</f>
        <v>009941108097</v>
      </c>
      <c r="F511" s="3">
        <v>44610</v>
      </c>
      <c r="G511">
        <v>202208</v>
      </c>
      <c r="H511" t="s">
        <v>282</v>
      </c>
      <c r="I511" t="s">
        <v>283</v>
      </c>
      <c r="J511" t="s">
        <v>1401</v>
      </c>
      <c r="K511" t="s">
        <v>78</v>
      </c>
      <c r="L511" t="s">
        <v>435</v>
      </c>
      <c r="M511" t="s">
        <v>436</v>
      </c>
      <c r="N511" t="s">
        <v>1515</v>
      </c>
      <c r="O511" t="s">
        <v>125</v>
      </c>
      <c r="P511" t="str">
        <f>"                              "</f>
        <v xml:space="preserve">                              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0</v>
      </c>
      <c r="W511">
        <v>0</v>
      </c>
      <c r="X511">
        <v>0</v>
      </c>
      <c r="Y511">
        <v>0</v>
      </c>
      <c r="Z511">
        <v>0</v>
      </c>
      <c r="AA511">
        <v>0</v>
      </c>
      <c r="AB511">
        <v>0</v>
      </c>
      <c r="AC511">
        <v>0</v>
      </c>
      <c r="AD511">
        <v>0</v>
      </c>
      <c r="AE511">
        <v>0</v>
      </c>
      <c r="AF511">
        <v>0</v>
      </c>
      <c r="AG511">
        <v>0</v>
      </c>
      <c r="AH511">
        <v>0</v>
      </c>
      <c r="AI511">
        <v>0</v>
      </c>
      <c r="AJ511">
        <v>0</v>
      </c>
      <c r="AK511">
        <v>45.72</v>
      </c>
      <c r="AL511">
        <v>0</v>
      </c>
      <c r="AM511">
        <v>0</v>
      </c>
      <c r="AN511">
        <v>0</v>
      </c>
      <c r="AO511">
        <v>0</v>
      </c>
      <c r="AP511">
        <v>0</v>
      </c>
      <c r="AQ511">
        <v>0</v>
      </c>
      <c r="AR511">
        <v>0</v>
      </c>
      <c r="AS511">
        <v>0</v>
      </c>
      <c r="AT511">
        <v>0</v>
      </c>
      <c r="AU511">
        <v>0</v>
      </c>
      <c r="AV511">
        <v>0</v>
      </c>
      <c r="AW511">
        <v>0</v>
      </c>
      <c r="AX511">
        <v>0</v>
      </c>
      <c r="AY511">
        <v>0</v>
      </c>
      <c r="AZ511">
        <v>0</v>
      </c>
      <c r="BA511">
        <v>0</v>
      </c>
      <c r="BB511">
        <v>0</v>
      </c>
      <c r="BC511">
        <v>0</v>
      </c>
      <c r="BD511">
        <v>0</v>
      </c>
      <c r="BE511">
        <v>0</v>
      </c>
      <c r="BF511">
        <v>0</v>
      </c>
      <c r="BG511">
        <v>0</v>
      </c>
      <c r="BH511">
        <v>1</v>
      </c>
      <c r="BI511">
        <v>1.1000000000000001</v>
      </c>
      <c r="BJ511">
        <v>0.2</v>
      </c>
      <c r="BK511">
        <v>2</v>
      </c>
      <c r="BL511">
        <v>169.72</v>
      </c>
      <c r="BM511">
        <v>25.46</v>
      </c>
      <c r="BN511">
        <v>195.18</v>
      </c>
      <c r="BO511">
        <v>195.18</v>
      </c>
      <c r="BQ511" t="s">
        <v>1516</v>
      </c>
      <c r="BR511" t="s">
        <v>1421</v>
      </c>
      <c r="BS511" s="3">
        <v>44613</v>
      </c>
      <c r="BT511" s="4">
        <v>0.45347222222222222</v>
      </c>
      <c r="BU511" t="s">
        <v>1517</v>
      </c>
      <c r="BV511" t="s">
        <v>101</v>
      </c>
      <c r="BY511">
        <v>1200</v>
      </c>
      <c r="BZ511" t="s">
        <v>137</v>
      </c>
      <c r="CA511" t="s">
        <v>1518</v>
      </c>
      <c r="CC511" t="s">
        <v>436</v>
      </c>
      <c r="CD511">
        <v>2570</v>
      </c>
      <c r="CE511" t="s">
        <v>130</v>
      </c>
      <c r="CF511" s="3">
        <v>44613</v>
      </c>
      <c r="CI511">
        <v>1</v>
      </c>
      <c r="CJ511">
        <v>1</v>
      </c>
      <c r="CK511">
        <v>43</v>
      </c>
      <c r="CL511" t="s">
        <v>84</v>
      </c>
    </row>
    <row r="512" spans="1:90" x14ac:dyDescent="0.25">
      <c r="A512" t="s">
        <v>1417</v>
      </c>
      <c r="B512" t="s">
        <v>1400</v>
      </c>
      <c r="C512" t="s">
        <v>74</v>
      </c>
      <c r="E512" t="str">
        <f>"080010402535"</f>
        <v>080010402535</v>
      </c>
      <c r="F512" s="3">
        <v>44610</v>
      </c>
      <c r="G512">
        <v>202208</v>
      </c>
      <c r="H512" t="s">
        <v>384</v>
      </c>
      <c r="I512" t="s">
        <v>385</v>
      </c>
      <c r="J512" t="s">
        <v>1483</v>
      </c>
      <c r="K512" t="s">
        <v>78</v>
      </c>
      <c r="L512" t="s">
        <v>131</v>
      </c>
      <c r="M512" t="s">
        <v>132</v>
      </c>
      <c r="N512" t="s">
        <v>1406</v>
      </c>
      <c r="O512" t="s">
        <v>80</v>
      </c>
      <c r="P512" t="str">
        <f>"-                             "</f>
        <v xml:space="preserve">-                             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0</v>
      </c>
      <c r="W512">
        <v>0</v>
      </c>
      <c r="X512">
        <v>0</v>
      </c>
      <c r="Y512">
        <v>0</v>
      </c>
      <c r="Z512">
        <v>0</v>
      </c>
      <c r="AA512">
        <v>0</v>
      </c>
      <c r="AB512">
        <v>0</v>
      </c>
      <c r="AC512">
        <v>0</v>
      </c>
      <c r="AD512">
        <v>0</v>
      </c>
      <c r="AE512">
        <v>0</v>
      </c>
      <c r="AF512">
        <v>0</v>
      </c>
      <c r="AG512">
        <v>0</v>
      </c>
      <c r="AH512">
        <v>0</v>
      </c>
      <c r="AI512">
        <v>0</v>
      </c>
      <c r="AJ512">
        <v>0</v>
      </c>
      <c r="AK512">
        <v>16.760000000000002</v>
      </c>
      <c r="AL512">
        <v>0</v>
      </c>
      <c r="AM512">
        <v>0</v>
      </c>
      <c r="AN512">
        <v>0</v>
      </c>
      <c r="AO512">
        <v>0</v>
      </c>
      <c r="AP512">
        <v>0</v>
      </c>
      <c r="AQ512">
        <v>0</v>
      </c>
      <c r="AR512">
        <v>0</v>
      </c>
      <c r="AS512">
        <v>0</v>
      </c>
      <c r="AT512">
        <v>0</v>
      </c>
      <c r="AU512">
        <v>0</v>
      </c>
      <c r="AV512">
        <v>0</v>
      </c>
      <c r="AW512">
        <v>0</v>
      </c>
      <c r="AX512">
        <v>0</v>
      </c>
      <c r="AY512">
        <v>0</v>
      </c>
      <c r="AZ512">
        <v>0</v>
      </c>
      <c r="BA512">
        <v>0</v>
      </c>
      <c r="BB512">
        <v>0</v>
      </c>
      <c r="BC512">
        <v>0</v>
      </c>
      <c r="BD512">
        <v>0</v>
      </c>
      <c r="BE512">
        <v>0</v>
      </c>
      <c r="BF512">
        <v>0</v>
      </c>
      <c r="BG512">
        <v>0</v>
      </c>
      <c r="BH512">
        <v>1</v>
      </c>
      <c r="BI512">
        <v>1</v>
      </c>
      <c r="BJ512">
        <v>0.2</v>
      </c>
      <c r="BK512">
        <v>1</v>
      </c>
      <c r="BL512">
        <v>60.3</v>
      </c>
      <c r="BM512">
        <v>9.0500000000000007</v>
      </c>
      <c r="BN512">
        <v>69.349999999999994</v>
      </c>
      <c r="BO512">
        <v>69.349999999999994</v>
      </c>
      <c r="BP512" t="s">
        <v>653</v>
      </c>
      <c r="BQ512" t="s">
        <v>1519</v>
      </c>
      <c r="BR512" t="s">
        <v>1505</v>
      </c>
      <c r="BS512" s="3">
        <v>44613</v>
      </c>
      <c r="BT512" s="4">
        <v>0.41666666666666669</v>
      </c>
      <c r="BU512" t="s">
        <v>1491</v>
      </c>
      <c r="BV512" t="s">
        <v>101</v>
      </c>
      <c r="BY512">
        <v>1200</v>
      </c>
      <c r="BZ512" t="s">
        <v>87</v>
      </c>
      <c r="CA512" t="s">
        <v>1492</v>
      </c>
      <c r="CC512" t="s">
        <v>132</v>
      </c>
      <c r="CD512">
        <v>4091</v>
      </c>
      <c r="CE512" t="s">
        <v>1487</v>
      </c>
      <c r="CF512" s="3">
        <v>44613</v>
      </c>
      <c r="CI512">
        <v>1</v>
      </c>
      <c r="CJ512">
        <v>1</v>
      </c>
      <c r="CK512">
        <v>21</v>
      </c>
      <c r="CL512" t="s">
        <v>84</v>
      </c>
    </row>
    <row r="513" spans="1:90" x14ac:dyDescent="0.25">
      <c r="A513" t="s">
        <v>1417</v>
      </c>
      <c r="B513" t="s">
        <v>1400</v>
      </c>
      <c r="C513" t="s">
        <v>74</v>
      </c>
      <c r="E513" t="str">
        <f>"009941567792"</f>
        <v>009941567792</v>
      </c>
      <c r="F513" s="3">
        <v>44610</v>
      </c>
      <c r="G513">
        <v>202208</v>
      </c>
      <c r="H513" t="s">
        <v>1436</v>
      </c>
      <c r="I513" t="s">
        <v>1437</v>
      </c>
      <c r="J513" t="s">
        <v>1401</v>
      </c>
      <c r="K513" t="s">
        <v>78</v>
      </c>
      <c r="L513" t="s">
        <v>1185</v>
      </c>
      <c r="M513" t="s">
        <v>1186</v>
      </c>
      <c r="N513" t="s">
        <v>1401</v>
      </c>
      <c r="O513" t="s">
        <v>80</v>
      </c>
      <c r="P513" t="str">
        <f>"STORES                        "</f>
        <v xml:space="preserve">STORES                        </v>
      </c>
      <c r="Q513">
        <v>0</v>
      </c>
      <c r="R513">
        <v>0</v>
      </c>
      <c r="S513">
        <v>0</v>
      </c>
      <c r="T513">
        <v>0</v>
      </c>
      <c r="U513">
        <v>0</v>
      </c>
      <c r="V513">
        <v>0</v>
      </c>
      <c r="W513">
        <v>0</v>
      </c>
      <c r="X513">
        <v>0</v>
      </c>
      <c r="Y513">
        <v>0</v>
      </c>
      <c r="Z513">
        <v>0</v>
      </c>
      <c r="AA513">
        <v>0</v>
      </c>
      <c r="AB513">
        <v>0</v>
      </c>
      <c r="AC513">
        <v>0</v>
      </c>
      <c r="AD513">
        <v>0</v>
      </c>
      <c r="AE513">
        <v>0</v>
      </c>
      <c r="AF513">
        <v>0</v>
      </c>
      <c r="AG513">
        <v>0</v>
      </c>
      <c r="AH513">
        <v>0</v>
      </c>
      <c r="AI513">
        <v>0</v>
      </c>
      <c r="AJ513">
        <v>0</v>
      </c>
      <c r="AK513">
        <v>135.16</v>
      </c>
      <c r="AL513">
        <v>0</v>
      </c>
      <c r="AM513">
        <v>0</v>
      </c>
      <c r="AN513">
        <v>0</v>
      </c>
      <c r="AO513">
        <v>0</v>
      </c>
      <c r="AP513">
        <v>0</v>
      </c>
      <c r="AQ513">
        <v>0</v>
      </c>
      <c r="AR513">
        <v>0</v>
      </c>
      <c r="AS513">
        <v>0</v>
      </c>
      <c r="AT513">
        <v>0</v>
      </c>
      <c r="AU513">
        <v>0</v>
      </c>
      <c r="AV513">
        <v>0</v>
      </c>
      <c r="AW513">
        <v>0</v>
      </c>
      <c r="AX513">
        <v>0</v>
      </c>
      <c r="AY513">
        <v>0</v>
      </c>
      <c r="AZ513">
        <v>0</v>
      </c>
      <c r="BA513">
        <v>0</v>
      </c>
      <c r="BB513">
        <v>0</v>
      </c>
      <c r="BC513">
        <v>0</v>
      </c>
      <c r="BD513">
        <v>0</v>
      </c>
      <c r="BE513">
        <v>0</v>
      </c>
      <c r="BF513">
        <v>0</v>
      </c>
      <c r="BG513">
        <v>0</v>
      </c>
      <c r="BH513">
        <v>1</v>
      </c>
      <c r="BI513">
        <v>8.9</v>
      </c>
      <c r="BJ513">
        <v>4.2</v>
      </c>
      <c r="BK513">
        <v>9</v>
      </c>
      <c r="BL513">
        <v>486.22</v>
      </c>
      <c r="BM513">
        <v>72.930000000000007</v>
      </c>
      <c r="BN513">
        <v>559.15</v>
      </c>
      <c r="BO513">
        <v>559.15</v>
      </c>
      <c r="BQ513" t="s">
        <v>1520</v>
      </c>
      <c r="BR513" t="s">
        <v>1443</v>
      </c>
      <c r="BS513" s="3">
        <v>44615</v>
      </c>
      <c r="BT513" s="4">
        <v>0.60416666666666663</v>
      </c>
      <c r="BU513" t="s">
        <v>1425</v>
      </c>
      <c r="BV513" t="s">
        <v>84</v>
      </c>
      <c r="BY513">
        <v>21159.33</v>
      </c>
      <c r="BZ513" t="s">
        <v>87</v>
      </c>
      <c r="CA513" t="s">
        <v>1368</v>
      </c>
      <c r="CC513" t="s">
        <v>1186</v>
      </c>
      <c r="CD513">
        <v>850</v>
      </c>
      <c r="CE513" t="s">
        <v>130</v>
      </c>
      <c r="CF513" s="3">
        <v>44616</v>
      </c>
      <c r="CI513">
        <v>1</v>
      </c>
      <c r="CJ513">
        <v>3</v>
      </c>
      <c r="CK513">
        <v>23</v>
      </c>
      <c r="CL513" t="s">
        <v>84</v>
      </c>
    </row>
    <row r="514" spans="1:90" x14ac:dyDescent="0.25">
      <c r="A514" t="s">
        <v>1399</v>
      </c>
      <c r="B514" t="s">
        <v>1400</v>
      </c>
      <c r="C514" t="s">
        <v>74</v>
      </c>
      <c r="E514" t="str">
        <f>"009940669430"</f>
        <v>009940669430</v>
      </c>
      <c r="F514" s="3">
        <v>44610</v>
      </c>
      <c r="G514">
        <v>202208</v>
      </c>
      <c r="H514" t="s">
        <v>435</v>
      </c>
      <c r="I514" t="s">
        <v>436</v>
      </c>
      <c r="J514" t="s">
        <v>1521</v>
      </c>
      <c r="K514" t="s">
        <v>78</v>
      </c>
      <c r="L514" t="s">
        <v>282</v>
      </c>
      <c r="M514" t="s">
        <v>283</v>
      </c>
      <c r="N514" t="s">
        <v>1401</v>
      </c>
      <c r="O514" t="s">
        <v>125</v>
      </c>
      <c r="P514" t="str">
        <f>"                              "</f>
        <v xml:space="preserve">                              </v>
      </c>
      <c r="Q514">
        <v>0</v>
      </c>
      <c r="R514">
        <v>0</v>
      </c>
      <c r="S514">
        <v>0</v>
      </c>
      <c r="T514">
        <v>0</v>
      </c>
      <c r="U514">
        <v>0</v>
      </c>
      <c r="V514">
        <v>0</v>
      </c>
      <c r="W514">
        <v>0</v>
      </c>
      <c r="X514">
        <v>0</v>
      </c>
      <c r="Y514">
        <v>0</v>
      </c>
      <c r="Z514">
        <v>0</v>
      </c>
      <c r="AA514">
        <v>0</v>
      </c>
      <c r="AB514">
        <v>0</v>
      </c>
      <c r="AC514">
        <v>0</v>
      </c>
      <c r="AD514">
        <v>0</v>
      </c>
      <c r="AE514">
        <v>0</v>
      </c>
      <c r="AF514">
        <v>0</v>
      </c>
      <c r="AG514">
        <v>0</v>
      </c>
      <c r="AH514">
        <v>0</v>
      </c>
      <c r="AI514">
        <v>0</v>
      </c>
      <c r="AJ514">
        <v>0</v>
      </c>
      <c r="AK514">
        <v>106.48</v>
      </c>
      <c r="AL514">
        <v>0</v>
      </c>
      <c r="AM514">
        <v>0</v>
      </c>
      <c r="AN514">
        <v>0</v>
      </c>
      <c r="AO514">
        <v>0</v>
      </c>
      <c r="AP514">
        <v>0</v>
      </c>
      <c r="AQ514">
        <v>0</v>
      </c>
      <c r="AR514">
        <v>0</v>
      </c>
      <c r="AS514">
        <v>0</v>
      </c>
      <c r="AT514">
        <v>0</v>
      </c>
      <c r="AU514">
        <v>0</v>
      </c>
      <c r="AV514">
        <v>0</v>
      </c>
      <c r="AW514">
        <v>0</v>
      </c>
      <c r="AX514">
        <v>0</v>
      </c>
      <c r="AY514">
        <v>0</v>
      </c>
      <c r="AZ514">
        <v>0</v>
      </c>
      <c r="BA514">
        <v>0</v>
      </c>
      <c r="BB514">
        <v>0</v>
      </c>
      <c r="BC514">
        <v>0</v>
      </c>
      <c r="BD514">
        <v>0</v>
      </c>
      <c r="BE514">
        <v>0</v>
      </c>
      <c r="BF514">
        <v>0</v>
      </c>
      <c r="BG514">
        <v>0</v>
      </c>
      <c r="BH514">
        <v>1</v>
      </c>
      <c r="BI514">
        <v>19</v>
      </c>
      <c r="BJ514">
        <v>40.1</v>
      </c>
      <c r="BK514">
        <v>41</v>
      </c>
      <c r="BL514">
        <v>388.3</v>
      </c>
      <c r="BM514">
        <v>58.25</v>
      </c>
      <c r="BN514">
        <v>446.55</v>
      </c>
      <c r="BO514">
        <v>446.55</v>
      </c>
      <c r="BQ514" t="s">
        <v>1421</v>
      </c>
      <c r="BR514" t="s">
        <v>1141</v>
      </c>
      <c r="BS514" s="3">
        <v>44613</v>
      </c>
      <c r="BT514" s="4">
        <v>0.3923611111111111</v>
      </c>
      <c r="BU514" t="s">
        <v>1522</v>
      </c>
      <c r="BV514" t="s">
        <v>101</v>
      </c>
      <c r="BY514">
        <v>200640</v>
      </c>
      <c r="BZ514" t="s">
        <v>137</v>
      </c>
      <c r="CA514" t="s">
        <v>287</v>
      </c>
      <c r="CC514" t="s">
        <v>283</v>
      </c>
      <c r="CD514">
        <v>300</v>
      </c>
      <c r="CE514" t="s">
        <v>130</v>
      </c>
      <c r="CF514" s="3">
        <v>44613</v>
      </c>
      <c r="CI514">
        <v>1</v>
      </c>
      <c r="CJ514">
        <v>1</v>
      </c>
      <c r="CK514">
        <v>43</v>
      </c>
      <c r="CL514" t="s">
        <v>84</v>
      </c>
    </row>
    <row r="515" spans="1:90" x14ac:dyDescent="0.25">
      <c r="A515" t="s">
        <v>1417</v>
      </c>
      <c r="B515" t="s">
        <v>1400</v>
      </c>
      <c r="C515" t="s">
        <v>74</v>
      </c>
      <c r="E515" t="str">
        <f>"009941994656"</f>
        <v>009941994656</v>
      </c>
      <c r="F515" s="3">
        <v>44610</v>
      </c>
      <c r="G515">
        <v>202208</v>
      </c>
      <c r="H515" t="s">
        <v>761</v>
      </c>
      <c r="I515" t="s">
        <v>762</v>
      </c>
      <c r="J515" t="s">
        <v>1401</v>
      </c>
      <c r="K515" t="s">
        <v>78</v>
      </c>
      <c r="L515" t="s">
        <v>153</v>
      </c>
      <c r="M515" t="s">
        <v>154</v>
      </c>
      <c r="N515" t="s">
        <v>1523</v>
      </c>
      <c r="O515" t="s">
        <v>125</v>
      </c>
      <c r="P515" t="str">
        <f>"                              "</f>
        <v xml:space="preserve">                              </v>
      </c>
      <c r="Q515">
        <v>0</v>
      </c>
      <c r="R515">
        <v>0</v>
      </c>
      <c r="S515">
        <v>0</v>
      </c>
      <c r="T515">
        <v>0</v>
      </c>
      <c r="U515">
        <v>0</v>
      </c>
      <c r="V515">
        <v>0</v>
      </c>
      <c r="W515">
        <v>0</v>
      </c>
      <c r="X515">
        <v>0</v>
      </c>
      <c r="Y515">
        <v>0</v>
      </c>
      <c r="Z515">
        <v>0</v>
      </c>
      <c r="AA515">
        <v>0</v>
      </c>
      <c r="AB515">
        <v>0</v>
      </c>
      <c r="AC515">
        <v>0</v>
      </c>
      <c r="AD515">
        <v>0</v>
      </c>
      <c r="AE515">
        <v>0</v>
      </c>
      <c r="AF515">
        <v>0</v>
      </c>
      <c r="AG515">
        <v>0</v>
      </c>
      <c r="AH515">
        <v>0</v>
      </c>
      <c r="AI515">
        <v>0</v>
      </c>
      <c r="AJ515">
        <v>0</v>
      </c>
      <c r="AK515">
        <v>32.42</v>
      </c>
      <c r="AL515">
        <v>0</v>
      </c>
      <c r="AM515">
        <v>0</v>
      </c>
      <c r="AN515">
        <v>0</v>
      </c>
      <c r="AO515">
        <v>0</v>
      </c>
      <c r="AP515">
        <v>0</v>
      </c>
      <c r="AQ515">
        <v>0</v>
      </c>
      <c r="AR515">
        <v>0</v>
      </c>
      <c r="AS515">
        <v>0</v>
      </c>
      <c r="AT515">
        <v>0</v>
      </c>
      <c r="AU515">
        <v>0</v>
      </c>
      <c r="AV515">
        <v>0</v>
      </c>
      <c r="AW515">
        <v>0</v>
      </c>
      <c r="AX515">
        <v>0</v>
      </c>
      <c r="AY515">
        <v>0</v>
      </c>
      <c r="AZ515">
        <v>0</v>
      </c>
      <c r="BA515">
        <v>0</v>
      </c>
      <c r="BB515">
        <v>0</v>
      </c>
      <c r="BC515">
        <v>0</v>
      </c>
      <c r="BD515">
        <v>0</v>
      </c>
      <c r="BE515">
        <v>0</v>
      </c>
      <c r="BF515">
        <v>0</v>
      </c>
      <c r="BG515">
        <v>0</v>
      </c>
      <c r="BH515">
        <v>1</v>
      </c>
      <c r="BI515">
        <v>1</v>
      </c>
      <c r="BJ515">
        <v>0.2</v>
      </c>
      <c r="BK515">
        <v>1</v>
      </c>
      <c r="BL515">
        <v>121.87</v>
      </c>
      <c r="BM515">
        <v>18.28</v>
      </c>
      <c r="BN515">
        <v>140.15</v>
      </c>
      <c r="BO515">
        <v>140.15</v>
      </c>
      <c r="BQ515" t="s">
        <v>1524</v>
      </c>
      <c r="BR515" t="s">
        <v>1482</v>
      </c>
      <c r="BS515" s="3">
        <v>44613</v>
      </c>
      <c r="BT515" s="4">
        <v>0.43055555555555558</v>
      </c>
      <c r="BU515" t="s">
        <v>1470</v>
      </c>
      <c r="BV515" t="s">
        <v>101</v>
      </c>
      <c r="BY515">
        <v>1200</v>
      </c>
      <c r="BZ515" t="s">
        <v>137</v>
      </c>
      <c r="CA515" t="s">
        <v>1405</v>
      </c>
      <c r="CC515" t="s">
        <v>154</v>
      </c>
      <c r="CD515">
        <v>2196</v>
      </c>
      <c r="CE515" t="s">
        <v>130</v>
      </c>
      <c r="CF515" s="3">
        <v>44614</v>
      </c>
      <c r="CI515">
        <v>1</v>
      </c>
      <c r="CJ515">
        <v>1</v>
      </c>
      <c r="CK515">
        <v>41</v>
      </c>
      <c r="CL515" t="s">
        <v>84</v>
      </c>
    </row>
    <row r="516" spans="1:90" x14ac:dyDescent="0.25">
      <c r="A516" t="s">
        <v>1417</v>
      </c>
      <c r="B516" t="s">
        <v>1400</v>
      </c>
      <c r="C516" t="s">
        <v>74</v>
      </c>
      <c r="E516" t="str">
        <f>"009936115822"</f>
        <v>009936115822</v>
      </c>
      <c r="F516" s="3">
        <v>44608</v>
      </c>
      <c r="G516">
        <v>202208</v>
      </c>
      <c r="H516" t="s">
        <v>1436</v>
      </c>
      <c r="I516" t="s">
        <v>1437</v>
      </c>
      <c r="J516" t="s">
        <v>1401</v>
      </c>
      <c r="K516" t="s">
        <v>78</v>
      </c>
      <c r="L516" t="s">
        <v>123</v>
      </c>
      <c r="M516" t="s">
        <v>124</v>
      </c>
      <c r="N516" t="s">
        <v>1401</v>
      </c>
      <c r="O516" t="s">
        <v>125</v>
      </c>
      <c r="P516" t="str">
        <f t="shared" ref="P516:P523" si="2">"STORES                        "</f>
        <v xml:space="preserve">STORES                        </v>
      </c>
      <c r="Q516">
        <v>0</v>
      </c>
      <c r="R516">
        <v>0</v>
      </c>
      <c r="S516">
        <v>0</v>
      </c>
      <c r="T516">
        <v>0</v>
      </c>
      <c r="U516">
        <v>0</v>
      </c>
      <c r="V516">
        <v>0</v>
      </c>
      <c r="W516">
        <v>0</v>
      </c>
      <c r="X516">
        <v>0</v>
      </c>
      <c r="Y516">
        <v>0</v>
      </c>
      <c r="Z516">
        <v>0</v>
      </c>
      <c r="AA516">
        <v>0</v>
      </c>
      <c r="AB516">
        <v>0</v>
      </c>
      <c r="AC516">
        <v>0</v>
      </c>
      <c r="AD516">
        <v>0</v>
      </c>
      <c r="AE516">
        <v>0</v>
      </c>
      <c r="AF516">
        <v>0</v>
      </c>
      <c r="AG516">
        <v>0</v>
      </c>
      <c r="AH516">
        <v>0</v>
      </c>
      <c r="AI516">
        <v>0</v>
      </c>
      <c r="AJ516">
        <v>0</v>
      </c>
      <c r="AK516">
        <v>32.42</v>
      </c>
      <c r="AL516">
        <v>0</v>
      </c>
      <c r="AM516">
        <v>0</v>
      </c>
      <c r="AN516">
        <v>0</v>
      </c>
      <c r="AO516">
        <v>0</v>
      </c>
      <c r="AP516">
        <v>0</v>
      </c>
      <c r="AQ516">
        <v>0</v>
      </c>
      <c r="AR516">
        <v>0</v>
      </c>
      <c r="AS516">
        <v>0</v>
      </c>
      <c r="AT516">
        <v>0</v>
      </c>
      <c r="AU516">
        <v>0</v>
      </c>
      <c r="AV516">
        <v>0</v>
      </c>
      <c r="AW516">
        <v>0</v>
      </c>
      <c r="AX516">
        <v>0</v>
      </c>
      <c r="AY516">
        <v>0</v>
      </c>
      <c r="AZ516">
        <v>0</v>
      </c>
      <c r="BA516">
        <v>0</v>
      </c>
      <c r="BB516">
        <v>0</v>
      </c>
      <c r="BC516">
        <v>0</v>
      </c>
      <c r="BD516">
        <v>0</v>
      </c>
      <c r="BE516">
        <v>0</v>
      </c>
      <c r="BF516">
        <v>0</v>
      </c>
      <c r="BG516">
        <v>0</v>
      </c>
      <c r="BH516">
        <v>1</v>
      </c>
      <c r="BI516">
        <v>14.1</v>
      </c>
      <c r="BJ516">
        <v>9.6999999999999993</v>
      </c>
      <c r="BK516">
        <v>15</v>
      </c>
      <c r="BL516">
        <v>121.87</v>
      </c>
      <c r="BM516">
        <v>18.28</v>
      </c>
      <c r="BN516">
        <v>140.15</v>
      </c>
      <c r="BO516">
        <v>140.15</v>
      </c>
      <c r="BQ516" t="s">
        <v>733</v>
      </c>
      <c r="BR516" t="s">
        <v>1443</v>
      </c>
      <c r="BS516" s="3">
        <v>44610</v>
      </c>
      <c r="BT516" s="4">
        <v>0.4291666666666667</v>
      </c>
      <c r="BU516" t="s">
        <v>1525</v>
      </c>
      <c r="BV516" t="s">
        <v>101</v>
      </c>
      <c r="BY516">
        <v>48708.7</v>
      </c>
      <c r="BZ516" t="s">
        <v>137</v>
      </c>
      <c r="CA516" t="s">
        <v>1445</v>
      </c>
      <c r="CC516" t="s">
        <v>124</v>
      </c>
      <c r="CD516">
        <v>6045</v>
      </c>
      <c r="CE516" t="s">
        <v>130</v>
      </c>
      <c r="CF516" s="3">
        <v>44613</v>
      </c>
      <c r="CI516">
        <v>2</v>
      </c>
      <c r="CJ516">
        <v>2</v>
      </c>
      <c r="CK516">
        <v>41</v>
      </c>
      <c r="CL516" t="s">
        <v>84</v>
      </c>
    </row>
    <row r="517" spans="1:90" x14ac:dyDescent="0.25">
      <c r="A517" t="s">
        <v>1417</v>
      </c>
      <c r="B517" t="s">
        <v>1400</v>
      </c>
      <c r="C517" t="s">
        <v>74</v>
      </c>
      <c r="E517" t="str">
        <f>"009941209237"</f>
        <v>009941209237</v>
      </c>
      <c r="F517" s="3">
        <v>44608</v>
      </c>
      <c r="G517">
        <v>202208</v>
      </c>
      <c r="H517" t="s">
        <v>1436</v>
      </c>
      <c r="I517" t="s">
        <v>1437</v>
      </c>
      <c r="J517" t="s">
        <v>1401</v>
      </c>
      <c r="K517" t="s">
        <v>78</v>
      </c>
      <c r="L517" t="s">
        <v>761</v>
      </c>
      <c r="M517" t="s">
        <v>762</v>
      </c>
      <c r="N517" t="s">
        <v>1401</v>
      </c>
      <c r="O517" t="s">
        <v>125</v>
      </c>
      <c r="P517" t="str">
        <f t="shared" si="2"/>
        <v xml:space="preserve">STORES                        </v>
      </c>
      <c r="Q517">
        <v>0</v>
      </c>
      <c r="R517">
        <v>0</v>
      </c>
      <c r="S517">
        <v>0</v>
      </c>
      <c r="T517">
        <v>0</v>
      </c>
      <c r="U517">
        <v>0</v>
      </c>
      <c r="V517">
        <v>0</v>
      </c>
      <c r="W517">
        <v>0</v>
      </c>
      <c r="X517">
        <v>0</v>
      </c>
      <c r="Y517">
        <v>0</v>
      </c>
      <c r="Z517">
        <v>0</v>
      </c>
      <c r="AA517">
        <v>0</v>
      </c>
      <c r="AB517">
        <v>0</v>
      </c>
      <c r="AC517">
        <v>0</v>
      </c>
      <c r="AD517">
        <v>0</v>
      </c>
      <c r="AE517">
        <v>0</v>
      </c>
      <c r="AF517">
        <v>0</v>
      </c>
      <c r="AG517">
        <v>0</v>
      </c>
      <c r="AH517">
        <v>0</v>
      </c>
      <c r="AI517">
        <v>0</v>
      </c>
      <c r="AJ517">
        <v>0</v>
      </c>
      <c r="AK517">
        <v>104.56</v>
      </c>
      <c r="AL517">
        <v>0</v>
      </c>
      <c r="AM517">
        <v>0</v>
      </c>
      <c r="AN517">
        <v>0</v>
      </c>
      <c r="AO517">
        <v>0</v>
      </c>
      <c r="AP517">
        <v>0</v>
      </c>
      <c r="AQ517">
        <v>0</v>
      </c>
      <c r="AR517">
        <v>0</v>
      </c>
      <c r="AS517">
        <v>0</v>
      </c>
      <c r="AT517">
        <v>0</v>
      </c>
      <c r="AU517">
        <v>0</v>
      </c>
      <c r="AV517">
        <v>0</v>
      </c>
      <c r="AW517">
        <v>0</v>
      </c>
      <c r="AX517">
        <v>0</v>
      </c>
      <c r="AY517">
        <v>0</v>
      </c>
      <c r="AZ517">
        <v>0</v>
      </c>
      <c r="BA517">
        <v>0</v>
      </c>
      <c r="BB517">
        <v>0</v>
      </c>
      <c r="BC517">
        <v>0</v>
      </c>
      <c r="BD517">
        <v>0</v>
      </c>
      <c r="BE517">
        <v>0</v>
      </c>
      <c r="BF517">
        <v>0</v>
      </c>
      <c r="BG517">
        <v>0</v>
      </c>
      <c r="BH517">
        <v>4</v>
      </c>
      <c r="BI517">
        <v>48.8</v>
      </c>
      <c r="BJ517">
        <v>68.2</v>
      </c>
      <c r="BK517">
        <v>69</v>
      </c>
      <c r="BL517">
        <v>381.39</v>
      </c>
      <c r="BM517">
        <v>57.21</v>
      </c>
      <c r="BN517">
        <v>438.6</v>
      </c>
      <c r="BO517">
        <v>438.6</v>
      </c>
      <c r="BQ517" t="s">
        <v>1526</v>
      </c>
      <c r="BR517" t="s">
        <v>1443</v>
      </c>
      <c r="BS517" s="3">
        <v>44609</v>
      </c>
      <c r="BT517" s="4">
        <v>0.47569444444444442</v>
      </c>
      <c r="BU517" t="s">
        <v>1527</v>
      </c>
      <c r="BV517" t="s">
        <v>101</v>
      </c>
      <c r="BY517">
        <v>341058.68</v>
      </c>
      <c r="BZ517" t="s">
        <v>137</v>
      </c>
      <c r="CA517" t="s">
        <v>767</v>
      </c>
      <c r="CC517" t="s">
        <v>762</v>
      </c>
      <c r="CD517">
        <v>9300</v>
      </c>
      <c r="CE517" t="s">
        <v>130</v>
      </c>
      <c r="CF517" s="3">
        <v>44610</v>
      </c>
      <c r="CI517">
        <v>1</v>
      </c>
      <c r="CJ517">
        <v>1</v>
      </c>
      <c r="CK517">
        <v>41</v>
      </c>
      <c r="CL517" t="s">
        <v>84</v>
      </c>
    </row>
    <row r="518" spans="1:90" x14ac:dyDescent="0.25">
      <c r="A518" t="s">
        <v>1417</v>
      </c>
      <c r="B518" t="s">
        <v>1400</v>
      </c>
      <c r="C518" t="s">
        <v>74</v>
      </c>
      <c r="E518" t="str">
        <f>"009941915426"</f>
        <v>009941915426</v>
      </c>
      <c r="F518" s="3">
        <v>44608</v>
      </c>
      <c r="G518">
        <v>202208</v>
      </c>
      <c r="H518" t="s">
        <v>1436</v>
      </c>
      <c r="I518" t="s">
        <v>1437</v>
      </c>
      <c r="J518" t="s">
        <v>1401</v>
      </c>
      <c r="K518" t="s">
        <v>78</v>
      </c>
      <c r="L518" t="s">
        <v>282</v>
      </c>
      <c r="M518" t="s">
        <v>283</v>
      </c>
      <c r="N518" t="s">
        <v>1401</v>
      </c>
      <c r="O518" t="s">
        <v>125</v>
      </c>
      <c r="P518" t="str">
        <f t="shared" si="2"/>
        <v xml:space="preserve">STORES                        </v>
      </c>
      <c r="Q518">
        <v>0</v>
      </c>
      <c r="R518">
        <v>0</v>
      </c>
      <c r="S518">
        <v>0</v>
      </c>
      <c r="T518">
        <v>0</v>
      </c>
      <c r="U518">
        <v>0</v>
      </c>
      <c r="V518">
        <v>0</v>
      </c>
      <c r="W518">
        <v>0</v>
      </c>
      <c r="X518">
        <v>0</v>
      </c>
      <c r="Y518">
        <v>0</v>
      </c>
      <c r="Z518">
        <v>0</v>
      </c>
      <c r="AA518">
        <v>0</v>
      </c>
      <c r="AB518">
        <v>0</v>
      </c>
      <c r="AC518">
        <v>0</v>
      </c>
      <c r="AD518">
        <v>0</v>
      </c>
      <c r="AE518">
        <v>0</v>
      </c>
      <c r="AF518">
        <v>0</v>
      </c>
      <c r="AG518">
        <v>0</v>
      </c>
      <c r="AH518">
        <v>0</v>
      </c>
      <c r="AI518">
        <v>0</v>
      </c>
      <c r="AJ518">
        <v>0</v>
      </c>
      <c r="AK518">
        <v>52.73</v>
      </c>
      <c r="AL518">
        <v>0</v>
      </c>
      <c r="AM518">
        <v>0</v>
      </c>
      <c r="AN518">
        <v>0</v>
      </c>
      <c r="AO518">
        <v>0</v>
      </c>
      <c r="AP518">
        <v>0</v>
      </c>
      <c r="AQ518">
        <v>0</v>
      </c>
      <c r="AR518">
        <v>0</v>
      </c>
      <c r="AS518">
        <v>0</v>
      </c>
      <c r="AT518">
        <v>0</v>
      </c>
      <c r="AU518">
        <v>0</v>
      </c>
      <c r="AV518">
        <v>0</v>
      </c>
      <c r="AW518">
        <v>0</v>
      </c>
      <c r="AX518">
        <v>0</v>
      </c>
      <c r="AY518">
        <v>0</v>
      </c>
      <c r="AZ518">
        <v>0</v>
      </c>
      <c r="BA518">
        <v>0</v>
      </c>
      <c r="BB518">
        <v>0</v>
      </c>
      <c r="BC518">
        <v>0</v>
      </c>
      <c r="BD518">
        <v>0</v>
      </c>
      <c r="BE518">
        <v>0</v>
      </c>
      <c r="BF518">
        <v>0</v>
      </c>
      <c r="BG518">
        <v>0</v>
      </c>
      <c r="BH518">
        <v>1</v>
      </c>
      <c r="BI518">
        <v>9.6</v>
      </c>
      <c r="BJ518">
        <v>17.600000000000001</v>
      </c>
      <c r="BK518">
        <v>18</v>
      </c>
      <c r="BL518">
        <v>194.94</v>
      </c>
      <c r="BM518">
        <v>29.24</v>
      </c>
      <c r="BN518">
        <v>224.18</v>
      </c>
      <c r="BO518">
        <v>224.18</v>
      </c>
      <c r="BQ518" t="s">
        <v>1528</v>
      </c>
      <c r="BR518" t="s">
        <v>733</v>
      </c>
      <c r="BS518" s="3">
        <v>44609</v>
      </c>
      <c r="BT518" s="4">
        <v>0.38194444444444442</v>
      </c>
      <c r="BU518" t="s">
        <v>1510</v>
      </c>
      <c r="BV518" t="s">
        <v>101</v>
      </c>
      <c r="BY518">
        <v>87831.28</v>
      </c>
      <c r="BZ518" t="s">
        <v>137</v>
      </c>
      <c r="CA518" t="s">
        <v>1089</v>
      </c>
      <c r="CC518" t="s">
        <v>283</v>
      </c>
      <c r="CD518">
        <v>300</v>
      </c>
      <c r="CE518" t="s">
        <v>130</v>
      </c>
      <c r="CF518" s="3">
        <v>44609</v>
      </c>
      <c r="CI518">
        <v>1</v>
      </c>
      <c r="CJ518">
        <v>1</v>
      </c>
      <c r="CK518">
        <v>43</v>
      </c>
      <c r="CL518" t="s">
        <v>84</v>
      </c>
    </row>
    <row r="519" spans="1:90" x14ac:dyDescent="0.25">
      <c r="A519" t="s">
        <v>1417</v>
      </c>
      <c r="B519" t="s">
        <v>1400</v>
      </c>
      <c r="C519" t="s">
        <v>74</v>
      </c>
      <c r="E519" t="str">
        <f>"009941567797"</f>
        <v>009941567797</v>
      </c>
      <c r="F519" s="3">
        <v>44608</v>
      </c>
      <c r="G519">
        <v>202208</v>
      </c>
      <c r="H519" t="s">
        <v>1436</v>
      </c>
      <c r="I519" t="s">
        <v>1437</v>
      </c>
      <c r="J519" t="s">
        <v>1401</v>
      </c>
      <c r="K519" t="s">
        <v>78</v>
      </c>
      <c r="L519" t="s">
        <v>1529</v>
      </c>
      <c r="M519" t="s">
        <v>1530</v>
      </c>
      <c r="N519" t="s">
        <v>1401</v>
      </c>
      <c r="O519" t="s">
        <v>80</v>
      </c>
      <c r="P519" t="str">
        <f t="shared" si="2"/>
        <v xml:space="preserve">STORES                        </v>
      </c>
      <c r="Q519">
        <v>0</v>
      </c>
      <c r="R519">
        <v>0</v>
      </c>
      <c r="S519">
        <v>0</v>
      </c>
      <c r="T519">
        <v>0</v>
      </c>
      <c r="U519">
        <v>0</v>
      </c>
      <c r="V519">
        <v>0</v>
      </c>
      <c r="W519">
        <v>0</v>
      </c>
      <c r="X519">
        <v>0</v>
      </c>
      <c r="Y519">
        <v>0</v>
      </c>
      <c r="Z519">
        <v>0</v>
      </c>
      <c r="AA519">
        <v>0</v>
      </c>
      <c r="AB519">
        <v>0</v>
      </c>
      <c r="AC519">
        <v>0</v>
      </c>
      <c r="AD519">
        <v>0</v>
      </c>
      <c r="AE519">
        <v>0</v>
      </c>
      <c r="AF519">
        <v>0</v>
      </c>
      <c r="AG519">
        <v>0</v>
      </c>
      <c r="AH519">
        <v>0</v>
      </c>
      <c r="AI519">
        <v>0</v>
      </c>
      <c r="AJ519">
        <v>0</v>
      </c>
      <c r="AK519">
        <v>230.5</v>
      </c>
      <c r="AL519">
        <v>0</v>
      </c>
      <c r="AM519">
        <v>0</v>
      </c>
      <c r="AN519">
        <v>0</v>
      </c>
      <c r="AO519">
        <v>0</v>
      </c>
      <c r="AP519">
        <v>0</v>
      </c>
      <c r="AQ519">
        <v>15</v>
      </c>
      <c r="AR519">
        <v>0</v>
      </c>
      <c r="AS519">
        <v>0</v>
      </c>
      <c r="AT519">
        <v>0</v>
      </c>
      <c r="AU519">
        <v>0</v>
      </c>
      <c r="AV519">
        <v>0</v>
      </c>
      <c r="AW519">
        <v>0</v>
      </c>
      <c r="AX519">
        <v>0</v>
      </c>
      <c r="AY519">
        <v>0</v>
      </c>
      <c r="AZ519">
        <v>0</v>
      </c>
      <c r="BA519">
        <v>0</v>
      </c>
      <c r="BB519">
        <v>0</v>
      </c>
      <c r="BC519">
        <v>0</v>
      </c>
      <c r="BD519">
        <v>0</v>
      </c>
      <c r="BE519">
        <v>0</v>
      </c>
      <c r="BF519">
        <v>0</v>
      </c>
      <c r="BG519">
        <v>0</v>
      </c>
      <c r="BH519">
        <v>2</v>
      </c>
      <c r="BI519">
        <v>15.1</v>
      </c>
      <c r="BJ519">
        <v>4.9000000000000004</v>
      </c>
      <c r="BK519">
        <v>15.5</v>
      </c>
      <c r="BL519">
        <v>844.21</v>
      </c>
      <c r="BM519">
        <v>126.63</v>
      </c>
      <c r="BN519">
        <v>970.84</v>
      </c>
      <c r="BO519">
        <v>970.84</v>
      </c>
      <c r="BQ519" t="s">
        <v>733</v>
      </c>
      <c r="BR519" t="s">
        <v>1443</v>
      </c>
      <c r="BS519" s="3">
        <v>44609</v>
      </c>
      <c r="BT519" s="4">
        <v>0.50972222222222219</v>
      </c>
      <c r="BU519" t="s">
        <v>1531</v>
      </c>
      <c r="BV519" t="s">
        <v>101</v>
      </c>
      <c r="BY519">
        <v>24720.95</v>
      </c>
      <c r="BZ519" t="s">
        <v>121</v>
      </c>
      <c r="CA519" t="s">
        <v>1532</v>
      </c>
      <c r="CC519" t="s">
        <v>1530</v>
      </c>
      <c r="CD519">
        <v>450</v>
      </c>
      <c r="CE519" t="s">
        <v>130</v>
      </c>
      <c r="CF519" s="3">
        <v>44610</v>
      </c>
      <c r="CI519">
        <v>1</v>
      </c>
      <c r="CJ519">
        <v>1</v>
      </c>
      <c r="CK519">
        <v>23</v>
      </c>
      <c r="CL519" t="s">
        <v>84</v>
      </c>
    </row>
    <row r="520" spans="1:90" x14ac:dyDescent="0.25">
      <c r="A520" t="s">
        <v>1417</v>
      </c>
      <c r="B520" t="s">
        <v>1400</v>
      </c>
      <c r="C520" t="s">
        <v>74</v>
      </c>
      <c r="E520" t="str">
        <f>"009941332107"</f>
        <v>009941332107</v>
      </c>
      <c r="F520" s="3">
        <v>44608</v>
      </c>
      <c r="G520">
        <v>202208</v>
      </c>
      <c r="H520" t="s">
        <v>1436</v>
      </c>
      <c r="I520" t="s">
        <v>1437</v>
      </c>
      <c r="J520" t="s">
        <v>1401</v>
      </c>
      <c r="K520" t="s">
        <v>78</v>
      </c>
      <c r="L520" t="s">
        <v>401</v>
      </c>
      <c r="M520" t="s">
        <v>402</v>
      </c>
      <c r="N520" t="s">
        <v>1401</v>
      </c>
      <c r="O520" t="s">
        <v>125</v>
      </c>
      <c r="P520" t="str">
        <f t="shared" si="2"/>
        <v xml:space="preserve">STORES                        </v>
      </c>
      <c r="Q520">
        <v>0</v>
      </c>
      <c r="R520">
        <v>0</v>
      </c>
      <c r="S520">
        <v>0</v>
      </c>
      <c r="T520">
        <v>0</v>
      </c>
      <c r="U520">
        <v>0</v>
      </c>
      <c r="V520">
        <v>0</v>
      </c>
      <c r="W520">
        <v>0</v>
      </c>
      <c r="X520">
        <v>0</v>
      </c>
      <c r="Y520">
        <v>0</v>
      </c>
      <c r="Z520">
        <v>0</v>
      </c>
      <c r="AA520">
        <v>0</v>
      </c>
      <c r="AB520">
        <v>0</v>
      </c>
      <c r="AC520">
        <v>0</v>
      </c>
      <c r="AD520">
        <v>0</v>
      </c>
      <c r="AE520">
        <v>0</v>
      </c>
      <c r="AF520">
        <v>0</v>
      </c>
      <c r="AG520">
        <v>0</v>
      </c>
      <c r="AH520">
        <v>0</v>
      </c>
      <c r="AI520">
        <v>0</v>
      </c>
      <c r="AJ520">
        <v>0</v>
      </c>
      <c r="AK520">
        <v>41.77</v>
      </c>
      <c r="AL520">
        <v>0</v>
      </c>
      <c r="AM520">
        <v>0</v>
      </c>
      <c r="AN520">
        <v>0</v>
      </c>
      <c r="AO520">
        <v>0</v>
      </c>
      <c r="AP520">
        <v>0</v>
      </c>
      <c r="AQ520">
        <v>0</v>
      </c>
      <c r="AR520">
        <v>0</v>
      </c>
      <c r="AS520">
        <v>0</v>
      </c>
      <c r="AT520">
        <v>0</v>
      </c>
      <c r="AU520">
        <v>0</v>
      </c>
      <c r="AV520">
        <v>0</v>
      </c>
      <c r="AW520">
        <v>0</v>
      </c>
      <c r="AX520">
        <v>0</v>
      </c>
      <c r="AY520">
        <v>0</v>
      </c>
      <c r="AZ520">
        <v>0</v>
      </c>
      <c r="BA520">
        <v>0</v>
      </c>
      <c r="BB520">
        <v>0</v>
      </c>
      <c r="BC520">
        <v>0</v>
      </c>
      <c r="BD520">
        <v>0</v>
      </c>
      <c r="BE520">
        <v>0</v>
      </c>
      <c r="BF520">
        <v>0</v>
      </c>
      <c r="BG520">
        <v>0</v>
      </c>
      <c r="BH520">
        <v>2</v>
      </c>
      <c r="BI520">
        <v>21.3</v>
      </c>
      <c r="BJ520">
        <v>14.8</v>
      </c>
      <c r="BK520">
        <v>22</v>
      </c>
      <c r="BL520">
        <v>155.51</v>
      </c>
      <c r="BM520">
        <v>23.33</v>
      </c>
      <c r="BN520">
        <v>178.84</v>
      </c>
      <c r="BO520">
        <v>178.84</v>
      </c>
      <c r="BQ520" t="s">
        <v>733</v>
      </c>
      <c r="BR520" t="s">
        <v>1533</v>
      </c>
      <c r="BS520" s="3">
        <v>44609</v>
      </c>
      <c r="BT520" s="4">
        <v>0.40972222222222227</v>
      </c>
      <c r="BU520" t="s">
        <v>1534</v>
      </c>
      <c r="BV520" t="s">
        <v>101</v>
      </c>
      <c r="BY520">
        <v>73863.960000000006</v>
      </c>
      <c r="BZ520" t="s">
        <v>137</v>
      </c>
      <c r="CA520" t="s">
        <v>1507</v>
      </c>
      <c r="CC520" t="s">
        <v>402</v>
      </c>
      <c r="CD520">
        <v>699</v>
      </c>
      <c r="CE520" t="s">
        <v>130</v>
      </c>
      <c r="CF520" s="3">
        <v>44609</v>
      </c>
      <c r="CI520">
        <v>1</v>
      </c>
      <c r="CJ520">
        <v>1</v>
      </c>
      <c r="CK520">
        <v>41</v>
      </c>
      <c r="CL520" t="s">
        <v>84</v>
      </c>
    </row>
    <row r="521" spans="1:90" x14ac:dyDescent="0.25">
      <c r="A521" t="s">
        <v>1417</v>
      </c>
      <c r="B521" t="s">
        <v>1400</v>
      </c>
      <c r="C521" t="s">
        <v>74</v>
      </c>
      <c r="E521" t="str">
        <f>"009941915128"</f>
        <v>009941915128</v>
      </c>
      <c r="F521" s="3">
        <v>44608</v>
      </c>
      <c r="G521">
        <v>202208</v>
      </c>
      <c r="H521" t="s">
        <v>1436</v>
      </c>
      <c r="I521" t="s">
        <v>1437</v>
      </c>
      <c r="J521" t="s">
        <v>1401</v>
      </c>
      <c r="K521" t="s">
        <v>78</v>
      </c>
      <c r="L521" t="s">
        <v>131</v>
      </c>
      <c r="M521" t="s">
        <v>132</v>
      </c>
      <c r="N521" t="s">
        <v>1401</v>
      </c>
      <c r="O521" t="s">
        <v>125</v>
      </c>
      <c r="P521" t="str">
        <f t="shared" si="2"/>
        <v xml:space="preserve">STORES                        </v>
      </c>
      <c r="Q521">
        <v>0</v>
      </c>
      <c r="R521">
        <v>0</v>
      </c>
      <c r="S521">
        <v>0</v>
      </c>
      <c r="T521">
        <v>0</v>
      </c>
      <c r="U521">
        <v>0</v>
      </c>
      <c r="V521">
        <v>0</v>
      </c>
      <c r="W521">
        <v>0</v>
      </c>
      <c r="X521">
        <v>0</v>
      </c>
      <c r="Y521">
        <v>0</v>
      </c>
      <c r="Z521">
        <v>0</v>
      </c>
      <c r="AA521">
        <v>0</v>
      </c>
      <c r="AB521">
        <v>0</v>
      </c>
      <c r="AC521">
        <v>0</v>
      </c>
      <c r="AD521">
        <v>0</v>
      </c>
      <c r="AE521">
        <v>0</v>
      </c>
      <c r="AF521">
        <v>0</v>
      </c>
      <c r="AG521">
        <v>0</v>
      </c>
      <c r="AH521">
        <v>0</v>
      </c>
      <c r="AI521">
        <v>0</v>
      </c>
      <c r="AJ521">
        <v>0</v>
      </c>
      <c r="AK521">
        <v>32.42</v>
      </c>
      <c r="AL521">
        <v>0</v>
      </c>
      <c r="AM521">
        <v>0</v>
      </c>
      <c r="AN521">
        <v>0</v>
      </c>
      <c r="AO521">
        <v>0</v>
      </c>
      <c r="AP521">
        <v>0</v>
      </c>
      <c r="AQ521">
        <v>0</v>
      </c>
      <c r="AR521">
        <v>0</v>
      </c>
      <c r="AS521">
        <v>0</v>
      </c>
      <c r="AT521">
        <v>0</v>
      </c>
      <c r="AU521">
        <v>0</v>
      </c>
      <c r="AV521">
        <v>0</v>
      </c>
      <c r="AW521">
        <v>0</v>
      </c>
      <c r="AX521">
        <v>0</v>
      </c>
      <c r="AY521">
        <v>0</v>
      </c>
      <c r="AZ521">
        <v>0</v>
      </c>
      <c r="BA521">
        <v>0</v>
      </c>
      <c r="BB521">
        <v>0</v>
      </c>
      <c r="BC521">
        <v>0</v>
      </c>
      <c r="BD521">
        <v>0</v>
      </c>
      <c r="BE521">
        <v>0</v>
      </c>
      <c r="BF521">
        <v>0</v>
      </c>
      <c r="BG521">
        <v>0</v>
      </c>
      <c r="BH521">
        <v>1</v>
      </c>
      <c r="BI521">
        <v>8.3000000000000007</v>
      </c>
      <c r="BJ521">
        <v>7.6</v>
      </c>
      <c r="BK521">
        <v>9</v>
      </c>
      <c r="BL521">
        <v>121.87</v>
      </c>
      <c r="BM521">
        <v>18.28</v>
      </c>
      <c r="BN521">
        <v>140.15</v>
      </c>
      <c r="BO521">
        <v>140.15</v>
      </c>
      <c r="BQ521" t="s">
        <v>733</v>
      </c>
      <c r="BR521" t="s">
        <v>1533</v>
      </c>
      <c r="BS521" s="3">
        <v>44610</v>
      </c>
      <c r="BT521" s="4">
        <v>0.41111111111111115</v>
      </c>
      <c r="BU521" t="s">
        <v>1491</v>
      </c>
      <c r="BV521" t="s">
        <v>84</v>
      </c>
      <c r="BW521" t="s">
        <v>268</v>
      </c>
      <c r="BX521" t="s">
        <v>240</v>
      </c>
      <c r="BY521">
        <v>37998.68</v>
      </c>
      <c r="BZ521" t="s">
        <v>137</v>
      </c>
      <c r="CA521" t="s">
        <v>1492</v>
      </c>
      <c r="CC521" t="s">
        <v>132</v>
      </c>
      <c r="CD521">
        <v>4091</v>
      </c>
      <c r="CE521" t="s">
        <v>130</v>
      </c>
      <c r="CF521" s="3">
        <v>44610</v>
      </c>
      <c r="CI521">
        <v>1</v>
      </c>
      <c r="CJ521">
        <v>2</v>
      </c>
      <c r="CK521">
        <v>41</v>
      </c>
      <c r="CL521" t="s">
        <v>84</v>
      </c>
    </row>
    <row r="522" spans="1:90" x14ac:dyDescent="0.25">
      <c r="A522" t="s">
        <v>1417</v>
      </c>
      <c r="B522" t="s">
        <v>1400</v>
      </c>
      <c r="C522" t="s">
        <v>74</v>
      </c>
      <c r="E522" t="str">
        <f>"009940956762"</f>
        <v>009940956762</v>
      </c>
      <c r="F522" s="3">
        <v>44608</v>
      </c>
      <c r="G522">
        <v>202208</v>
      </c>
      <c r="H522" t="s">
        <v>1436</v>
      </c>
      <c r="I522" t="s">
        <v>1437</v>
      </c>
      <c r="J522" t="s">
        <v>1401</v>
      </c>
      <c r="K522" t="s">
        <v>78</v>
      </c>
      <c r="L522" t="s">
        <v>441</v>
      </c>
      <c r="M522" t="s">
        <v>442</v>
      </c>
      <c r="N522" t="s">
        <v>1535</v>
      </c>
      <c r="O522" t="s">
        <v>125</v>
      </c>
      <c r="P522" t="str">
        <f t="shared" si="2"/>
        <v xml:space="preserve">STORES                        </v>
      </c>
      <c r="Q522">
        <v>0</v>
      </c>
      <c r="R522">
        <v>0</v>
      </c>
      <c r="S522">
        <v>0</v>
      </c>
      <c r="T522">
        <v>0</v>
      </c>
      <c r="U522">
        <v>0</v>
      </c>
      <c r="V522">
        <v>0</v>
      </c>
      <c r="W522">
        <v>0</v>
      </c>
      <c r="X522">
        <v>0</v>
      </c>
      <c r="Y522">
        <v>0</v>
      </c>
      <c r="Z522">
        <v>0</v>
      </c>
      <c r="AA522">
        <v>0</v>
      </c>
      <c r="AB522">
        <v>0</v>
      </c>
      <c r="AC522">
        <v>0</v>
      </c>
      <c r="AD522">
        <v>0</v>
      </c>
      <c r="AE522">
        <v>0</v>
      </c>
      <c r="AF522">
        <v>0</v>
      </c>
      <c r="AG522">
        <v>0</v>
      </c>
      <c r="AH522">
        <v>0</v>
      </c>
      <c r="AI522">
        <v>0</v>
      </c>
      <c r="AJ522">
        <v>0</v>
      </c>
      <c r="AK522">
        <v>45.72</v>
      </c>
      <c r="AL522">
        <v>0</v>
      </c>
      <c r="AM522">
        <v>0</v>
      </c>
      <c r="AN522">
        <v>0</v>
      </c>
      <c r="AO522">
        <v>0</v>
      </c>
      <c r="AP522">
        <v>0</v>
      </c>
      <c r="AQ522">
        <v>0</v>
      </c>
      <c r="AR522">
        <v>0</v>
      </c>
      <c r="AS522">
        <v>0</v>
      </c>
      <c r="AT522">
        <v>0</v>
      </c>
      <c r="AU522">
        <v>0</v>
      </c>
      <c r="AV522">
        <v>0</v>
      </c>
      <c r="AW522">
        <v>0</v>
      </c>
      <c r="AX522">
        <v>0</v>
      </c>
      <c r="AY522">
        <v>0</v>
      </c>
      <c r="AZ522">
        <v>0</v>
      </c>
      <c r="BA522">
        <v>0</v>
      </c>
      <c r="BB522">
        <v>0</v>
      </c>
      <c r="BC522">
        <v>0</v>
      </c>
      <c r="BD522">
        <v>0</v>
      </c>
      <c r="BE522">
        <v>0</v>
      </c>
      <c r="BF522">
        <v>0</v>
      </c>
      <c r="BG522">
        <v>0</v>
      </c>
      <c r="BH522">
        <v>1</v>
      </c>
      <c r="BI522">
        <v>3.3</v>
      </c>
      <c r="BJ522">
        <v>2.5</v>
      </c>
      <c r="BK522">
        <v>4</v>
      </c>
      <c r="BL522">
        <v>169.72</v>
      </c>
      <c r="BM522">
        <v>25.46</v>
      </c>
      <c r="BN522">
        <v>195.18</v>
      </c>
      <c r="BO522">
        <v>195.18</v>
      </c>
      <c r="BQ522" t="s">
        <v>1494</v>
      </c>
      <c r="BR522" t="s">
        <v>1443</v>
      </c>
      <c r="BS522" s="3">
        <v>44609</v>
      </c>
      <c r="BT522" s="4">
        <v>0.35555555555555557</v>
      </c>
      <c r="BU522" t="s">
        <v>1536</v>
      </c>
      <c r="BV522" t="s">
        <v>101</v>
      </c>
      <c r="BY522">
        <v>12451.54</v>
      </c>
      <c r="BZ522" t="s">
        <v>137</v>
      </c>
      <c r="CA522" t="s">
        <v>1537</v>
      </c>
      <c r="CC522" t="s">
        <v>442</v>
      </c>
      <c r="CD522">
        <v>1034</v>
      </c>
      <c r="CE522" t="s">
        <v>130</v>
      </c>
      <c r="CF522" s="3">
        <v>44609</v>
      </c>
      <c r="CI522">
        <v>1</v>
      </c>
      <c r="CJ522">
        <v>1</v>
      </c>
      <c r="CK522">
        <v>43</v>
      </c>
      <c r="CL522" t="s">
        <v>84</v>
      </c>
    </row>
    <row r="523" spans="1:90" x14ac:dyDescent="0.25">
      <c r="A523" t="s">
        <v>1417</v>
      </c>
      <c r="B523" t="s">
        <v>1400</v>
      </c>
      <c r="C523" t="s">
        <v>74</v>
      </c>
      <c r="E523" t="str">
        <f>"009940956763"</f>
        <v>009940956763</v>
      </c>
      <c r="F523" s="3">
        <v>44608</v>
      </c>
      <c r="G523">
        <v>202208</v>
      </c>
      <c r="H523" t="s">
        <v>1436</v>
      </c>
      <c r="I523" t="s">
        <v>1437</v>
      </c>
      <c r="J523" t="s">
        <v>1401</v>
      </c>
      <c r="K523" t="s">
        <v>78</v>
      </c>
      <c r="L523" t="s">
        <v>441</v>
      </c>
      <c r="M523" t="s">
        <v>442</v>
      </c>
      <c r="N523" t="s">
        <v>1401</v>
      </c>
      <c r="O523" t="s">
        <v>125</v>
      </c>
      <c r="P523" t="str">
        <f t="shared" si="2"/>
        <v xml:space="preserve">STORES                        </v>
      </c>
      <c r="Q523">
        <v>0</v>
      </c>
      <c r="R523">
        <v>0</v>
      </c>
      <c r="S523">
        <v>0</v>
      </c>
      <c r="T523">
        <v>0</v>
      </c>
      <c r="U523">
        <v>0</v>
      </c>
      <c r="V523">
        <v>0</v>
      </c>
      <c r="W523">
        <v>0</v>
      </c>
      <c r="X523">
        <v>0</v>
      </c>
      <c r="Y523">
        <v>0</v>
      </c>
      <c r="Z523">
        <v>0</v>
      </c>
      <c r="AA523">
        <v>0</v>
      </c>
      <c r="AB523">
        <v>0</v>
      </c>
      <c r="AC523">
        <v>0</v>
      </c>
      <c r="AD523">
        <v>0</v>
      </c>
      <c r="AE523">
        <v>0</v>
      </c>
      <c r="AF523">
        <v>0</v>
      </c>
      <c r="AG523">
        <v>0</v>
      </c>
      <c r="AH523">
        <v>0</v>
      </c>
      <c r="AI523">
        <v>0</v>
      </c>
      <c r="AJ523">
        <v>0</v>
      </c>
      <c r="AK523">
        <v>57.4</v>
      </c>
      <c r="AL523">
        <v>0</v>
      </c>
      <c r="AM523">
        <v>0</v>
      </c>
      <c r="AN523">
        <v>0</v>
      </c>
      <c r="AO523">
        <v>0</v>
      </c>
      <c r="AP523">
        <v>0</v>
      </c>
      <c r="AQ523">
        <v>0</v>
      </c>
      <c r="AR523">
        <v>0</v>
      </c>
      <c r="AS523">
        <v>0</v>
      </c>
      <c r="AT523">
        <v>0</v>
      </c>
      <c r="AU523">
        <v>0</v>
      </c>
      <c r="AV523">
        <v>0</v>
      </c>
      <c r="AW523">
        <v>0</v>
      </c>
      <c r="AX523">
        <v>0</v>
      </c>
      <c r="AY523">
        <v>0</v>
      </c>
      <c r="AZ523">
        <v>0</v>
      </c>
      <c r="BA523">
        <v>0</v>
      </c>
      <c r="BB523">
        <v>0</v>
      </c>
      <c r="BC523">
        <v>0</v>
      </c>
      <c r="BD523">
        <v>0</v>
      </c>
      <c r="BE523">
        <v>0</v>
      </c>
      <c r="BF523">
        <v>0</v>
      </c>
      <c r="BG523">
        <v>0</v>
      </c>
      <c r="BH523">
        <v>1</v>
      </c>
      <c r="BI523">
        <v>19.8</v>
      </c>
      <c r="BJ523">
        <v>14.5</v>
      </c>
      <c r="BK523">
        <v>20</v>
      </c>
      <c r="BL523">
        <v>211.75</v>
      </c>
      <c r="BM523">
        <v>31.76</v>
      </c>
      <c r="BN523">
        <v>243.51</v>
      </c>
      <c r="BO523">
        <v>243.51</v>
      </c>
      <c r="BQ523" t="s">
        <v>1538</v>
      </c>
      <c r="BR523" t="s">
        <v>1443</v>
      </c>
      <c r="BS523" s="3">
        <v>44609</v>
      </c>
      <c r="BT523" s="4">
        <v>0.35555555555555557</v>
      </c>
      <c r="BU523" t="s">
        <v>1536</v>
      </c>
      <c r="BV523" t="s">
        <v>101</v>
      </c>
      <c r="BY523">
        <v>72735.94</v>
      </c>
      <c r="BZ523" t="s">
        <v>137</v>
      </c>
      <c r="CA523" t="s">
        <v>1537</v>
      </c>
      <c r="CC523" t="s">
        <v>442</v>
      </c>
      <c r="CD523">
        <v>1034</v>
      </c>
      <c r="CE523" t="s">
        <v>130</v>
      </c>
      <c r="CF523" s="3">
        <v>44609</v>
      </c>
      <c r="CI523">
        <v>1</v>
      </c>
      <c r="CJ523">
        <v>1</v>
      </c>
      <c r="CK523">
        <v>43</v>
      </c>
      <c r="CL523" t="s">
        <v>84</v>
      </c>
    </row>
    <row r="524" spans="1:90" x14ac:dyDescent="0.25">
      <c r="A524" t="s">
        <v>1417</v>
      </c>
      <c r="B524" t="s">
        <v>1400</v>
      </c>
      <c r="C524" t="s">
        <v>74</v>
      </c>
      <c r="E524" t="str">
        <f>"009941249618"</f>
        <v>009941249618</v>
      </c>
      <c r="F524" s="3">
        <v>44613</v>
      </c>
      <c r="G524">
        <v>202208</v>
      </c>
      <c r="H524" t="s">
        <v>790</v>
      </c>
      <c r="I524" t="s">
        <v>791</v>
      </c>
      <c r="J524" t="s">
        <v>1401</v>
      </c>
      <c r="K524" t="s">
        <v>78</v>
      </c>
      <c r="L524" t="s">
        <v>123</v>
      </c>
      <c r="M524" t="s">
        <v>124</v>
      </c>
      <c r="N524" t="s">
        <v>1401</v>
      </c>
      <c r="O524" t="s">
        <v>125</v>
      </c>
      <c r="P524" t="str">
        <f t="shared" ref="P524:P532" si="3">"                              "</f>
        <v xml:space="preserve">                              </v>
      </c>
      <c r="Q524">
        <v>0</v>
      </c>
      <c r="R524">
        <v>0</v>
      </c>
      <c r="S524">
        <v>0</v>
      </c>
      <c r="T524">
        <v>0</v>
      </c>
      <c r="U524">
        <v>0</v>
      </c>
      <c r="V524">
        <v>0</v>
      </c>
      <c r="W524">
        <v>0</v>
      </c>
      <c r="X524">
        <v>0</v>
      </c>
      <c r="Y524">
        <v>0</v>
      </c>
      <c r="Z524">
        <v>0</v>
      </c>
      <c r="AA524">
        <v>0</v>
      </c>
      <c r="AB524">
        <v>0</v>
      </c>
      <c r="AC524">
        <v>0</v>
      </c>
      <c r="AD524">
        <v>0</v>
      </c>
      <c r="AE524">
        <v>0</v>
      </c>
      <c r="AF524">
        <v>0</v>
      </c>
      <c r="AG524">
        <v>0</v>
      </c>
      <c r="AH524">
        <v>0</v>
      </c>
      <c r="AI524">
        <v>0</v>
      </c>
      <c r="AJ524">
        <v>0</v>
      </c>
      <c r="AK524">
        <v>190.61</v>
      </c>
      <c r="AL524">
        <v>0</v>
      </c>
      <c r="AM524">
        <v>0</v>
      </c>
      <c r="AN524">
        <v>0</v>
      </c>
      <c r="AO524">
        <v>0</v>
      </c>
      <c r="AP524">
        <v>0</v>
      </c>
      <c r="AQ524">
        <v>0</v>
      </c>
      <c r="AR524">
        <v>0</v>
      </c>
      <c r="AS524">
        <v>0</v>
      </c>
      <c r="AT524">
        <v>0</v>
      </c>
      <c r="AU524">
        <v>0</v>
      </c>
      <c r="AV524">
        <v>0</v>
      </c>
      <c r="AW524">
        <v>0</v>
      </c>
      <c r="AX524">
        <v>0</v>
      </c>
      <c r="AY524">
        <v>0</v>
      </c>
      <c r="AZ524">
        <v>0</v>
      </c>
      <c r="BA524">
        <v>0</v>
      </c>
      <c r="BB524">
        <v>0</v>
      </c>
      <c r="BC524">
        <v>0</v>
      </c>
      <c r="BD524">
        <v>0</v>
      </c>
      <c r="BE524">
        <v>0</v>
      </c>
      <c r="BF524">
        <v>0</v>
      </c>
      <c r="BG524">
        <v>0</v>
      </c>
      <c r="BH524">
        <v>2</v>
      </c>
      <c r="BI524">
        <v>30</v>
      </c>
      <c r="BJ524">
        <v>76.8</v>
      </c>
      <c r="BK524">
        <v>77</v>
      </c>
      <c r="BL524">
        <v>690.95</v>
      </c>
      <c r="BM524">
        <v>103.64</v>
      </c>
      <c r="BN524">
        <v>794.59</v>
      </c>
      <c r="BO524">
        <v>794.59</v>
      </c>
      <c r="BQ524" t="s">
        <v>1539</v>
      </c>
      <c r="BR524" t="s">
        <v>1540</v>
      </c>
      <c r="BS524" s="3">
        <v>44616</v>
      </c>
      <c r="BT524" s="4">
        <v>0.36874999999999997</v>
      </c>
      <c r="BU524" t="s">
        <v>1541</v>
      </c>
      <c r="BV524" t="s">
        <v>101</v>
      </c>
      <c r="BY524">
        <v>192000</v>
      </c>
      <c r="BZ524" t="s">
        <v>137</v>
      </c>
      <c r="CA524" t="s">
        <v>1445</v>
      </c>
      <c r="CC524" t="s">
        <v>124</v>
      </c>
      <c r="CD524">
        <v>6001</v>
      </c>
      <c r="CE524" t="s">
        <v>1542</v>
      </c>
      <c r="CF524" s="3">
        <v>44617</v>
      </c>
      <c r="CI524">
        <v>3</v>
      </c>
      <c r="CJ524">
        <v>3</v>
      </c>
      <c r="CK524">
        <v>43</v>
      </c>
      <c r="CL524" t="s">
        <v>84</v>
      </c>
    </row>
    <row r="525" spans="1:90" x14ac:dyDescent="0.25">
      <c r="A525" t="s">
        <v>1417</v>
      </c>
      <c r="B525" t="s">
        <v>1400</v>
      </c>
      <c r="C525" t="s">
        <v>74</v>
      </c>
      <c r="E525" t="str">
        <f>"009941249617"</f>
        <v>009941249617</v>
      </c>
      <c r="F525" s="3">
        <v>44613</v>
      </c>
      <c r="G525">
        <v>202208</v>
      </c>
      <c r="H525" t="s">
        <v>790</v>
      </c>
      <c r="I525" t="s">
        <v>791</v>
      </c>
      <c r="J525" t="s">
        <v>1401</v>
      </c>
      <c r="K525" t="s">
        <v>78</v>
      </c>
      <c r="L525" t="s">
        <v>153</v>
      </c>
      <c r="M525" t="s">
        <v>154</v>
      </c>
      <c r="N525" t="s">
        <v>1401</v>
      </c>
      <c r="O525" t="s">
        <v>125</v>
      </c>
      <c r="P525" t="str">
        <f t="shared" si="3"/>
        <v xml:space="preserve">                              </v>
      </c>
      <c r="Q525">
        <v>0</v>
      </c>
      <c r="R525">
        <v>0</v>
      </c>
      <c r="S525">
        <v>0</v>
      </c>
      <c r="T525">
        <v>0</v>
      </c>
      <c r="U525">
        <v>0</v>
      </c>
      <c r="V525">
        <v>0</v>
      </c>
      <c r="W525">
        <v>0</v>
      </c>
      <c r="X525">
        <v>0</v>
      </c>
      <c r="Y525">
        <v>0</v>
      </c>
      <c r="Z525">
        <v>0</v>
      </c>
      <c r="AA525">
        <v>0</v>
      </c>
      <c r="AB525">
        <v>0</v>
      </c>
      <c r="AC525">
        <v>0</v>
      </c>
      <c r="AD525">
        <v>0</v>
      </c>
      <c r="AE525">
        <v>0</v>
      </c>
      <c r="AF525">
        <v>0</v>
      </c>
      <c r="AG525">
        <v>0</v>
      </c>
      <c r="AH525">
        <v>0</v>
      </c>
      <c r="AI525">
        <v>0</v>
      </c>
      <c r="AJ525">
        <v>0</v>
      </c>
      <c r="AK525">
        <v>45.72</v>
      </c>
      <c r="AL525">
        <v>0</v>
      </c>
      <c r="AM525">
        <v>0</v>
      </c>
      <c r="AN525">
        <v>0</v>
      </c>
      <c r="AO525">
        <v>0</v>
      </c>
      <c r="AP525">
        <v>0</v>
      </c>
      <c r="AQ525">
        <v>15</v>
      </c>
      <c r="AR525">
        <v>0</v>
      </c>
      <c r="AS525">
        <v>0</v>
      </c>
      <c r="AT525">
        <v>0</v>
      </c>
      <c r="AU525">
        <v>0</v>
      </c>
      <c r="AV525">
        <v>0</v>
      </c>
      <c r="AW525">
        <v>0</v>
      </c>
      <c r="AX525">
        <v>0</v>
      </c>
      <c r="AY525">
        <v>0</v>
      </c>
      <c r="AZ525">
        <v>0</v>
      </c>
      <c r="BA525">
        <v>0</v>
      </c>
      <c r="BB525">
        <v>0</v>
      </c>
      <c r="BC525">
        <v>0</v>
      </c>
      <c r="BD525">
        <v>0</v>
      </c>
      <c r="BE525">
        <v>0</v>
      </c>
      <c r="BF525">
        <v>0</v>
      </c>
      <c r="BG525">
        <v>0</v>
      </c>
      <c r="BH525">
        <v>1</v>
      </c>
      <c r="BI525">
        <v>10</v>
      </c>
      <c r="BJ525">
        <v>11.2</v>
      </c>
      <c r="BK525">
        <v>12</v>
      </c>
      <c r="BL525">
        <v>184.72</v>
      </c>
      <c r="BM525">
        <v>27.71</v>
      </c>
      <c r="BN525">
        <v>212.43</v>
      </c>
      <c r="BO525">
        <v>212.43</v>
      </c>
      <c r="BQ525" t="s">
        <v>1543</v>
      </c>
      <c r="BR525" t="s">
        <v>1540</v>
      </c>
      <c r="BS525" s="3">
        <v>44617</v>
      </c>
      <c r="BT525" s="4">
        <v>0.32291666666666669</v>
      </c>
      <c r="BU525" t="s">
        <v>1544</v>
      </c>
      <c r="BV525" t="s">
        <v>84</v>
      </c>
      <c r="BW525" t="s">
        <v>964</v>
      </c>
      <c r="BX525" t="s">
        <v>1545</v>
      </c>
      <c r="BY525">
        <v>56000</v>
      </c>
      <c r="BZ525" t="s">
        <v>1463</v>
      </c>
      <c r="CC525" t="s">
        <v>154</v>
      </c>
      <c r="CD525">
        <v>2000</v>
      </c>
      <c r="CE525" t="s">
        <v>1546</v>
      </c>
      <c r="CF525" s="3">
        <v>44617</v>
      </c>
      <c r="CI525">
        <v>2</v>
      </c>
      <c r="CJ525">
        <v>4</v>
      </c>
      <c r="CK525">
        <v>43</v>
      </c>
      <c r="CL525" t="s">
        <v>84</v>
      </c>
    </row>
    <row r="526" spans="1:90" x14ac:dyDescent="0.25">
      <c r="A526" t="s">
        <v>1417</v>
      </c>
      <c r="B526" t="s">
        <v>1400</v>
      </c>
      <c r="C526" t="s">
        <v>74</v>
      </c>
      <c r="E526" t="str">
        <f>"009940361956"</f>
        <v>009940361956</v>
      </c>
      <c r="F526" s="3">
        <v>44613</v>
      </c>
      <c r="G526">
        <v>202208</v>
      </c>
      <c r="H526" t="s">
        <v>1185</v>
      </c>
      <c r="I526" t="s">
        <v>1186</v>
      </c>
      <c r="J526" t="s">
        <v>1547</v>
      </c>
      <c r="K526" t="s">
        <v>78</v>
      </c>
      <c r="L526" t="s">
        <v>1436</v>
      </c>
      <c r="M526" t="s">
        <v>1437</v>
      </c>
      <c r="N526" t="s">
        <v>1401</v>
      </c>
      <c r="O526" t="s">
        <v>125</v>
      </c>
      <c r="P526" t="str">
        <f t="shared" si="3"/>
        <v xml:space="preserve">                              </v>
      </c>
      <c r="Q526">
        <v>0</v>
      </c>
      <c r="R526">
        <v>0</v>
      </c>
      <c r="S526">
        <v>0</v>
      </c>
      <c r="T526">
        <v>0</v>
      </c>
      <c r="U526">
        <v>0</v>
      </c>
      <c r="V526">
        <v>0</v>
      </c>
      <c r="W526">
        <v>0</v>
      </c>
      <c r="X526">
        <v>0</v>
      </c>
      <c r="Y526">
        <v>0</v>
      </c>
      <c r="Z526">
        <v>0</v>
      </c>
      <c r="AA526">
        <v>0</v>
      </c>
      <c r="AB526">
        <v>0</v>
      </c>
      <c r="AC526">
        <v>0</v>
      </c>
      <c r="AD526">
        <v>0</v>
      </c>
      <c r="AE526">
        <v>0</v>
      </c>
      <c r="AF526">
        <v>0</v>
      </c>
      <c r="AG526">
        <v>0</v>
      </c>
      <c r="AH526">
        <v>0</v>
      </c>
      <c r="AI526">
        <v>0</v>
      </c>
      <c r="AJ526">
        <v>0</v>
      </c>
      <c r="AK526">
        <v>55.07</v>
      </c>
      <c r="AL526">
        <v>0</v>
      </c>
      <c r="AM526">
        <v>0</v>
      </c>
      <c r="AN526">
        <v>0</v>
      </c>
      <c r="AO526">
        <v>0</v>
      </c>
      <c r="AP526">
        <v>0</v>
      </c>
      <c r="AQ526">
        <v>0</v>
      </c>
      <c r="AR526">
        <v>0</v>
      </c>
      <c r="AS526">
        <v>0</v>
      </c>
      <c r="AT526">
        <v>0</v>
      </c>
      <c r="AU526">
        <v>0</v>
      </c>
      <c r="AV526">
        <v>0</v>
      </c>
      <c r="AW526">
        <v>0</v>
      </c>
      <c r="AX526">
        <v>0</v>
      </c>
      <c r="AY526">
        <v>0</v>
      </c>
      <c r="AZ526">
        <v>0</v>
      </c>
      <c r="BA526">
        <v>0</v>
      </c>
      <c r="BB526">
        <v>0</v>
      </c>
      <c r="BC526">
        <v>0</v>
      </c>
      <c r="BD526">
        <v>0</v>
      </c>
      <c r="BE526">
        <v>0</v>
      </c>
      <c r="BF526">
        <v>0</v>
      </c>
      <c r="BG526">
        <v>0</v>
      </c>
      <c r="BH526">
        <v>4</v>
      </c>
      <c r="BI526">
        <v>19</v>
      </c>
      <c r="BJ526">
        <v>9.8000000000000007</v>
      </c>
      <c r="BK526">
        <v>19</v>
      </c>
      <c r="BL526">
        <v>203.35</v>
      </c>
      <c r="BM526">
        <v>30.5</v>
      </c>
      <c r="BN526">
        <v>233.85</v>
      </c>
      <c r="BO526">
        <v>233.85</v>
      </c>
      <c r="BQ526" t="s">
        <v>1548</v>
      </c>
      <c r="BR526" t="s">
        <v>1466</v>
      </c>
      <c r="BS526" s="3">
        <v>44614</v>
      </c>
      <c r="BT526" s="4">
        <v>0.36041666666666666</v>
      </c>
      <c r="BU526" t="s">
        <v>1549</v>
      </c>
      <c r="BV526" t="s">
        <v>101</v>
      </c>
      <c r="BY526">
        <v>49118</v>
      </c>
      <c r="BZ526" t="s">
        <v>137</v>
      </c>
      <c r="CC526" t="s">
        <v>1437</v>
      </c>
      <c r="CD526">
        <v>2146</v>
      </c>
      <c r="CE526" t="s">
        <v>130</v>
      </c>
      <c r="CF526" s="3">
        <v>44615</v>
      </c>
      <c r="CI526">
        <v>1</v>
      </c>
      <c r="CJ526">
        <v>1</v>
      </c>
      <c r="CK526">
        <v>43</v>
      </c>
      <c r="CL526" t="s">
        <v>84</v>
      </c>
    </row>
    <row r="527" spans="1:90" x14ac:dyDescent="0.25">
      <c r="A527" t="s">
        <v>1417</v>
      </c>
      <c r="B527" t="s">
        <v>1400</v>
      </c>
      <c r="C527" t="s">
        <v>74</v>
      </c>
      <c r="E527" t="str">
        <f>"009941050271"</f>
        <v>009941050271</v>
      </c>
      <c r="F527" s="3">
        <v>44613</v>
      </c>
      <c r="G527">
        <v>202208</v>
      </c>
      <c r="H527" t="s">
        <v>131</v>
      </c>
      <c r="I527" t="s">
        <v>132</v>
      </c>
      <c r="J527" t="s">
        <v>1406</v>
      </c>
      <c r="K527" t="s">
        <v>78</v>
      </c>
      <c r="L527" t="s">
        <v>153</v>
      </c>
      <c r="M527" t="s">
        <v>154</v>
      </c>
      <c r="N527" t="s">
        <v>1550</v>
      </c>
      <c r="O527" t="s">
        <v>125</v>
      </c>
      <c r="P527" t="str">
        <f t="shared" si="3"/>
        <v xml:space="preserve">                              </v>
      </c>
      <c r="Q527">
        <v>0</v>
      </c>
      <c r="R527">
        <v>0</v>
      </c>
      <c r="S527">
        <v>0</v>
      </c>
      <c r="T527">
        <v>0</v>
      </c>
      <c r="U527">
        <v>0</v>
      </c>
      <c r="V527">
        <v>0</v>
      </c>
      <c r="W527">
        <v>0</v>
      </c>
      <c r="X527">
        <v>0</v>
      </c>
      <c r="Y527">
        <v>0</v>
      </c>
      <c r="Z527">
        <v>0</v>
      </c>
      <c r="AA527">
        <v>0</v>
      </c>
      <c r="AB527">
        <v>0</v>
      </c>
      <c r="AC527">
        <v>0</v>
      </c>
      <c r="AD527">
        <v>0</v>
      </c>
      <c r="AE527">
        <v>0</v>
      </c>
      <c r="AF527">
        <v>0</v>
      </c>
      <c r="AG527">
        <v>0</v>
      </c>
      <c r="AH527">
        <v>0</v>
      </c>
      <c r="AI527">
        <v>0</v>
      </c>
      <c r="AJ527">
        <v>0</v>
      </c>
      <c r="AK527">
        <v>83.18</v>
      </c>
      <c r="AL527">
        <v>0</v>
      </c>
      <c r="AM527">
        <v>0</v>
      </c>
      <c r="AN527">
        <v>0</v>
      </c>
      <c r="AO527">
        <v>0</v>
      </c>
      <c r="AP527">
        <v>0</v>
      </c>
      <c r="AQ527">
        <v>0</v>
      </c>
      <c r="AR527">
        <v>0</v>
      </c>
      <c r="AS527">
        <v>0</v>
      </c>
      <c r="AT527">
        <v>0</v>
      </c>
      <c r="AU527">
        <v>0</v>
      </c>
      <c r="AV527">
        <v>0</v>
      </c>
      <c r="AW527">
        <v>0</v>
      </c>
      <c r="AX527">
        <v>0</v>
      </c>
      <c r="AY527">
        <v>0</v>
      </c>
      <c r="AZ527">
        <v>0</v>
      </c>
      <c r="BA527">
        <v>0</v>
      </c>
      <c r="BB527">
        <v>0</v>
      </c>
      <c r="BC527">
        <v>0</v>
      </c>
      <c r="BD527">
        <v>0</v>
      </c>
      <c r="BE527">
        <v>0</v>
      </c>
      <c r="BF527">
        <v>0</v>
      </c>
      <c r="BG527">
        <v>0</v>
      </c>
      <c r="BH527">
        <v>5</v>
      </c>
      <c r="BI527">
        <v>52.3</v>
      </c>
      <c r="BJ527">
        <v>47.8</v>
      </c>
      <c r="BK527">
        <v>53</v>
      </c>
      <c r="BL527">
        <v>304.49</v>
      </c>
      <c r="BM527">
        <v>45.67</v>
      </c>
      <c r="BN527">
        <v>350.16</v>
      </c>
      <c r="BO527">
        <v>350.16</v>
      </c>
      <c r="BQ527" t="s">
        <v>1551</v>
      </c>
      <c r="BR527" t="s">
        <v>1552</v>
      </c>
      <c r="BS527" s="3">
        <v>44614</v>
      </c>
      <c r="BT527" s="4">
        <v>0.37152777777777773</v>
      </c>
      <c r="BU527" t="s">
        <v>1553</v>
      </c>
      <c r="BV527" t="s">
        <v>101</v>
      </c>
      <c r="BY527">
        <v>238812</v>
      </c>
      <c r="BZ527" t="s">
        <v>137</v>
      </c>
      <c r="CC527" t="s">
        <v>154</v>
      </c>
      <c r="CD527">
        <v>2196</v>
      </c>
      <c r="CE527" t="s">
        <v>130</v>
      </c>
      <c r="CF527" s="3">
        <v>44615</v>
      </c>
      <c r="CI527">
        <v>1</v>
      </c>
      <c r="CJ527">
        <v>1</v>
      </c>
      <c r="CK527">
        <v>41</v>
      </c>
      <c r="CL527" t="s">
        <v>84</v>
      </c>
    </row>
    <row r="528" spans="1:90" x14ac:dyDescent="0.25">
      <c r="A528" t="s">
        <v>1417</v>
      </c>
      <c r="B528" t="s">
        <v>1400</v>
      </c>
      <c r="C528" t="s">
        <v>74</v>
      </c>
      <c r="E528" t="str">
        <f>"009940901445"</f>
        <v>009940901445</v>
      </c>
      <c r="F528" s="3">
        <v>44613</v>
      </c>
      <c r="G528">
        <v>202208</v>
      </c>
      <c r="H528" t="s">
        <v>401</v>
      </c>
      <c r="I528" t="s">
        <v>402</v>
      </c>
      <c r="J528" t="s">
        <v>1401</v>
      </c>
      <c r="K528" t="s">
        <v>78</v>
      </c>
      <c r="L528" t="s">
        <v>1185</v>
      </c>
      <c r="M528" t="s">
        <v>1186</v>
      </c>
      <c r="N528" t="s">
        <v>1554</v>
      </c>
      <c r="O528" t="s">
        <v>125</v>
      </c>
      <c r="P528" t="str">
        <f t="shared" si="3"/>
        <v xml:space="preserve">                              </v>
      </c>
      <c r="Q528">
        <v>0</v>
      </c>
      <c r="R528">
        <v>0</v>
      </c>
      <c r="S528">
        <v>0</v>
      </c>
      <c r="T528">
        <v>0</v>
      </c>
      <c r="U528">
        <v>0</v>
      </c>
      <c r="V528">
        <v>0</v>
      </c>
      <c r="W528">
        <v>0</v>
      </c>
      <c r="X528">
        <v>0</v>
      </c>
      <c r="Y528">
        <v>0</v>
      </c>
      <c r="Z528">
        <v>0</v>
      </c>
      <c r="AA528">
        <v>0</v>
      </c>
      <c r="AB528">
        <v>0</v>
      </c>
      <c r="AC528">
        <v>0</v>
      </c>
      <c r="AD528">
        <v>0</v>
      </c>
      <c r="AE528">
        <v>0</v>
      </c>
      <c r="AF528">
        <v>0</v>
      </c>
      <c r="AG528">
        <v>0</v>
      </c>
      <c r="AH528">
        <v>0</v>
      </c>
      <c r="AI528">
        <v>0</v>
      </c>
      <c r="AJ528">
        <v>0</v>
      </c>
      <c r="AK528">
        <v>128.04</v>
      </c>
      <c r="AL528">
        <v>0</v>
      </c>
      <c r="AM528">
        <v>0</v>
      </c>
      <c r="AN528">
        <v>0</v>
      </c>
      <c r="AO528">
        <v>0</v>
      </c>
      <c r="AP528">
        <v>0</v>
      </c>
      <c r="AQ528">
        <v>0</v>
      </c>
      <c r="AR528">
        <v>0</v>
      </c>
      <c r="AS528">
        <v>0</v>
      </c>
      <c r="AT528">
        <v>0</v>
      </c>
      <c r="AU528">
        <v>0</v>
      </c>
      <c r="AV528">
        <v>0</v>
      </c>
      <c r="AW528">
        <v>0</v>
      </c>
      <c r="AX528">
        <v>0</v>
      </c>
      <c r="AY528">
        <v>0</v>
      </c>
      <c r="AZ528">
        <v>0</v>
      </c>
      <c r="BA528">
        <v>0</v>
      </c>
      <c r="BB528">
        <v>0</v>
      </c>
      <c r="BC528">
        <v>0</v>
      </c>
      <c r="BD528">
        <v>0</v>
      </c>
      <c r="BE528">
        <v>0</v>
      </c>
      <c r="BF528">
        <v>0</v>
      </c>
      <c r="BG528">
        <v>0</v>
      </c>
      <c r="BH528">
        <v>4</v>
      </c>
      <c r="BI528">
        <v>48</v>
      </c>
      <c r="BJ528">
        <v>113.6</v>
      </c>
      <c r="BK528">
        <v>114</v>
      </c>
      <c r="BL528">
        <v>465.86</v>
      </c>
      <c r="BM528">
        <v>69.88</v>
      </c>
      <c r="BN528">
        <v>535.74</v>
      </c>
      <c r="BO528">
        <v>535.74</v>
      </c>
      <c r="BQ528" t="s">
        <v>1555</v>
      </c>
      <c r="BS528" s="3">
        <v>44614</v>
      </c>
      <c r="BT528" s="4">
        <v>0.68194444444444446</v>
      </c>
      <c r="BU528" t="s">
        <v>1556</v>
      </c>
      <c r="BV528" t="s">
        <v>101</v>
      </c>
      <c r="BY528">
        <v>363080</v>
      </c>
      <c r="BZ528" t="s">
        <v>137</v>
      </c>
      <c r="CA528" t="s">
        <v>1368</v>
      </c>
      <c r="CC528" t="s">
        <v>1186</v>
      </c>
      <c r="CD528">
        <v>850</v>
      </c>
      <c r="CE528" t="s">
        <v>130</v>
      </c>
      <c r="CF528" s="3">
        <v>44615</v>
      </c>
      <c r="CI528">
        <v>1</v>
      </c>
      <c r="CJ528">
        <v>1</v>
      </c>
      <c r="CK528">
        <v>44</v>
      </c>
      <c r="CL528" t="s">
        <v>84</v>
      </c>
    </row>
    <row r="529" spans="1:90" x14ac:dyDescent="0.25">
      <c r="A529" t="s">
        <v>1417</v>
      </c>
      <c r="B529" t="s">
        <v>1400</v>
      </c>
      <c r="C529" t="s">
        <v>74</v>
      </c>
      <c r="E529" t="str">
        <f>"009940901416"</f>
        <v>009940901416</v>
      </c>
      <c r="F529" s="3">
        <v>44613</v>
      </c>
      <c r="G529">
        <v>202208</v>
      </c>
      <c r="H529" t="s">
        <v>401</v>
      </c>
      <c r="I529" t="s">
        <v>402</v>
      </c>
      <c r="J529" t="s">
        <v>1401</v>
      </c>
      <c r="K529" t="s">
        <v>78</v>
      </c>
      <c r="L529" t="s">
        <v>1436</v>
      </c>
      <c r="M529" t="s">
        <v>1437</v>
      </c>
      <c r="N529" t="s">
        <v>1557</v>
      </c>
      <c r="O529" t="s">
        <v>125</v>
      </c>
      <c r="P529" t="str">
        <f t="shared" si="3"/>
        <v xml:space="preserve">                              </v>
      </c>
      <c r="Q529">
        <v>0</v>
      </c>
      <c r="R529">
        <v>0</v>
      </c>
      <c r="S529">
        <v>0</v>
      </c>
      <c r="T529">
        <v>0</v>
      </c>
      <c r="U529">
        <v>0</v>
      </c>
      <c r="V529">
        <v>0</v>
      </c>
      <c r="W529">
        <v>0</v>
      </c>
      <c r="X529">
        <v>0</v>
      </c>
      <c r="Y529">
        <v>0</v>
      </c>
      <c r="Z529">
        <v>0</v>
      </c>
      <c r="AA529">
        <v>0</v>
      </c>
      <c r="AB529">
        <v>0</v>
      </c>
      <c r="AC529">
        <v>0</v>
      </c>
      <c r="AD529">
        <v>0</v>
      </c>
      <c r="AE529">
        <v>0</v>
      </c>
      <c r="AF529">
        <v>0</v>
      </c>
      <c r="AG529">
        <v>0</v>
      </c>
      <c r="AH529">
        <v>0</v>
      </c>
      <c r="AI529">
        <v>0</v>
      </c>
      <c r="AJ529">
        <v>0</v>
      </c>
      <c r="AK529">
        <v>32.42</v>
      </c>
      <c r="AL529">
        <v>0</v>
      </c>
      <c r="AM529">
        <v>0</v>
      </c>
      <c r="AN529">
        <v>0</v>
      </c>
      <c r="AO529">
        <v>0</v>
      </c>
      <c r="AP529">
        <v>0</v>
      </c>
      <c r="AQ529">
        <v>0</v>
      </c>
      <c r="AR529">
        <v>0</v>
      </c>
      <c r="AS529">
        <v>0</v>
      </c>
      <c r="AT529">
        <v>0</v>
      </c>
      <c r="AU529">
        <v>0</v>
      </c>
      <c r="AV529">
        <v>0</v>
      </c>
      <c r="AW529">
        <v>0</v>
      </c>
      <c r="AX529">
        <v>0</v>
      </c>
      <c r="AY529">
        <v>0</v>
      </c>
      <c r="AZ529">
        <v>0</v>
      </c>
      <c r="BA529">
        <v>0</v>
      </c>
      <c r="BB529">
        <v>0</v>
      </c>
      <c r="BC529">
        <v>0</v>
      </c>
      <c r="BD529">
        <v>0</v>
      </c>
      <c r="BE529">
        <v>0</v>
      </c>
      <c r="BF529">
        <v>0</v>
      </c>
      <c r="BG529">
        <v>0</v>
      </c>
      <c r="BH529">
        <v>1</v>
      </c>
      <c r="BI529">
        <v>1</v>
      </c>
      <c r="BJ529">
        <v>0.2</v>
      </c>
      <c r="BK529">
        <v>1</v>
      </c>
      <c r="BL529">
        <v>121.87</v>
      </c>
      <c r="BM529">
        <v>18.28</v>
      </c>
      <c r="BN529">
        <v>140.15</v>
      </c>
      <c r="BO529">
        <v>140.15</v>
      </c>
      <c r="BQ529" t="s">
        <v>1558</v>
      </c>
      <c r="BS529" s="3">
        <v>44614</v>
      </c>
      <c r="BT529" s="4">
        <v>0.38611111111111113</v>
      </c>
      <c r="BU529" t="s">
        <v>1559</v>
      </c>
      <c r="BV529" t="s">
        <v>101</v>
      </c>
      <c r="BY529">
        <v>1200</v>
      </c>
      <c r="BZ529" t="s">
        <v>137</v>
      </c>
      <c r="CA529" t="s">
        <v>1480</v>
      </c>
      <c r="CC529" t="s">
        <v>1437</v>
      </c>
      <c r="CD529">
        <v>2146</v>
      </c>
      <c r="CE529" t="s">
        <v>130</v>
      </c>
      <c r="CF529" s="3">
        <v>44615</v>
      </c>
      <c r="CI529">
        <v>1</v>
      </c>
      <c r="CJ529">
        <v>1</v>
      </c>
      <c r="CK529">
        <v>41</v>
      </c>
      <c r="CL529" t="s">
        <v>84</v>
      </c>
    </row>
    <row r="530" spans="1:90" x14ac:dyDescent="0.25">
      <c r="A530" t="s">
        <v>1417</v>
      </c>
      <c r="B530" t="s">
        <v>1400</v>
      </c>
      <c r="C530" t="s">
        <v>74</v>
      </c>
      <c r="E530" t="str">
        <f>"009940901444"</f>
        <v>009940901444</v>
      </c>
      <c r="F530" s="3">
        <v>44613</v>
      </c>
      <c r="G530">
        <v>202208</v>
      </c>
      <c r="H530" t="s">
        <v>401</v>
      </c>
      <c r="I530" t="s">
        <v>402</v>
      </c>
      <c r="J530" t="s">
        <v>1401</v>
      </c>
      <c r="K530" t="s">
        <v>78</v>
      </c>
      <c r="L530" t="s">
        <v>1436</v>
      </c>
      <c r="M530" t="s">
        <v>1437</v>
      </c>
      <c r="N530" t="s">
        <v>1560</v>
      </c>
      <c r="O530" t="s">
        <v>125</v>
      </c>
      <c r="P530" t="str">
        <f t="shared" si="3"/>
        <v xml:space="preserve">                              </v>
      </c>
      <c r="Q530">
        <v>0</v>
      </c>
      <c r="R530">
        <v>0</v>
      </c>
      <c r="S530">
        <v>0</v>
      </c>
      <c r="T530">
        <v>0</v>
      </c>
      <c r="U530">
        <v>0</v>
      </c>
      <c r="V530">
        <v>0</v>
      </c>
      <c r="W530">
        <v>0</v>
      </c>
      <c r="X530">
        <v>0</v>
      </c>
      <c r="Y530">
        <v>0</v>
      </c>
      <c r="Z530">
        <v>0</v>
      </c>
      <c r="AA530">
        <v>0</v>
      </c>
      <c r="AB530">
        <v>0</v>
      </c>
      <c r="AC530">
        <v>0</v>
      </c>
      <c r="AD530">
        <v>0</v>
      </c>
      <c r="AE530">
        <v>0</v>
      </c>
      <c r="AF530">
        <v>0</v>
      </c>
      <c r="AG530">
        <v>0</v>
      </c>
      <c r="AH530">
        <v>0</v>
      </c>
      <c r="AI530">
        <v>0</v>
      </c>
      <c r="AJ530">
        <v>0</v>
      </c>
      <c r="AK530">
        <v>60.47</v>
      </c>
      <c r="AL530">
        <v>0</v>
      </c>
      <c r="AM530">
        <v>0</v>
      </c>
      <c r="AN530">
        <v>0</v>
      </c>
      <c r="AO530">
        <v>0</v>
      </c>
      <c r="AP530">
        <v>0</v>
      </c>
      <c r="AQ530">
        <v>0</v>
      </c>
      <c r="AR530">
        <v>0</v>
      </c>
      <c r="AS530">
        <v>0</v>
      </c>
      <c r="AT530">
        <v>0</v>
      </c>
      <c r="AU530">
        <v>0</v>
      </c>
      <c r="AV530">
        <v>0</v>
      </c>
      <c r="AW530">
        <v>0</v>
      </c>
      <c r="AX530">
        <v>0</v>
      </c>
      <c r="AY530">
        <v>0</v>
      </c>
      <c r="AZ530">
        <v>0</v>
      </c>
      <c r="BA530">
        <v>0</v>
      </c>
      <c r="BB530">
        <v>0</v>
      </c>
      <c r="BC530">
        <v>0</v>
      </c>
      <c r="BD530">
        <v>0</v>
      </c>
      <c r="BE530">
        <v>0</v>
      </c>
      <c r="BF530">
        <v>0</v>
      </c>
      <c r="BG530">
        <v>0</v>
      </c>
      <c r="BH530">
        <v>3</v>
      </c>
      <c r="BI530">
        <v>28</v>
      </c>
      <c r="BJ530">
        <v>35.1</v>
      </c>
      <c r="BK530">
        <v>36</v>
      </c>
      <c r="BL530">
        <v>222.79</v>
      </c>
      <c r="BM530">
        <v>33.42</v>
      </c>
      <c r="BN530">
        <v>256.20999999999998</v>
      </c>
      <c r="BO530">
        <v>256.20999999999998</v>
      </c>
      <c r="BS530" s="3">
        <v>44614</v>
      </c>
      <c r="BT530" s="4">
        <v>0.36041666666666666</v>
      </c>
      <c r="BU530" t="s">
        <v>1549</v>
      </c>
      <c r="BV530" t="s">
        <v>101</v>
      </c>
      <c r="BY530">
        <v>175392</v>
      </c>
      <c r="BZ530" t="s">
        <v>137</v>
      </c>
      <c r="CC530" t="s">
        <v>1437</v>
      </c>
      <c r="CD530">
        <v>2146</v>
      </c>
      <c r="CE530" t="s">
        <v>130</v>
      </c>
      <c r="CF530" s="3">
        <v>44615</v>
      </c>
      <c r="CI530">
        <v>1</v>
      </c>
      <c r="CJ530">
        <v>1</v>
      </c>
      <c r="CK530">
        <v>41</v>
      </c>
      <c r="CL530" t="s">
        <v>84</v>
      </c>
    </row>
    <row r="531" spans="1:90" x14ac:dyDescent="0.25">
      <c r="A531" t="s">
        <v>1399</v>
      </c>
      <c r="B531" t="s">
        <v>1400</v>
      </c>
      <c r="C531" t="s">
        <v>74</v>
      </c>
      <c r="E531" t="str">
        <f>"009940361941"</f>
        <v>009940361941</v>
      </c>
      <c r="F531" s="3">
        <v>44613</v>
      </c>
      <c r="G531">
        <v>202208</v>
      </c>
      <c r="H531" t="s">
        <v>1185</v>
      </c>
      <c r="I531" t="s">
        <v>1186</v>
      </c>
      <c r="J531" t="s">
        <v>1401</v>
      </c>
      <c r="K531" t="s">
        <v>78</v>
      </c>
      <c r="L531" t="s">
        <v>401</v>
      </c>
      <c r="M531" t="s">
        <v>402</v>
      </c>
      <c r="N531" t="s">
        <v>1523</v>
      </c>
      <c r="O531" t="s">
        <v>125</v>
      </c>
      <c r="P531" t="str">
        <f t="shared" si="3"/>
        <v xml:space="preserve">                              </v>
      </c>
      <c r="Q531">
        <v>0</v>
      </c>
      <c r="R531">
        <v>0</v>
      </c>
      <c r="S531">
        <v>0</v>
      </c>
      <c r="T531">
        <v>0</v>
      </c>
      <c r="U531">
        <v>0</v>
      </c>
      <c r="V531">
        <v>0</v>
      </c>
      <c r="W531">
        <v>0</v>
      </c>
      <c r="X531">
        <v>0</v>
      </c>
      <c r="Y531">
        <v>0</v>
      </c>
      <c r="Z531">
        <v>0</v>
      </c>
      <c r="AA531">
        <v>0</v>
      </c>
      <c r="AB531">
        <v>0</v>
      </c>
      <c r="AC531">
        <v>0</v>
      </c>
      <c r="AD531">
        <v>0</v>
      </c>
      <c r="AE531">
        <v>0</v>
      </c>
      <c r="AF531">
        <v>0</v>
      </c>
      <c r="AG531">
        <v>0</v>
      </c>
      <c r="AH531">
        <v>0</v>
      </c>
      <c r="AI531">
        <v>0</v>
      </c>
      <c r="AJ531">
        <v>0</v>
      </c>
      <c r="AK531">
        <v>114.06</v>
      </c>
      <c r="AL531">
        <v>0</v>
      </c>
      <c r="AM531">
        <v>0</v>
      </c>
      <c r="AN531">
        <v>0</v>
      </c>
      <c r="AO531">
        <v>0</v>
      </c>
      <c r="AP531">
        <v>0</v>
      </c>
      <c r="AQ531">
        <v>0</v>
      </c>
      <c r="AR531">
        <v>0</v>
      </c>
      <c r="AS531">
        <v>0</v>
      </c>
      <c r="AT531">
        <v>0</v>
      </c>
      <c r="AU531">
        <v>0</v>
      </c>
      <c r="AV531">
        <v>0</v>
      </c>
      <c r="AW531">
        <v>0</v>
      </c>
      <c r="AX531">
        <v>0</v>
      </c>
      <c r="AY531">
        <v>0</v>
      </c>
      <c r="AZ531">
        <v>0</v>
      </c>
      <c r="BA531">
        <v>0</v>
      </c>
      <c r="BB531">
        <v>0</v>
      </c>
      <c r="BC531">
        <v>0</v>
      </c>
      <c r="BD531">
        <v>0</v>
      </c>
      <c r="BE531">
        <v>0</v>
      </c>
      <c r="BF531">
        <v>0</v>
      </c>
      <c r="BG531">
        <v>0</v>
      </c>
      <c r="BH531">
        <v>2</v>
      </c>
      <c r="BI531">
        <v>30</v>
      </c>
      <c r="BJ531">
        <v>98.8</v>
      </c>
      <c r="BK531">
        <v>99</v>
      </c>
      <c r="BL531">
        <v>415.58</v>
      </c>
      <c r="BM531">
        <v>62.34</v>
      </c>
      <c r="BN531">
        <v>477.92</v>
      </c>
      <c r="BO531">
        <v>477.92</v>
      </c>
      <c r="BQ531" t="s">
        <v>1561</v>
      </c>
      <c r="BR531" t="s">
        <v>1466</v>
      </c>
      <c r="BS531" s="3">
        <v>44613</v>
      </c>
      <c r="BT531" s="4">
        <v>0.47430555555555554</v>
      </c>
      <c r="BU531" t="s">
        <v>1506</v>
      </c>
      <c r="BV531" t="s">
        <v>101</v>
      </c>
      <c r="BY531">
        <v>494225</v>
      </c>
      <c r="BZ531" t="s">
        <v>137</v>
      </c>
      <c r="CA531" t="s">
        <v>1507</v>
      </c>
      <c r="CC531" t="s">
        <v>402</v>
      </c>
      <c r="CD531">
        <v>700</v>
      </c>
      <c r="CE531" t="s">
        <v>130</v>
      </c>
      <c r="CF531" s="3">
        <v>44613</v>
      </c>
      <c r="CI531">
        <v>1</v>
      </c>
      <c r="CJ531">
        <v>0</v>
      </c>
      <c r="CK531">
        <v>44</v>
      </c>
      <c r="CL531" t="s">
        <v>84</v>
      </c>
    </row>
    <row r="532" spans="1:90" x14ac:dyDescent="0.25">
      <c r="A532" t="s">
        <v>1417</v>
      </c>
      <c r="B532" t="s">
        <v>1400</v>
      </c>
      <c r="C532" t="s">
        <v>74</v>
      </c>
      <c r="E532" t="str">
        <f>"009940901446"</f>
        <v>009940901446</v>
      </c>
      <c r="F532" s="3">
        <v>44613</v>
      </c>
      <c r="G532">
        <v>202208</v>
      </c>
      <c r="H532" t="s">
        <v>401</v>
      </c>
      <c r="I532" t="s">
        <v>402</v>
      </c>
      <c r="J532" t="s">
        <v>1401</v>
      </c>
      <c r="K532" t="s">
        <v>78</v>
      </c>
      <c r="L532" t="s">
        <v>153</v>
      </c>
      <c r="M532" t="s">
        <v>154</v>
      </c>
      <c r="N532" t="s">
        <v>1401</v>
      </c>
      <c r="O532" t="s">
        <v>125</v>
      </c>
      <c r="P532" t="str">
        <f t="shared" si="3"/>
        <v xml:space="preserve">                              </v>
      </c>
      <c r="Q532">
        <v>0</v>
      </c>
      <c r="R532">
        <v>0</v>
      </c>
      <c r="S532">
        <v>0</v>
      </c>
      <c r="T532">
        <v>0</v>
      </c>
      <c r="U532">
        <v>0</v>
      </c>
      <c r="V532">
        <v>0</v>
      </c>
      <c r="W532">
        <v>0</v>
      </c>
      <c r="X532">
        <v>0</v>
      </c>
      <c r="Y532">
        <v>0</v>
      </c>
      <c r="Z532">
        <v>0</v>
      </c>
      <c r="AA532">
        <v>0</v>
      </c>
      <c r="AB532">
        <v>0</v>
      </c>
      <c r="AC532">
        <v>0</v>
      </c>
      <c r="AD532">
        <v>0</v>
      </c>
      <c r="AE532">
        <v>0</v>
      </c>
      <c r="AF532">
        <v>0</v>
      </c>
      <c r="AG532">
        <v>0</v>
      </c>
      <c r="AH532">
        <v>0</v>
      </c>
      <c r="AI532">
        <v>0</v>
      </c>
      <c r="AJ532">
        <v>0</v>
      </c>
      <c r="AK532">
        <v>32.42</v>
      </c>
      <c r="AL532">
        <v>0</v>
      </c>
      <c r="AM532">
        <v>0</v>
      </c>
      <c r="AN532">
        <v>0</v>
      </c>
      <c r="AO532">
        <v>0</v>
      </c>
      <c r="AP532">
        <v>0</v>
      </c>
      <c r="AQ532">
        <v>0</v>
      </c>
      <c r="AR532">
        <v>0</v>
      </c>
      <c r="AS532">
        <v>0</v>
      </c>
      <c r="AT532">
        <v>0</v>
      </c>
      <c r="AU532">
        <v>0</v>
      </c>
      <c r="AV532">
        <v>0</v>
      </c>
      <c r="AW532">
        <v>0</v>
      </c>
      <c r="AX532">
        <v>0</v>
      </c>
      <c r="AY532">
        <v>0</v>
      </c>
      <c r="AZ532">
        <v>0</v>
      </c>
      <c r="BA532">
        <v>0</v>
      </c>
      <c r="BB532">
        <v>0</v>
      </c>
      <c r="BC532">
        <v>0</v>
      </c>
      <c r="BD532">
        <v>0</v>
      </c>
      <c r="BE532">
        <v>0</v>
      </c>
      <c r="BF532">
        <v>0</v>
      </c>
      <c r="BG532">
        <v>0</v>
      </c>
      <c r="BH532">
        <v>1</v>
      </c>
      <c r="BI532">
        <v>1</v>
      </c>
      <c r="BJ532">
        <v>0.2</v>
      </c>
      <c r="BK532">
        <v>1</v>
      </c>
      <c r="BL532">
        <v>121.87</v>
      </c>
      <c r="BM532">
        <v>18.28</v>
      </c>
      <c r="BN532">
        <v>140.15</v>
      </c>
      <c r="BO532">
        <v>140.15</v>
      </c>
      <c r="BQ532" t="s">
        <v>1562</v>
      </c>
      <c r="BS532" s="3">
        <v>44614</v>
      </c>
      <c r="BT532" s="4">
        <v>0.4597222222222222</v>
      </c>
      <c r="BU532" t="s">
        <v>1563</v>
      </c>
      <c r="BV532" t="s">
        <v>101</v>
      </c>
      <c r="BY532">
        <v>1200</v>
      </c>
      <c r="BZ532" t="s">
        <v>137</v>
      </c>
      <c r="CA532" t="s">
        <v>1405</v>
      </c>
      <c r="CC532" t="s">
        <v>154</v>
      </c>
      <c r="CD532">
        <v>2196</v>
      </c>
      <c r="CE532" t="s">
        <v>130</v>
      </c>
      <c r="CF532" s="3">
        <v>44615</v>
      </c>
      <c r="CI532">
        <v>1</v>
      </c>
      <c r="CJ532">
        <v>1</v>
      </c>
      <c r="CK532">
        <v>41</v>
      </c>
      <c r="CL532" t="s">
        <v>84</v>
      </c>
    </row>
    <row r="533" spans="1:90" x14ac:dyDescent="0.25">
      <c r="A533" t="s">
        <v>1417</v>
      </c>
      <c r="B533" t="s">
        <v>1400</v>
      </c>
      <c r="C533" t="s">
        <v>74</v>
      </c>
      <c r="E533" t="str">
        <f>"009941915425"</f>
        <v>009941915425</v>
      </c>
      <c r="F533" s="3">
        <v>44610</v>
      </c>
      <c r="G533">
        <v>202208</v>
      </c>
      <c r="H533" t="s">
        <v>1436</v>
      </c>
      <c r="I533" t="s">
        <v>1437</v>
      </c>
      <c r="J533" t="s">
        <v>1401</v>
      </c>
      <c r="K533" t="s">
        <v>78</v>
      </c>
      <c r="L533" t="s">
        <v>282</v>
      </c>
      <c r="M533" t="s">
        <v>283</v>
      </c>
      <c r="N533" t="s">
        <v>1401</v>
      </c>
      <c r="O533" t="s">
        <v>125</v>
      </c>
      <c r="P533" t="str">
        <f>"STORES                        "</f>
        <v xml:space="preserve">STORES                        </v>
      </c>
      <c r="Q533">
        <v>0</v>
      </c>
      <c r="R533">
        <v>0</v>
      </c>
      <c r="S533">
        <v>0</v>
      </c>
      <c r="T533">
        <v>0</v>
      </c>
      <c r="U533">
        <v>0</v>
      </c>
      <c r="V533">
        <v>0</v>
      </c>
      <c r="W533">
        <v>0</v>
      </c>
      <c r="X533">
        <v>0</v>
      </c>
      <c r="Y533">
        <v>0</v>
      </c>
      <c r="Z533">
        <v>0</v>
      </c>
      <c r="AA533">
        <v>0</v>
      </c>
      <c r="AB533">
        <v>0</v>
      </c>
      <c r="AC533">
        <v>0</v>
      </c>
      <c r="AD533">
        <v>0</v>
      </c>
      <c r="AE533">
        <v>0</v>
      </c>
      <c r="AF533">
        <v>0</v>
      </c>
      <c r="AG533">
        <v>0</v>
      </c>
      <c r="AH533">
        <v>0</v>
      </c>
      <c r="AI533">
        <v>0</v>
      </c>
      <c r="AJ533">
        <v>0</v>
      </c>
      <c r="AK533">
        <v>118.16</v>
      </c>
      <c r="AL533">
        <v>0</v>
      </c>
      <c r="AM533">
        <v>0</v>
      </c>
      <c r="AN533">
        <v>0</v>
      </c>
      <c r="AO533">
        <v>0</v>
      </c>
      <c r="AP533">
        <v>0</v>
      </c>
      <c r="AQ533">
        <v>0</v>
      </c>
      <c r="AR533">
        <v>0</v>
      </c>
      <c r="AS533">
        <v>0</v>
      </c>
      <c r="AT533">
        <v>0</v>
      </c>
      <c r="AU533">
        <v>0</v>
      </c>
      <c r="AV533">
        <v>0</v>
      </c>
      <c r="AW533">
        <v>0</v>
      </c>
      <c r="AX533">
        <v>0</v>
      </c>
      <c r="AY533">
        <v>0</v>
      </c>
      <c r="AZ533">
        <v>0</v>
      </c>
      <c r="BA533">
        <v>0</v>
      </c>
      <c r="BB533">
        <v>0</v>
      </c>
      <c r="BC533">
        <v>0</v>
      </c>
      <c r="BD533">
        <v>0</v>
      </c>
      <c r="BE533">
        <v>0</v>
      </c>
      <c r="BF533">
        <v>0</v>
      </c>
      <c r="BG533">
        <v>0</v>
      </c>
      <c r="BH533">
        <v>1</v>
      </c>
      <c r="BI533">
        <v>46</v>
      </c>
      <c r="BJ533">
        <v>3.6</v>
      </c>
      <c r="BK533">
        <v>46</v>
      </c>
      <c r="BL533">
        <v>430.33</v>
      </c>
      <c r="BM533">
        <v>64.55</v>
      </c>
      <c r="BN533">
        <v>494.88</v>
      </c>
      <c r="BO533">
        <v>494.88</v>
      </c>
      <c r="BQ533" t="s">
        <v>733</v>
      </c>
      <c r="BR533" t="s">
        <v>1443</v>
      </c>
      <c r="BS533" s="3">
        <v>44613</v>
      </c>
      <c r="BT533" s="4">
        <v>0.53541666666666665</v>
      </c>
      <c r="BU533" t="s">
        <v>1522</v>
      </c>
      <c r="BV533" t="s">
        <v>101</v>
      </c>
      <c r="BY533">
        <v>18000</v>
      </c>
      <c r="BZ533" t="s">
        <v>137</v>
      </c>
      <c r="CA533" t="s">
        <v>287</v>
      </c>
      <c r="CC533" t="s">
        <v>283</v>
      </c>
      <c r="CD533">
        <v>300</v>
      </c>
      <c r="CE533" t="s">
        <v>130</v>
      </c>
      <c r="CF533" s="3">
        <v>44614</v>
      </c>
      <c r="CI533">
        <v>1</v>
      </c>
      <c r="CJ533">
        <v>1</v>
      </c>
      <c r="CK533">
        <v>43</v>
      </c>
      <c r="CL533" t="s">
        <v>84</v>
      </c>
    </row>
    <row r="534" spans="1:90" x14ac:dyDescent="0.25">
      <c r="A534" t="s">
        <v>1417</v>
      </c>
      <c r="B534" t="s">
        <v>1400</v>
      </c>
      <c r="C534" t="s">
        <v>74</v>
      </c>
      <c r="E534" t="str">
        <f>"009942537386"</f>
        <v>009942537386</v>
      </c>
      <c r="F534" s="3">
        <v>44614</v>
      </c>
      <c r="G534">
        <v>202208</v>
      </c>
      <c r="H534" t="s">
        <v>441</v>
      </c>
      <c r="I534" t="s">
        <v>442</v>
      </c>
      <c r="J534" t="s">
        <v>1564</v>
      </c>
      <c r="K534" t="s">
        <v>78</v>
      </c>
      <c r="L534" t="s">
        <v>153</v>
      </c>
      <c r="M534" t="s">
        <v>154</v>
      </c>
      <c r="N534" t="s">
        <v>1565</v>
      </c>
      <c r="O534" t="s">
        <v>125</v>
      </c>
      <c r="P534" t="str">
        <f>"083 601 5869                  "</f>
        <v xml:space="preserve">083 601 5869                  </v>
      </c>
      <c r="Q534">
        <v>0</v>
      </c>
      <c r="R534">
        <v>0</v>
      </c>
      <c r="S534">
        <v>0</v>
      </c>
      <c r="T534">
        <v>0</v>
      </c>
      <c r="U534">
        <v>0</v>
      </c>
      <c r="V534">
        <v>0</v>
      </c>
      <c r="W534">
        <v>0</v>
      </c>
      <c r="X534">
        <v>0</v>
      </c>
      <c r="Y534">
        <v>0</v>
      </c>
      <c r="Z534">
        <v>0</v>
      </c>
      <c r="AA534">
        <v>0</v>
      </c>
      <c r="AB534">
        <v>0</v>
      </c>
      <c r="AC534">
        <v>0</v>
      </c>
      <c r="AD534">
        <v>0</v>
      </c>
      <c r="AE534">
        <v>0</v>
      </c>
      <c r="AF534">
        <v>0</v>
      </c>
      <c r="AG534">
        <v>0</v>
      </c>
      <c r="AH534">
        <v>0</v>
      </c>
      <c r="AI534">
        <v>0</v>
      </c>
      <c r="AJ534">
        <v>0</v>
      </c>
      <c r="AK534">
        <v>281.75</v>
      </c>
      <c r="AL534">
        <v>0</v>
      </c>
      <c r="AM534">
        <v>0</v>
      </c>
      <c r="AN534">
        <v>0</v>
      </c>
      <c r="AO534">
        <v>0</v>
      </c>
      <c r="AP534">
        <v>0</v>
      </c>
      <c r="AQ534">
        <v>0</v>
      </c>
      <c r="AR534">
        <v>0</v>
      </c>
      <c r="AS534">
        <v>0</v>
      </c>
      <c r="AT534">
        <v>0</v>
      </c>
      <c r="AU534">
        <v>0</v>
      </c>
      <c r="AV534">
        <v>0</v>
      </c>
      <c r="AW534">
        <v>0</v>
      </c>
      <c r="AX534">
        <v>0</v>
      </c>
      <c r="AY534">
        <v>0</v>
      </c>
      <c r="AZ534">
        <v>0</v>
      </c>
      <c r="BA534">
        <v>0</v>
      </c>
      <c r="BB534">
        <v>0</v>
      </c>
      <c r="BC534">
        <v>0</v>
      </c>
      <c r="BD534">
        <v>0</v>
      </c>
      <c r="BE534">
        <v>0</v>
      </c>
      <c r="BF534">
        <v>0</v>
      </c>
      <c r="BG534">
        <v>0</v>
      </c>
      <c r="BH534">
        <v>4</v>
      </c>
      <c r="BI534">
        <v>100.2</v>
      </c>
      <c r="BJ534">
        <v>115.2</v>
      </c>
      <c r="BK534">
        <v>116</v>
      </c>
      <c r="BL534">
        <v>1018.82</v>
      </c>
      <c r="BM534">
        <v>152.82</v>
      </c>
      <c r="BN534">
        <v>1171.6400000000001</v>
      </c>
      <c r="BO534">
        <v>1171.6400000000001</v>
      </c>
      <c r="BQ534" t="s">
        <v>311</v>
      </c>
      <c r="BR534" t="s">
        <v>1566</v>
      </c>
      <c r="BS534" s="3">
        <v>44615</v>
      </c>
      <c r="BT534" s="4">
        <v>0.36874999999999997</v>
      </c>
      <c r="BU534" t="s">
        <v>1567</v>
      </c>
      <c r="BV534" t="s">
        <v>101</v>
      </c>
      <c r="BY534">
        <v>576232</v>
      </c>
      <c r="BZ534" t="s">
        <v>137</v>
      </c>
      <c r="CA534" t="s">
        <v>1568</v>
      </c>
      <c r="CC534" t="s">
        <v>154</v>
      </c>
      <c r="CD534">
        <v>2196</v>
      </c>
      <c r="CE534" t="s">
        <v>130</v>
      </c>
      <c r="CI534">
        <v>1</v>
      </c>
      <c r="CJ534">
        <v>1</v>
      </c>
      <c r="CK534">
        <v>43</v>
      </c>
      <c r="CL534" t="s">
        <v>84</v>
      </c>
    </row>
    <row r="535" spans="1:90" x14ac:dyDescent="0.25">
      <c r="A535" t="s">
        <v>1417</v>
      </c>
      <c r="B535" t="s">
        <v>1400</v>
      </c>
      <c r="C535" t="s">
        <v>74</v>
      </c>
      <c r="E535" t="str">
        <f>"009941618984"</f>
        <v>009941618984</v>
      </c>
      <c r="F535" s="3">
        <v>44613</v>
      </c>
      <c r="G535">
        <v>202208</v>
      </c>
      <c r="H535" t="s">
        <v>1436</v>
      </c>
      <c r="I535" t="s">
        <v>1437</v>
      </c>
      <c r="J535" t="s">
        <v>1401</v>
      </c>
      <c r="K535" t="s">
        <v>78</v>
      </c>
      <c r="L535" t="s">
        <v>131</v>
      </c>
      <c r="M535" t="s">
        <v>132</v>
      </c>
      <c r="N535" t="s">
        <v>1401</v>
      </c>
      <c r="O535" t="s">
        <v>80</v>
      </c>
      <c r="P535" t="str">
        <f t="shared" ref="P535:P541" si="4">"STORES                        "</f>
        <v xml:space="preserve">STORES                        </v>
      </c>
      <c r="Q535">
        <v>0</v>
      </c>
      <c r="R535">
        <v>0</v>
      </c>
      <c r="S535">
        <v>0</v>
      </c>
      <c r="T535">
        <v>0</v>
      </c>
      <c r="U535">
        <v>0</v>
      </c>
      <c r="V535">
        <v>0</v>
      </c>
      <c r="W535">
        <v>0</v>
      </c>
      <c r="X535">
        <v>0</v>
      </c>
      <c r="Y535">
        <v>0</v>
      </c>
      <c r="Z535">
        <v>0</v>
      </c>
      <c r="AA535">
        <v>0</v>
      </c>
      <c r="AB535">
        <v>0</v>
      </c>
      <c r="AC535">
        <v>0</v>
      </c>
      <c r="AD535">
        <v>0</v>
      </c>
      <c r="AE535">
        <v>0</v>
      </c>
      <c r="AF535">
        <v>0</v>
      </c>
      <c r="AG535">
        <v>0</v>
      </c>
      <c r="AH535">
        <v>0</v>
      </c>
      <c r="AI535">
        <v>0</v>
      </c>
      <c r="AJ535">
        <v>0</v>
      </c>
      <c r="AK535">
        <v>16.760000000000002</v>
      </c>
      <c r="AL535">
        <v>0</v>
      </c>
      <c r="AM535">
        <v>0</v>
      </c>
      <c r="AN535">
        <v>0</v>
      </c>
      <c r="AO535">
        <v>0</v>
      </c>
      <c r="AP535">
        <v>0</v>
      </c>
      <c r="AQ535">
        <v>0</v>
      </c>
      <c r="AR535">
        <v>0</v>
      </c>
      <c r="AS535">
        <v>0</v>
      </c>
      <c r="AT535">
        <v>0</v>
      </c>
      <c r="AU535">
        <v>0</v>
      </c>
      <c r="AV535">
        <v>0</v>
      </c>
      <c r="AW535">
        <v>0</v>
      </c>
      <c r="AX535">
        <v>0</v>
      </c>
      <c r="AY535">
        <v>0</v>
      </c>
      <c r="AZ535">
        <v>0</v>
      </c>
      <c r="BA535">
        <v>0</v>
      </c>
      <c r="BB535">
        <v>0</v>
      </c>
      <c r="BC535">
        <v>0</v>
      </c>
      <c r="BD535">
        <v>0</v>
      </c>
      <c r="BE535">
        <v>0</v>
      </c>
      <c r="BF535">
        <v>0</v>
      </c>
      <c r="BG535">
        <v>0</v>
      </c>
      <c r="BH535">
        <v>1</v>
      </c>
      <c r="BI535">
        <v>1</v>
      </c>
      <c r="BJ535">
        <v>0.2</v>
      </c>
      <c r="BK535">
        <v>1</v>
      </c>
      <c r="BL535">
        <v>60.3</v>
      </c>
      <c r="BM535">
        <v>9.0500000000000007</v>
      </c>
      <c r="BN535">
        <v>69.349999999999994</v>
      </c>
      <c r="BO535">
        <v>69.349999999999994</v>
      </c>
      <c r="BQ535" t="s">
        <v>733</v>
      </c>
      <c r="BR535" t="s">
        <v>1443</v>
      </c>
      <c r="BS535" s="3">
        <v>44614</v>
      </c>
      <c r="BT535" s="4">
        <v>0.37013888888888885</v>
      </c>
      <c r="BU535" t="s">
        <v>1491</v>
      </c>
      <c r="BV535" t="s">
        <v>101</v>
      </c>
      <c r="BY535">
        <v>1200</v>
      </c>
      <c r="BZ535" t="s">
        <v>87</v>
      </c>
      <c r="CA535" t="s">
        <v>1492</v>
      </c>
      <c r="CC535" t="s">
        <v>132</v>
      </c>
      <c r="CD535">
        <v>4091</v>
      </c>
      <c r="CE535" t="s">
        <v>130</v>
      </c>
      <c r="CF535" s="3">
        <v>44614</v>
      </c>
      <c r="CI535">
        <v>1</v>
      </c>
      <c r="CJ535">
        <v>1</v>
      </c>
      <c r="CK535">
        <v>21</v>
      </c>
      <c r="CL535" t="s">
        <v>84</v>
      </c>
    </row>
    <row r="536" spans="1:90" x14ac:dyDescent="0.25">
      <c r="A536" t="s">
        <v>1417</v>
      </c>
      <c r="B536" t="s">
        <v>1400</v>
      </c>
      <c r="C536" t="s">
        <v>74</v>
      </c>
      <c r="E536" t="str">
        <f>"009940956759"</f>
        <v>009940956759</v>
      </c>
      <c r="F536" s="3">
        <v>44613</v>
      </c>
      <c r="G536">
        <v>202208</v>
      </c>
      <c r="H536" t="s">
        <v>1436</v>
      </c>
      <c r="I536" t="s">
        <v>1437</v>
      </c>
      <c r="J536" t="s">
        <v>1401</v>
      </c>
      <c r="K536" t="s">
        <v>78</v>
      </c>
      <c r="L536" t="s">
        <v>441</v>
      </c>
      <c r="M536" t="s">
        <v>442</v>
      </c>
      <c r="N536" t="s">
        <v>1401</v>
      </c>
      <c r="O536" t="s">
        <v>125</v>
      </c>
      <c r="P536" t="str">
        <f t="shared" si="4"/>
        <v xml:space="preserve">STORES                        </v>
      </c>
      <c r="Q536">
        <v>0</v>
      </c>
      <c r="R536">
        <v>0</v>
      </c>
      <c r="S536">
        <v>0</v>
      </c>
      <c r="T536">
        <v>0</v>
      </c>
      <c r="U536">
        <v>0</v>
      </c>
      <c r="V536">
        <v>0</v>
      </c>
      <c r="W536">
        <v>0</v>
      </c>
      <c r="X536">
        <v>0</v>
      </c>
      <c r="Y536">
        <v>0</v>
      </c>
      <c r="Z536">
        <v>0</v>
      </c>
      <c r="AA536">
        <v>0</v>
      </c>
      <c r="AB536">
        <v>0</v>
      </c>
      <c r="AC536">
        <v>0</v>
      </c>
      <c r="AD536">
        <v>0</v>
      </c>
      <c r="AE536">
        <v>0</v>
      </c>
      <c r="AF536">
        <v>0</v>
      </c>
      <c r="AG536">
        <v>0</v>
      </c>
      <c r="AH536">
        <v>0</v>
      </c>
      <c r="AI536">
        <v>0</v>
      </c>
      <c r="AJ536">
        <v>0</v>
      </c>
      <c r="AK536">
        <v>284.08999999999997</v>
      </c>
      <c r="AL536">
        <v>0</v>
      </c>
      <c r="AM536">
        <v>0</v>
      </c>
      <c r="AN536">
        <v>0</v>
      </c>
      <c r="AO536">
        <v>0</v>
      </c>
      <c r="AP536">
        <v>0</v>
      </c>
      <c r="AQ536">
        <v>0</v>
      </c>
      <c r="AR536">
        <v>0</v>
      </c>
      <c r="AS536">
        <v>0</v>
      </c>
      <c r="AT536">
        <v>0</v>
      </c>
      <c r="AU536">
        <v>0</v>
      </c>
      <c r="AV536">
        <v>0</v>
      </c>
      <c r="AW536">
        <v>0</v>
      </c>
      <c r="AX536">
        <v>0</v>
      </c>
      <c r="AY536">
        <v>0</v>
      </c>
      <c r="AZ536">
        <v>0</v>
      </c>
      <c r="BA536">
        <v>0</v>
      </c>
      <c r="BB536">
        <v>0</v>
      </c>
      <c r="BC536">
        <v>0</v>
      </c>
      <c r="BD536">
        <v>0</v>
      </c>
      <c r="BE536">
        <v>0</v>
      </c>
      <c r="BF536">
        <v>0</v>
      </c>
      <c r="BG536">
        <v>0</v>
      </c>
      <c r="BH536">
        <v>1</v>
      </c>
      <c r="BI536">
        <v>16</v>
      </c>
      <c r="BJ536">
        <v>116.1</v>
      </c>
      <c r="BK536">
        <v>117</v>
      </c>
      <c r="BL536">
        <v>1027.23</v>
      </c>
      <c r="BM536">
        <v>154.08000000000001</v>
      </c>
      <c r="BN536">
        <v>1181.31</v>
      </c>
      <c r="BO536">
        <v>1181.31</v>
      </c>
      <c r="BQ536" t="s">
        <v>1494</v>
      </c>
      <c r="BR536" t="s">
        <v>1443</v>
      </c>
      <c r="BS536" s="3">
        <v>44614</v>
      </c>
      <c r="BT536" s="4">
        <v>0.33888888888888885</v>
      </c>
      <c r="BU536" t="s">
        <v>1569</v>
      </c>
      <c r="BV536" t="s">
        <v>101</v>
      </c>
      <c r="BY536">
        <v>580320</v>
      </c>
      <c r="BZ536" t="s">
        <v>137</v>
      </c>
      <c r="CA536" t="s">
        <v>1496</v>
      </c>
      <c r="CC536" t="s">
        <v>442</v>
      </c>
      <c r="CD536">
        <v>1050</v>
      </c>
      <c r="CE536" t="s">
        <v>130</v>
      </c>
      <c r="CF536" s="3">
        <v>44614</v>
      </c>
      <c r="CI536">
        <v>1</v>
      </c>
      <c r="CJ536">
        <v>1</v>
      </c>
      <c r="CK536">
        <v>43</v>
      </c>
      <c r="CL536" t="s">
        <v>84</v>
      </c>
    </row>
    <row r="537" spans="1:90" x14ac:dyDescent="0.25">
      <c r="A537" t="s">
        <v>1417</v>
      </c>
      <c r="B537" t="s">
        <v>1400</v>
      </c>
      <c r="C537" t="s">
        <v>74</v>
      </c>
      <c r="E537" t="str">
        <f>"009936115666"</f>
        <v>009936115666</v>
      </c>
      <c r="F537" s="3">
        <v>44613</v>
      </c>
      <c r="G537">
        <v>202208</v>
      </c>
      <c r="H537" t="s">
        <v>1436</v>
      </c>
      <c r="I537" t="s">
        <v>1437</v>
      </c>
      <c r="J537" t="s">
        <v>1401</v>
      </c>
      <c r="K537" t="s">
        <v>78</v>
      </c>
      <c r="L537" t="s">
        <v>123</v>
      </c>
      <c r="M537" t="s">
        <v>124</v>
      </c>
      <c r="N537" t="s">
        <v>1401</v>
      </c>
      <c r="O537" t="s">
        <v>80</v>
      </c>
      <c r="P537" t="str">
        <f t="shared" si="4"/>
        <v xml:space="preserve">STORES                        </v>
      </c>
      <c r="Q537">
        <v>0</v>
      </c>
      <c r="R537">
        <v>0</v>
      </c>
      <c r="S537">
        <v>0</v>
      </c>
      <c r="T537">
        <v>0</v>
      </c>
      <c r="U537">
        <v>0</v>
      </c>
      <c r="V537">
        <v>0</v>
      </c>
      <c r="W537">
        <v>0</v>
      </c>
      <c r="X537">
        <v>0</v>
      </c>
      <c r="Y537">
        <v>0</v>
      </c>
      <c r="Z537">
        <v>0</v>
      </c>
      <c r="AA537">
        <v>0</v>
      </c>
      <c r="AB537">
        <v>0</v>
      </c>
      <c r="AC537">
        <v>0</v>
      </c>
      <c r="AD537">
        <v>0</v>
      </c>
      <c r="AE537">
        <v>0</v>
      </c>
      <c r="AF537">
        <v>0</v>
      </c>
      <c r="AG537">
        <v>0</v>
      </c>
      <c r="AH537">
        <v>0</v>
      </c>
      <c r="AI537">
        <v>0</v>
      </c>
      <c r="AJ537">
        <v>0</v>
      </c>
      <c r="AK537">
        <v>16.760000000000002</v>
      </c>
      <c r="AL537">
        <v>0</v>
      </c>
      <c r="AM537">
        <v>0</v>
      </c>
      <c r="AN537">
        <v>0</v>
      </c>
      <c r="AO537">
        <v>0</v>
      </c>
      <c r="AP537">
        <v>0</v>
      </c>
      <c r="AQ537">
        <v>0</v>
      </c>
      <c r="AR537">
        <v>0</v>
      </c>
      <c r="AS537">
        <v>0</v>
      </c>
      <c r="AT537">
        <v>0</v>
      </c>
      <c r="AU537">
        <v>0</v>
      </c>
      <c r="AV537">
        <v>0</v>
      </c>
      <c r="AW537">
        <v>0</v>
      </c>
      <c r="AX537">
        <v>0</v>
      </c>
      <c r="AY537">
        <v>0</v>
      </c>
      <c r="AZ537">
        <v>0</v>
      </c>
      <c r="BA537">
        <v>0</v>
      </c>
      <c r="BB537">
        <v>0</v>
      </c>
      <c r="BC537">
        <v>0</v>
      </c>
      <c r="BD537">
        <v>0</v>
      </c>
      <c r="BE537">
        <v>0</v>
      </c>
      <c r="BF537">
        <v>0</v>
      </c>
      <c r="BG537">
        <v>0</v>
      </c>
      <c r="BH537">
        <v>1</v>
      </c>
      <c r="BI537">
        <v>1</v>
      </c>
      <c r="BJ537">
        <v>0.2</v>
      </c>
      <c r="BK537">
        <v>1</v>
      </c>
      <c r="BL537">
        <v>60.3</v>
      </c>
      <c r="BM537">
        <v>9.0500000000000007</v>
      </c>
      <c r="BN537">
        <v>69.349999999999994</v>
      </c>
      <c r="BO537">
        <v>69.349999999999994</v>
      </c>
      <c r="BQ537" t="s">
        <v>733</v>
      </c>
      <c r="BR537" t="s">
        <v>733</v>
      </c>
      <c r="BS537" s="3">
        <v>44614</v>
      </c>
      <c r="BT537" s="4">
        <v>0.4680555555555555</v>
      </c>
      <c r="BU537" t="s">
        <v>1570</v>
      </c>
      <c r="BV537" t="s">
        <v>84</v>
      </c>
      <c r="BW537" t="s">
        <v>85</v>
      </c>
      <c r="BX537" t="s">
        <v>1571</v>
      </c>
      <c r="BY537">
        <v>1200</v>
      </c>
      <c r="BZ537" t="s">
        <v>87</v>
      </c>
      <c r="CA537" t="s">
        <v>1572</v>
      </c>
      <c r="CC537" t="s">
        <v>124</v>
      </c>
      <c r="CD537">
        <v>6045</v>
      </c>
      <c r="CE537" t="s">
        <v>130</v>
      </c>
      <c r="CF537" s="3">
        <v>44614</v>
      </c>
      <c r="CI537">
        <v>1</v>
      </c>
      <c r="CJ537">
        <v>1</v>
      </c>
      <c r="CK537">
        <v>21</v>
      </c>
      <c r="CL537" t="s">
        <v>84</v>
      </c>
    </row>
    <row r="538" spans="1:90" x14ac:dyDescent="0.25">
      <c r="A538" t="s">
        <v>1417</v>
      </c>
      <c r="B538" t="s">
        <v>1400</v>
      </c>
      <c r="C538" t="s">
        <v>74</v>
      </c>
      <c r="E538" t="str">
        <f>"009941915127"</f>
        <v>009941915127</v>
      </c>
      <c r="F538" s="3">
        <v>44613</v>
      </c>
      <c r="G538">
        <v>202208</v>
      </c>
      <c r="H538" t="s">
        <v>1436</v>
      </c>
      <c r="I538" t="s">
        <v>1437</v>
      </c>
      <c r="J538" t="s">
        <v>1401</v>
      </c>
      <c r="K538" t="s">
        <v>78</v>
      </c>
      <c r="L538" t="s">
        <v>131</v>
      </c>
      <c r="M538" t="s">
        <v>132</v>
      </c>
      <c r="N538" t="s">
        <v>1401</v>
      </c>
      <c r="O538" t="s">
        <v>125</v>
      </c>
      <c r="P538" t="str">
        <f t="shared" si="4"/>
        <v xml:space="preserve">STORES                        </v>
      </c>
      <c r="Q538">
        <v>0</v>
      </c>
      <c r="R538">
        <v>0</v>
      </c>
      <c r="S538">
        <v>0</v>
      </c>
      <c r="T538">
        <v>0</v>
      </c>
      <c r="U538">
        <v>0</v>
      </c>
      <c r="V538">
        <v>0</v>
      </c>
      <c r="W538">
        <v>0</v>
      </c>
      <c r="X538">
        <v>0</v>
      </c>
      <c r="Y538">
        <v>0</v>
      </c>
      <c r="Z538">
        <v>0</v>
      </c>
      <c r="AA538">
        <v>0</v>
      </c>
      <c r="AB538">
        <v>0</v>
      </c>
      <c r="AC538">
        <v>0</v>
      </c>
      <c r="AD538">
        <v>0</v>
      </c>
      <c r="AE538">
        <v>0</v>
      </c>
      <c r="AF538">
        <v>0</v>
      </c>
      <c r="AG538">
        <v>0</v>
      </c>
      <c r="AH538">
        <v>0</v>
      </c>
      <c r="AI538">
        <v>0</v>
      </c>
      <c r="AJ538">
        <v>0</v>
      </c>
      <c r="AK538">
        <v>32.42</v>
      </c>
      <c r="AL538">
        <v>0</v>
      </c>
      <c r="AM538">
        <v>0</v>
      </c>
      <c r="AN538">
        <v>0</v>
      </c>
      <c r="AO538">
        <v>0</v>
      </c>
      <c r="AP538">
        <v>0</v>
      </c>
      <c r="AQ538">
        <v>0</v>
      </c>
      <c r="AR538">
        <v>0</v>
      </c>
      <c r="AS538">
        <v>0</v>
      </c>
      <c r="AT538">
        <v>0</v>
      </c>
      <c r="AU538">
        <v>0</v>
      </c>
      <c r="AV538">
        <v>0</v>
      </c>
      <c r="AW538">
        <v>0</v>
      </c>
      <c r="AX538">
        <v>0</v>
      </c>
      <c r="AY538">
        <v>0</v>
      </c>
      <c r="AZ538">
        <v>0</v>
      </c>
      <c r="BA538">
        <v>0</v>
      </c>
      <c r="BB538">
        <v>0</v>
      </c>
      <c r="BC538">
        <v>0</v>
      </c>
      <c r="BD538">
        <v>0</v>
      </c>
      <c r="BE538">
        <v>0</v>
      </c>
      <c r="BF538">
        <v>0</v>
      </c>
      <c r="BG538">
        <v>0</v>
      </c>
      <c r="BH538">
        <v>1</v>
      </c>
      <c r="BI538">
        <v>10.3</v>
      </c>
      <c r="BJ538">
        <v>7.4</v>
      </c>
      <c r="BK538">
        <v>11</v>
      </c>
      <c r="BL538">
        <v>121.87</v>
      </c>
      <c r="BM538">
        <v>18.28</v>
      </c>
      <c r="BN538">
        <v>140.15</v>
      </c>
      <c r="BO538">
        <v>140.15</v>
      </c>
      <c r="BQ538" t="s">
        <v>1573</v>
      </c>
      <c r="BR538" t="s">
        <v>733</v>
      </c>
      <c r="BS538" s="3">
        <v>44614</v>
      </c>
      <c r="BT538" s="4">
        <v>0.47847222222222219</v>
      </c>
      <c r="BU538" t="s">
        <v>1574</v>
      </c>
      <c r="BV538" t="s">
        <v>101</v>
      </c>
      <c r="BY538">
        <v>37187.22</v>
      </c>
      <c r="BZ538" t="s">
        <v>137</v>
      </c>
      <c r="CA538" t="s">
        <v>1575</v>
      </c>
      <c r="CC538" t="s">
        <v>132</v>
      </c>
      <c r="CD538">
        <v>4091</v>
      </c>
      <c r="CE538" t="s">
        <v>130</v>
      </c>
      <c r="CF538" s="3">
        <v>44614</v>
      </c>
      <c r="CI538">
        <v>1</v>
      </c>
      <c r="CJ538">
        <v>1</v>
      </c>
      <c r="CK538">
        <v>41</v>
      </c>
      <c r="CL538" t="s">
        <v>84</v>
      </c>
    </row>
    <row r="539" spans="1:90" x14ac:dyDescent="0.25">
      <c r="A539" t="s">
        <v>1417</v>
      </c>
      <c r="B539" t="s">
        <v>1400</v>
      </c>
      <c r="C539" t="s">
        <v>74</v>
      </c>
      <c r="E539" t="str">
        <f>"009935989262"</f>
        <v>009935989262</v>
      </c>
      <c r="F539" s="3">
        <v>44613</v>
      </c>
      <c r="G539">
        <v>202208</v>
      </c>
      <c r="H539" t="s">
        <v>1436</v>
      </c>
      <c r="I539" t="s">
        <v>1437</v>
      </c>
      <c r="J539" t="s">
        <v>1401</v>
      </c>
      <c r="K539" t="s">
        <v>78</v>
      </c>
      <c r="L539" t="s">
        <v>1576</v>
      </c>
      <c r="M539" t="s">
        <v>1577</v>
      </c>
      <c r="N539" t="s">
        <v>1401</v>
      </c>
      <c r="O539" t="s">
        <v>125</v>
      </c>
      <c r="P539" t="str">
        <f t="shared" si="4"/>
        <v xml:space="preserve">STORES                        </v>
      </c>
      <c r="Q539">
        <v>0</v>
      </c>
      <c r="R539">
        <v>0</v>
      </c>
      <c r="S539">
        <v>0</v>
      </c>
      <c r="T539">
        <v>0</v>
      </c>
      <c r="U539">
        <v>0</v>
      </c>
      <c r="V539">
        <v>0</v>
      </c>
      <c r="W539">
        <v>0</v>
      </c>
      <c r="X539">
        <v>0</v>
      </c>
      <c r="Y539">
        <v>0</v>
      </c>
      <c r="Z539">
        <v>0</v>
      </c>
      <c r="AA539">
        <v>0</v>
      </c>
      <c r="AB539">
        <v>0</v>
      </c>
      <c r="AC539">
        <v>0</v>
      </c>
      <c r="AD539">
        <v>0</v>
      </c>
      <c r="AE539">
        <v>0</v>
      </c>
      <c r="AF539">
        <v>0</v>
      </c>
      <c r="AG539">
        <v>0</v>
      </c>
      <c r="AH539">
        <v>0</v>
      </c>
      <c r="AI539">
        <v>0</v>
      </c>
      <c r="AJ539">
        <v>0</v>
      </c>
      <c r="AK539">
        <v>45.72</v>
      </c>
      <c r="AL539">
        <v>0</v>
      </c>
      <c r="AM539">
        <v>0</v>
      </c>
      <c r="AN539">
        <v>0</v>
      </c>
      <c r="AO539">
        <v>0</v>
      </c>
      <c r="AP539">
        <v>0</v>
      </c>
      <c r="AQ539">
        <v>0</v>
      </c>
      <c r="AR539">
        <v>0</v>
      </c>
      <c r="AS539">
        <v>0</v>
      </c>
      <c r="AT539">
        <v>0</v>
      </c>
      <c r="AU539">
        <v>0</v>
      </c>
      <c r="AV539">
        <v>0</v>
      </c>
      <c r="AW539">
        <v>0</v>
      </c>
      <c r="AX539">
        <v>0</v>
      </c>
      <c r="AY539">
        <v>0</v>
      </c>
      <c r="AZ539">
        <v>0</v>
      </c>
      <c r="BA539">
        <v>0</v>
      </c>
      <c r="BB539">
        <v>0</v>
      </c>
      <c r="BC539">
        <v>0</v>
      </c>
      <c r="BD539">
        <v>0</v>
      </c>
      <c r="BE539">
        <v>0</v>
      </c>
      <c r="BF539">
        <v>0</v>
      </c>
      <c r="BG539">
        <v>0</v>
      </c>
      <c r="BH539">
        <v>1</v>
      </c>
      <c r="BI539">
        <v>5.3</v>
      </c>
      <c r="BJ539">
        <v>7.3</v>
      </c>
      <c r="BK539">
        <v>8</v>
      </c>
      <c r="BL539">
        <v>169.72</v>
      </c>
      <c r="BM539">
        <v>25.46</v>
      </c>
      <c r="BN539">
        <v>195.18</v>
      </c>
      <c r="BO539">
        <v>195.18</v>
      </c>
      <c r="BQ539" t="s">
        <v>733</v>
      </c>
      <c r="BR539" t="s">
        <v>1578</v>
      </c>
      <c r="BS539" s="3">
        <v>44616</v>
      </c>
      <c r="BT539" s="4">
        <v>0.47847222222222219</v>
      </c>
      <c r="BU539" t="s">
        <v>1579</v>
      </c>
      <c r="BV539" t="s">
        <v>101</v>
      </c>
      <c r="BY539">
        <v>36278.75</v>
      </c>
      <c r="BZ539" t="s">
        <v>137</v>
      </c>
      <c r="CA539" t="s">
        <v>1319</v>
      </c>
      <c r="CC539" t="s">
        <v>1577</v>
      </c>
      <c r="CD539">
        <v>8530</v>
      </c>
      <c r="CE539" t="s">
        <v>130</v>
      </c>
      <c r="CF539" s="3">
        <v>44617</v>
      </c>
      <c r="CI539">
        <v>5</v>
      </c>
      <c r="CJ539">
        <v>3</v>
      </c>
      <c r="CK539">
        <v>43</v>
      </c>
      <c r="CL539" t="s">
        <v>84</v>
      </c>
    </row>
    <row r="540" spans="1:90" x14ac:dyDescent="0.25">
      <c r="A540" t="s">
        <v>1417</v>
      </c>
      <c r="B540" t="s">
        <v>1400</v>
      </c>
      <c r="C540" t="s">
        <v>74</v>
      </c>
      <c r="E540" t="str">
        <f>"009941330909"</f>
        <v>009941330909</v>
      </c>
      <c r="F540" s="3">
        <v>44613</v>
      </c>
      <c r="G540">
        <v>202208</v>
      </c>
      <c r="H540" t="s">
        <v>1436</v>
      </c>
      <c r="I540" t="s">
        <v>1437</v>
      </c>
      <c r="J540" t="s">
        <v>1401</v>
      </c>
      <c r="K540" t="s">
        <v>78</v>
      </c>
      <c r="L540" t="s">
        <v>1185</v>
      </c>
      <c r="M540" t="s">
        <v>1186</v>
      </c>
      <c r="N540" t="s">
        <v>1401</v>
      </c>
      <c r="O540" t="s">
        <v>80</v>
      </c>
      <c r="P540" t="str">
        <f t="shared" si="4"/>
        <v xml:space="preserve">STORES                        </v>
      </c>
      <c r="Q540">
        <v>0</v>
      </c>
      <c r="R540">
        <v>0</v>
      </c>
      <c r="S540">
        <v>0</v>
      </c>
      <c r="T540">
        <v>0</v>
      </c>
      <c r="U540">
        <v>0</v>
      </c>
      <c r="V540">
        <v>0</v>
      </c>
      <c r="W540">
        <v>0</v>
      </c>
      <c r="X540">
        <v>0</v>
      </c>
      <c r="Y540">
        <v>0</v>
      </c>
      <c r="Z540">
        <v>0</v>
      </c>
      <c r="AA540">
        <v>0</v>
      </c>
      <c r="AB540">
        <v>0</v>
      </c>
      <c r="AC540">
        <v>0</v>
      </c>
      <c r="AD540">
        <v>0</v>
      </c>
      <c r="AE540">
        <v>0</v>
      </c>
      <c r="AF540">
        <v>0</v>
      </c>
      <c r="AG540">
        <v>0</v>
      </c>
      <c r="AH540">
        <v>0</v>
      </c>
      <c r="AI540">
        <v>0</v>
      </c>
      <c r="AJ540">
        <v>0</v>
      </c>
      <c r="AK540">
        <v>32.479999999999997</v>
      </c>
      <c r="AL540">
        <v>0</v>
      </c>
      <c r="AM540">
        <v>0</v>
      </c>
      <c r="AN540">
        <v>0</v>
      </c>
      <c r="AO540">
        <v>0</v>
      </c>
      <c r="AP540">
        <v>0</v>
      </c>
      <c r="AQ540">
        <v>0</v>
      </c>
      <c r="AR540">
        <v>0</v>
      </c>
      <c r="AS540">
        <v>0</v>
      </c>
      <c r="AT540">
        <v>0</v>
      </c>
      <c r="AU540">
        <v>0</v>
      </c>
      <c r="AV540">
        <v>0</v>
      </c>
      <c r="AW540">
        <v>0</v>
      </c>
      <c r="AX540">
        <v>0</v>
      </c>
      <c r="AY540">
        <v>0</v>
      </c>
      <c r="AZ540">
        <v>0</v>
      </c>
      <c r="BA540">
        <v>0</v>
      </c>
      <c r="BB540">
        <v>0</v>
      </c>
      <c r="BC540">
        <v>0</v>
      </c>
      <c r="BD540">
        <v>0</v>
      </c>
      <c r="BE540">
        <v>0</v>
      </c>
      <c r="BF540">
        <v>0</v>
      </c>
      <c r="BG540">
        <v>0</v>
      </c>
      <c r="BH540">
        <v>1</v>
      </c>
      <c r="BI540">
        <v>1</v>
      </c>
      <c r="BJ540">
        <v>0.2</v>
      </c>
      <c r="BK540">
        <v>1</v>
      </c>
      <c r="BL540">
        <v>116.84</v>
      </c>
      <c r="BM540">
        <v>17.53</v>
      </c>
      <c r="BN540">
        <v>134.37</v>
      </c>
      <c r="BO540">
        <v>134.37</v>
      </c>
      <c r="BQ540" t="s">
        <v>1489</v>
      </c>
      <c r="BR540" t="s">
        <v>1580</v>
      </c>
      <c r="BS540" s="3">
        <v>44614</v>
      </c>
      <c r="BT540" s="4">
        <v>0.68194444444444446</v>
      </c>
      <c r="BU540" t="s">
        <v>1556</v>
      </c>
      <c r="BV540" t="s">
        <v>84</v>
      </c>
      <c r="BY540">
        <v>1200</v>
      </c>
      <c r="BZ540" t="s">
        <v>87</v>
      </c>
      <c r="CA540" t="s">
        <v>1368</v>
      </c>
      <c r="CC540" t="s">
        <v>1186</v>
      </c>
      <c r="CD540">
        <v>850</v>
      </c>
      <c r="CE540" t="s">
        <v>130</v>
      </c>
      <c r="CF540" s="3">
        <v>44615</v>
      </c>
      <c r="CI540">
        <v>1</v>
      </c>
      <c r="CJ540">
        <v>1</v>
      </c>
      <c r="CK540">
        <v>23</v>
      </c>
      <c r="CL540" t="s">
        <v>84</v>
      </c>
    </row>
    <row r="541" spans="1:90" x14ac:dyDescent="0.25">
      <c r="A541" t="s">
        <v>1417</v>
      </c>
      <c r="B541" t="s">
        <v>1400</v>
      </c>
      <c r="C541" t="s">
        <v>74</v>
      </c>
      <c r="E541" t="str">
        <f>"009941915227"</f>
        <v>009941915227</v>
      </c>
      <c r="F541" s="3">
        <v>44613</v>
      </c>
      <c r="G541">
        <v>202208</v>
      </c>
      <c r="H541" t="s">
        <v>1436</v>
      </c>
      <c r="I541" t="s">
        <v>1437</v>
      </c>
      <c r="J541" t="s">
        <v>1401</v>
      </c>
      <c r="K541" t="s">
        <v>78</v>
      </c>
      <c r="L541" t="s">
        <v>75</v>
      </c>
      <c r="M541" t="s">
        <v>76</v>
      </c>
      <c r="N541" t="s">
        <v>1401</v>
      </c>
      <c r="O541" t="s">
        <v>80</v>
      </c>
      <c r="P541" t="str">
        <f t="shared" si="4"/>
        <v xml:space="preserve">STORES                        </v>
      </c>
      <c r="Q541">
        <v>0</v>
      </c>
      <c r="R541">
        <v>0</v>
      </c>
      <c r="S541">
        <v>0</v>
      </c>
      <c r="T541">
        <v>0</v>
      </c>
      <c r="U541">
        <v>0</v>
      </c>
      <c r="V541">
        <v>0</v>
      </c>
      <c r="W541">
        <v>0</v>
      </c>
      <c r="X541">
        <v>0</v>
      </c>
      <c r="Y541">
        <v>0</v>
      </c>
      <c r="Z541">
        <v>0</v>
      </c>
      <c r="AA541">
        <v>0</v>
      </c>
      <c r="AB541">
        <v>0</v>
      </c>
      <c r="AC541">
        <v>0</v>
      </c>
      <c r="AD541">
        <v>0</v>
      </c>
      <c r="AE541">
        <v>0</v>
      </c>
      <c r="AF541">
        <v>0</v>
      </c>
      <c r="AG541">
        <v>0</v>
      </c>
      <c r="AH541">
        <v>0</v>
      </c>
      <c r="AI541">
        <v>0</v>
      </c>
      <c r="AJ541">
        <v>0</v>
      </c>
      <c r="AK541">
        <v>16.760000000000002</v>
      </c>
      <c r="AL541">
        <v>0</v>
      </c>
      <c r="AM541">
        <v>0</v>
      </c>
      <c r="AN541">
        <v>0</v>
      </c>
      <c r="AO541">
        <v>0</v>
      </c>
      <c r="AP541">
        <v>0</v>
      </c>
      <c r="AQ541">
        <v>0</v>
      </c>
      <c r="AR541">
        <v>0</v>
      </c>
      <c r="AS541">
        <v>0</v>
      </c>
      <c r="AT541">
        <v>0</v>
      </c>
      <c r="AU541">
        <v>0</v>
      </c>
      <c r="AV541">
        <v>0</v>
      </c>
      <c r="AW541">
        <v>0</v>
      </c>
      <c r="AX541">
        <v>0</v>
      </c>
      <c r="AY541">
        <v>0</v>
      </c>
      <c r="AZ541">
        <v>0</v>
      </c>
      <c r="BA541">
        <v>0</v>
      </c>
      <c r="BB541">
        <v>0</v>
      </c>
      <c r="BC541">
        <v>0</v>
      </c>
      <c r="BD541">
        <v>0</v>
      </c>
      <c r="BE541">
        <v>0</v>
      </c>
      <c r="BF541">
        <v>0</v>
      </c>
      <c r="BG541">
        <v>0</v>
      </c>
      <c r="BH541">
        <v>1</v>
      </c>
      <c r="BI541">
        <v>1</v>
      </c>
      <c r="BJ541">
        <v>0.2</v>
      </c>
      <c r="BK541">
        <v>1</v>
      </c>
      <c r="BL541">
        <v>60.3</v>
      </c>
      <c r="BM541">
        <v>9.0500000000000007</v>
      </c>
      <c r="BN541">
        <v>69.349999999999994</v>
      </c>
      <c r="BO541">
        <v>69.349999999999994</v>
      </c>
      <c r="BQ541" t="s">
        <v>1581</v>
      </c>
      <c r="BR541" t="s">
        <v>733</v>
      </c>
      <c r="BS541" s="3">
        <v>44614</v>
      </c>
      <c r="BT541" s="4">
        <v>0.3527777777777778</v>
      </c>
      <c r="BU541" t="s">
        <v>1582</v>
      </c>
      <c r="BV541" t="s">
        <v>101</v>
      </c>
      <c r="BY541">
        <v>1200</v>
      </c>
      <c r="BZ541" t="s">
        <v>87</v>
      </c>
      <c r="CA541" t="s">
        <v>1514</v>
      </c>
      <c r="CC541" t="s">
        <v>76</v>
      </c>
      <c r="CD541">
        <v>8000</v>
      </c>
      <c r="CE541" t="s">
        <v>130</v>
      </c>
      <c r="CF541" s="3">
        <v>44615</v>
      </c>
      <c r="CI541">
        <v>1</v>
      </c>
      <c r="CJ541">
        <v>1</v>
      </c>
      <c r="CK541">
        <v>21</v>
      </c>
      <c r="CL541" t="s">
        <v>84</v>
      </c>
    </row>
    <row r="542" spans="1:90" x14ac:dyDescent="0.25">
      <c r="A542" t="s">
        <v>1417</v>
      </c>
      <c r="B542" t="s">
        <v>1400</v>
      </c>
      <c r="C542" t="s">
        <v>74</v>
      </c>
      <c r="E542" t="str">
        <f>"009941108096"</f>
        <v>009941108096</v>
      </c>
      <c r="F542" s="3">
        <v>44609</v>
      </c>
      <c r="G542">
        <v>202208</v>
      </c>
      <c r="H542" t="s">
        <v>282</v>
      </c>
      <c r="I542" t="s">
        <v>283</v>
      </c>
      <c r="J542" t="s">
        <v>1583</v>
      </c>
      <c r="K542" t="s">
        <v>78</v>
      </c>
      <c r="L542" t="s">
        <v>1436</v>
      </c>
      <c r="M542" t="s">
        <v>1437</v>
      </c>
      <c r="N542" t="s">
        <v>1401</v>
      </c>
      <c r="O542" t="s">
        <v>125</v>
      </c>
      <c r="P542" t="str">
        <f>"PARTS                         "</f>
        <v xml:space="preserve">PARTS                         </v>
      </c>
      <c r="Q542">
        <v>0</v>
      </c>
      <c r="R542">
        <v>0</v>
      </c>
      <c r="S542">
        <v>0</v>
      </c>
      <c r="T542">
        <v>0</v>
      </c>
      <c r="U542">
        <v>0</v>
      </c>
      <c r="V542">
        <v>0</v>
      </c>
      <c r="W542">
        <v>0</v>
      </c>
      <c r="X542">
        <v>0</v>
      </c>
      <c r="Y542">
        <v>0</v>
      </c>
      <c r="Z542">
        <v>0</v>
      </c>
      <c r="AA542">
        <v>0</v>
      </c>
      <c r="AB542">
        <v>0</v>
      </c>
      <c r="AC542">
        <v>0</v>
      </c>
      <c r="AD542">
        <v>0</v>
      </c>
      <c r="AE542">
        <v>0</v>
      </c>
      <c r="AF542">
        <v>0</v>
      </c>
      <c r="AG542">
        <v>0</v>
      </c>
      <c r="AH542">
        <v>0</v>
      </c>
      <c r="AI542">
        <v>0</v>
      </c>
      <c r="AJ542">
        <v>0</v>
      </c>
      <c r="AK542">
        <v>157.88999999999999</v>
      </c>
      <c r="AL542">
        <v>0</v>
      </c>
      <c r="AM542">
        <v>0</v>
      </c>
      <c r="AN542">
        <v>0</v>
      </c>
      <c r="AO542">
        <v>0</v>
      </c>
      <c r="AP542">
        <v>0</v>
      </c>
      <c r="AQ542">
        <v>0</v>
      </c>
      <c r="AR542">
        <v>0</v>
      </c>
      <c r="AS542">
        <v>0</v>
      </c>
      <c r="AT542">
        <v>0</v>
      </c>
      <c r="AU542">
        <v>0</v>
      </c>
      <c r="AV542">
        <v>0</v>
      </c>
      <c r="AW542">
        <v>0</v>
      </c>
      <c r="AX542">
        <v>0</v>
      </c>
      <c r="AY542">
        <v>0</v>
      </c>
      <c r="AZ542">
        <v>0</v>
      </c>
      <c r="BA542">
        <v>0</v>
      </c>
      <c r="BB542">
        <v>0</v>
      </c>
      <c r="BC542">
        <v>0</v>
      </c>
      <c r="BD542">
        <v>0</v>
      </c>
      <c r="BE542">
        <v>0</v>
      </c>
      <c r="BF542">
        <v>0</v>
      </c>
      <c r="BG542">
        <v>0</v>
      </c>
      <c r="BH542">
        <v>2</v>
      </c>
      <c r="BI542">
        <v>46</v>
      </c>
      <c r="BJ542">
        <v>62.3</v>
      </c>
      <c r="BK542">
        <v>63</v>
      </c>
      <c r="BL542">
        <v>573.25</v>
      </c>
      <c r="BM542">
        <v>85.99</v>
      </c>
      <c r="BN542">
        <v>659.24</v>
      </c>
      <c r="BO542">
        <v>659.24</v>
      </c>
      <c r="BQ542" t="s">
        <v>311</v>
      </c>
      <c r="BR542" t="s">
        <v>1421</v>
      </c>
      <c r="BS542" s="3">
        <v>44610</v>
      </c>
      <c r="BT542" s="4">
        <v>0.3347222222222222</v>
      </c>
      <c r="BU542" t="s">
        <v>1457</v>
      </c>
      <c r="BV542" t="s">
        <v>101</v>
      </c>
      <c r="BY542">
        <v>311687.8</v>
      </c>
      <c r="BZ542" t="s">
        <v>137</v>
      </c>
      <c r="CA542" t="s">
        <v>928</v>
      </c>
      <c r="CC542" t="s">
        <v>1437</v>
      </c>
      <c r="CD542">
        <v>2146</v>
      </c>
      <c r="CE542" t="s">
        <v>1584</v>
      </c>
      <c r="CF542" s="3">
        <v>44610</v>
      </c>
      <c r="CI542">
        <v>1</v>
      </c>
      <c r="CJ542">
        <v>1</v>
      </c>
      <c r="CK542">
        <v>43</v>
      </c>
      <c r="CL542" t="s">
        <v>84</v>
      </c>
    </row>
    <row r="543" spans="1:90" x14ac:dyDescent="0.25">
      <c r="A543" t="s">
        <v>1417</v>
      </c>
      <c r="B543" t="s">
        <v>1400</v>
      </c>
      <c r="C543" t="s">
        <v>74</v>
      </c>
      <c r="E543" t="str">
        <f>"009940956761"</f>
        <v>009940956761</v>
      </c>
      <c r="F543" s="3">
        <v>44609</v>
      </c>
      <c r="G543">
        <v>202208</v>
      </c>
      <c r="H543" t="s">
        <v>1436</v>
      </c>
      <c r="I543" t="s">
        <v>1437</v>
      </c>
      <c r="J543" t="s">
        <v>1401</v>
      </c>
      <c r="K543" t="s">
        <v>78</v>
      </c>
      <c r="L543" t="s">
        <v>441</v>
      </c>
      <c r="M543" t="s">
        <v>442</v>
      </c>
      <c r="N543" t="s">
        <v>1401</v>
      </c>
      <c r="O543" t="s">
        <v>125</v>
      </c>
      <c r="P543" t="str">
        <f>"STORES                        "</f>
        <v xml:space="preserve">STORES                        </v>
      </c>
      <c r="Q543">
        <v>0</v>
      </c>
      <c r="R543">
        <v>0</v>
      </c>
      <c r="S543">
        <v>0</v>
      </c>
      <c r="T543">
        <v>0</v>
      </c>
      <c r="U543">
        <v>0</v>
      </c>
      <c r="V543">
        <v>0</v>
      </c>
      <c r="W543">
        <v>0</v>
      </c>
      <c r="X543">
        <v>0</v>
      </c>
      <c r="Y543">
        <v>0</v>
      </c>
      <c r="Z543">
        <v>0</v>
      </c>
      <c r="AA543">
        <v>0</v>
      </c>
      <c r="AB543">
        <v>0</v>
      </c>
      <c r="AC543">
        <v>0</v>
      </c>
      <c r="AD543">
        <v>0</v>
      </c>
      <c r="AE543">
        <v>0</v>
      </c>
      <c r="AF543">
        <v>0</v>
      </c>
      <c r="AG543">
        <v>0</v>
      </c>
      <c r="AH543">
        <v>0</v>
      </c>
      <c r="AI543">
        <v>0</v>
      </c>
      <c r="AJ543">
        <v>0</v>
      </c>
      <c r="AK543">
        <v>127.51</v>
      </c>
      <c r="AL543">
        <v>0</v>
      </c>
      <c r="AM543">
        <v>0</v>
      </c>
      <c r="AN543">
        <v>0</v>
      </c>
      <c r="AO543">
        <v>0</v>
      </c>
      <c r="AP543">
        <v>0</v>
      </c>
      <c r="AQ543">
        <v>0</v>
      </c>
      <c r="AR543">
        <v>0</v>
      </c>
      <c r="AS543">
        <v>0</v>
      </c>
      <c r="AT543">
        <v>0</v>
      </c>
      <c r="AU543">
        <v>0</v>
      </c>
      <c r="AV543">
        <v>0</v>
      </c>
      <c r="AW543">
        <v>0</v>
      </c>
      <c r="AX543">
        <v>0</v>
      </c>
      <c r="AY543">
        <v>0</v>
      </c>
      <c r="AZ543">
        <v>0</v>
      </c>
      <c r="BA543">
        <v>0</v>
      </c>
      <c r="BB543">
        <v>0</v>
      </c>
      <c r="BC543">
        <v>0</v>
      </c>
      <c r="BD543">
        <v>0</v>
      </c>
      <c r="BE543">
        <v>0</v>
      </c>
      <c r="BF543">
        <v>0</v>
      </c>
      <c r="BG543">
        <v>0</v>
      </c>
      <c r="BH543">
        <v>2</v>
      </c>
      <c r="BI543">
        <v>50</v>
      </c>
      <c r="BJ543">
        <v>23.3</v>
      </c>
      <c r="BK543">
        <v>50</v>
      </c>
      <c r="BL543">
        <v>463.96</v>
      </c>
      <c r="BM543">
        <v>69.59</v>
      </c>
      <c r="BN543">
        <v>533.54999999999995</v>
      </c>
      <c r="BO543">
        <v>533.54999999999995</v>
      </c>
      <c r="BQ543" t="s">
        <v>1494</v>
      </c>
      <c r="BR543" t="s">
        <v>1443</v>
      </c>
      <c r="BS543" s="3">
        <v>44610</v>
      </c>
      <c r="BT543" s="4">
        <v>0.3576388888888889</v>
      </c>
      <c r="BU543" t="s">
        <v>1495</v>
      </c>
      <c r="BV543" t="s">
        <v>101</v>
      </c>
      <c r="BY543">
        <v>116456.59</v>
      </c>
      <c r="BZ543" t="s">
        <v>137</v>
      </c>
      <c r="CA543" t="s">
        <v>1496</v>
      </c>
      <c r="CC543" t="s">
        <v>442</v>
      </c>
      <c r="CD543">
        <v>1034</v>
      </c>
      <c r="CE543" t="s">
        <v>130</v>
      </c>
      <c r="CF543" s="3">
        <v>44610</v>
      </c>
      <c r="CI543">
        <v>1</v>
      </c>
      <c r="CJ543">
        <v>1</v>
      </c>
      <c r="CK543">
        <v>43</v>
      </c>
      <c r="CL543" t="s">
        <v>84</v>
      </c>
    </row>
    <row r="544" spans="1:90" x14ac:dyDescent="0.25">
      <c r="A544" t="s">
        <v>1417</v>
      </c>
      <c r="B544" t="s">
        <v>1400</v>
      </c>
      <c r="C544" t="s">
        <v>74</v>
      </c>
      <c r="E544" t="str">
        <f>"009939540191"</f>
        <v>009939540191</v>
      </c>
      <c r="F544" s="3">
        <v>44609</v>
      </c>
      <c r="G544">
        <v>202208</v>
      </c>
      <c r="H544" t="s">
        <v>131</v>
      </c>
      <c r="I544" t="s">
        <v>132</v>
      </c>
      <c r="J544" t="s">
        <v>1406</v>
      </c>
      <c r="K544" t="s">
        <v>78</v>
      </c>
      <c r="L544" t="s">
        <v>1436</v>
      </c>
      <c r="M544" t="s">
        <v>1437</v>
      </c>
      <c r="N544" t="s">
        <v>1401</v>
      </c>
      <c r="O544" t="s">
        <v>80</v>
      </c>
      <c r="P544" t="str">
        <f>"                              "</f>
        <v xml:space="preserve">                              </v>
      </c>
      <c r="Q544">
        <v>0</v>
      </c>
      <c r="R544">
        <v>0</v>
      </c>
      <c r="S544">
        <v>0</v>
      </c>
      <c r="T544">
        <v>0</v>
      </c>
      <c r="U544">
        <v>0</v>
      </c>
      <c r="V544">
        <v>0</v>
      </c>
      <c r="W544">
        <v>0</v>
      </c>
      <c r="X544">
        <v>0</v>
      </c>
      <c r="Y544">
        <v>0</v>
      </c>
      <c r="Z544">
        <v>0</v>
      </c>
      <c r="AA544">
        <v>0</v>
      </c>
      <c r="AB544">
        <v>0</v>
      </c>
      <c r="AC544">
        <v>0</v>
      </c>
      <c r="AD544">
        <v>0</v>
      </c>
      <c r="AE544">
        <v>0</v>
      </c>
      <c r="AF544">
        <v>0</v>
      </c>
      <c r="AG544">
        <v>0</v>
      </c>
      <c r="AH544">
        <v>0</v>
      </c>
      <c r="AI544">
        <v>0</v>
      </c>
      <c r="AJ544">
        <v>0</v>
      </c>
      <c r="AK544">
        <v>16.760000000000002</v>
      </c>
      <c r="AL544">
        <v>0</v>
      </c>
      <c r="AM544">
        <v>0</v>
      </c>
      <c r="AN544">
        <v>0</v>
      </c>
      <c r="AO544">
        <v>0</v>
      </c>
      <c r="AP544">
        <v>0</v>
      </c>
      <c r="AQ544">
        <v>0</v>
      </c>
      <c r="AR544">
        <v>0</v>
      </c>
      <c r="AS544">
        <v>0</v>
      </c>
      <c r="AT544">
        <v>0</v>
      </c>
      <c r="AU544">
        <v>0</v>
      </c>
      <c r="AV544">
        <v>0</v>
      </c>
      <c r="AW544">
        <v>0</v>
      </c>
      <c r="AX544">
        <v>0</v>
      </c>
      <c r="AY544">
        <v>0</v>
      </c>
      <c r="AZ544">
        <v>0</v>
      </c>
      <c r="BA544">
        <v>0</v>
      </c>
      <c r="BB544">
        <v>0</v>
      </c>
      <c r="BC544">
        <v>0</v>
      </c>
      <c r="BD544">
        <v>0</v>
      </c>
      <c r="BE544">
        <v>0</v>
      </c>
      <c r="BF544">
        <v>0</v>
      </c>
      <c r="BG544">
        <v>0</v>
      </c>
      <c r="BH544">
        <v>1</v>
      </c>
      <c r="BI544">
        <v>0.2</v>
      </c>
      <c r="BJ544">
        <v>0.2</v>
      </c>
      <c r="BK544">
        <v>0.5</v>
      </c>
      <c r="BL544">
        <v>60.3</v>
      </c>
      <c r="BM544">
        <v>9.0500000000000007</v>
      </c>
      <c r="BN544">
        <v>69.349999999999994</v>
      </c>
      <c r="BO544">
        <v>69.349999999999994</v>
      </c>
      <c r="BQ544" t="s">
        <v>1585</v>
      </c>
      <c r="BR544" t="s">
        <v>1586</v>
      </c>
      <c r="BS544" s="3">
        <v>44610</v>
      </c>
      <c r="BT544" s="4">
        <v>0.4368055555555555</v>
      </c>
      <c r="BU544" t="s">
        <v>1404</v>
      </c>
      <c r="BV544" t="s">
        <v>101</v>
      </c>
      <c r="BY544">
        <v>1200</v>
      </c>
      <c r="BZ544" t="s">
        <v>87</v>
      </c>
      <c r="CA544" t="s">
        <v>1405</v>
      </c>
      <c r="CC544" t="s">
        <v>1437</v>
      </c>
      <c r="CD544">
        <v>2146</v>
      </c>
      <c r="CE544" t="s">
        <v>130</v>
      </c>
      <c r="CF544" s="3">
        <v>44610</v>
      </c>
      <c r="CI544">
        <v>1</v>
      </c>
      <c r="CJ544">
        <v>1</v>
      </c>
      <c r="CK544">
        <v>21</v>
      </c>
      <c r="CL544" t="s">
        <v>84</v>
      </c>
    </row>
    <row r="545" spans="1:90" x14ac:dyDescent="0.25">
      <c r="A545" t="s">
        <v>1417</v>
      </c>
      <c r="B545" t="s">
        <v>1400</v>
      </c>
      <c r="C545" t="s">
        <v>74</v>
      </c>
      <c r="E545" t="str">
        <f>"029907975253"</f>
        <v>029907975253</v>
      </c>
      <c r="F545" s="3">
        <v>44609</v>
      </c>
      <c r="G545">
        <v>202208</v>
      </c>
      <c r="H545" t="s">
        <v>131</v>
      </c>
      <c r="I545" t="s">
        <v>132</v>
      </c>
      <c r="J545" t="s">
        <v>1406</v>
      </c>
      <c r="K545" t="s">
        <v>78</v>
      </c>
      <c r="L545" t="s">
        <v>384</v>
      </c>
      <c r="M545" t="s">
        <v>385</v>
      </c>
      <c r="N545" t="s">
        <v>1587</v>
      </c>
      <c r="O545" t="s">
        <v>979</v>
      </c>
      <c r="P545" t="str">
        <f>"                              "</f>
        <v xml:space="preserve">                              </v>
      </c>
      <c r="Q545">
        <v>0</v>
      </c>
      <c r="R545">
        <v>0</v>
      </c>
      <c r="S545">
        <v>0</v>
      </c>
      <c r="T545">
        <v>0</v>
      </c>
      <c r="U545">
        <v>0</v>
      </c>
      <c r="V545">
        <v>0</v>
      </c>
      <c r="W545">
        <v>0</v>
      </c>
      <c r="X545">
        <v>0</v>
      </c>
      <c r="Y545">
        <v>0</v>
      </c>
      <c r="Z545">
        <v>0</v>
      </c>
      <c r="AA545">
        <v>0</v>
      </c>
      <c r="AB545">
        <v>0</v>
      </c>
      <c r="AC545">
        <v>0</v>
      </c>
      <c r="AD545">
        <v>0</v>
      </c>
      <c r="AE545">
        <v>0</v>
      </c>
      <c r="AF545">
        <v>0</v>
      </c>
      <c r="AG545">
        <v>0</v>
      </c>
      <c r="AH545">
        <v>0</v>
      </c>
      <c r="AI545">
        <v>0</v>
      </c>
      <c r="AJ545">
        <v>0</v>
      </c>
      <c r="AK545">
        <v>31.43</v>
      </c>
      <c r="AL545">
        <v>0</v>
      </c>
      <c r="AM545">
        <v>0</v>
      </c>
      <c r="AN545">
        <v>0</v>
      </c>
      <c r="AO545">
        <v>0</v>
      </c>
      <c r="AP545">
        <v>0</v>
      </c>
      <c r="AQ545">
        <v>0</v>
      </c>
      <c r="AR545">
        <v>0</v>
      </c>
      <c r="AS545">
        <v>0</v>
      </c>
      <c r="AT545">
        <v>0</v>
      </c>
      <c r="AU545">
        <v>0</v>
      </c>
      <c r="AV545">
        <v>0</v>
      </c>
      <c r="AW545">
        <v>0</v>
      </c>
      <c r="AX545">
        <v>0</v>
      </c>
      <c r="AY545">
        <v>0</v>
      </c>
      <c r="AZ545">
        <v>0</v>
      </c>
      <c r="BA545">
        <v>0</v>
      </c>
      <c r="BB545">
        <v>0</v>
      </c>
      <c r="BC545">
        <v>0</v>
      </c>
      <c r="BD545">
        <v>0</v>
      </c>
      <c r="BE545">
        <v>0</v>
      </c>
      <c r="BF545">
        <v>0</v>
      </c>
      <c r="BG545">
        <v>0</v>
      </c>
      <c r="BH545">
        <v>1</v>
      </c>
      <c r="BI545">
        <v>0.2</v>
      </c>
      <c r="BJ545">
        <v>0.2</v>
      </c>
      <c r="BK545">
        <v>1</v>
      </c>
      <c r="BL545">
        <v>113.07</v>
      </c>
      <c r="BM545">
        <v>16.96</v>
      </c>
      <c r="BN545">
        <v>130.03</v>
      </c>
      <c r="BO545">
        <v>130.03</v>
      </c>
      <c r="BQ545" t="s">
        <v>1473</v>
      </c>
      <c r="BR545" t="s">
        <v>1588</v>
      </c>
      <c r="BS545" s="3">
        <v>44610</v>
      </c>
      <c r="BT545" s="4">
        <v>0.32777777777777778</v>
      </c>
      <c r="BU545" t="s">
        <v>1486</v>
      </c>
      <c r="BV545" t="s">
        <v>101</v>
      </c>
      <c r="BY545">
        <v>1200</v>
      </c>
      <c r="BZ545" t="s">
        <v>137</v>
      </c>
      <c r="CA545" t="s">
        <v>1475</v>
      </c>
      <c r="CC545" t="s">
        <v>385</v>
      </c>
      <c r="CD545">
        <v>2125</v>
      </c>
      <c r="CE545" t="s">
        <v>130</v>
      </c>
      <c r="CF545" s="3">
        <v>44610</v>
      </c>
      <c r="CI545">
        <v>1</v>
      </c>
      <c r="CJ545">
        <v>1</v>
      </c>
      <c r="CK545">
        <v>31</v>
      </c>
      <c r="CL545" t="s">
        <v>84</v>
      </c>
    </row>
    <row r="546" spans="1:90" x14ac:dyDescent="0.25">
      <c r="A546" t="s">
        <v>1417</v>
      </c>
      <c r="B546" t="s">
        <v>1400</v>
      </c>
      <c r="C546" t="s">
        <v>74</v>
      </c>
      <c r="E546" t="str">
        <f>"009939540192"</f>
        <v>009939540192</v>
      </c>
      <c r="F546" s="3">
        <v>44609</v>
      </c>
      <c r="G546">
        <v>202208</v>
      </c>
      <c r="H546" t="s">
        <v>131</v>
      </c>
      <c r="I546" t="s">
        <v>132</v>
      </c>
      <c r="J546" t="s">
        <v>1406</v>
      </c>
      <c r="K546" t="s">
        <v>78</v>
      </c>
      <c r="L546" t="s">
        <v>1436</v>
      </c>
      <c r="M546" t="s">
        <v>1437</v>
      </c>
      <c r="N546" t="s">
        <v>1401</v>
      </c>
      <c r="O546" t="s">
        <v>80</v>
      </c>
      <c r="P546" t="str">
        <f>"181 206 0151                  "</f>
        <v xml:space="preserve">181 206 0151                  </v>
      </c>
      <c r="Q546">
        <v>0</v>
      </c>
      <c r="R546">
        <v>0</v>
      </c>
      <c r="S546">
        <v>0</v>
      </c>
      <c r="T546">
        <v>0</v>
      </c>
      <c r="U546">
        <v>0</v>
      </c>
      <c r="V546">
        <v>0</v>
      </c>
      <c r="W546">
        <v>0</v>
      </c>
      <c r="X546">
        <v>0</v>
      </c>
      <c r="Y546">
        <v>0</v>
      </c>
      <c r="Z546">
        <v>0</v>
      </c>
      <c r="AA546">
        <v>0</v>
      </c>
      <c r="AB546">
        <v>0</v>
      </c>
      <c r="AC546">
        <v>0</v>
      </c>
      <c r="AD546">
        <v>0</v>
      </c>
      <c r="AE546">
        <v>0</v>
      </c>
      <c r="AF546">
        <v>0</v>
      </c>
      <c r="AG546">
        <v>0</v>
      </c>
      <c r="AH546">
        <v>0</v>
      </c>
      <c r="AI546">
        <v>0</v>
      </c>
      <c r="AJ546">
        <v>0</v>
      </c>
      <c r="AK546">
        <v>16.760000000000002</v>
      </c>
      <c r="AL546">
        <v>0</v>
      </c>
      <c r="AM546">
        <v>0</v>
      </c>
      <c r="AN546">
        <v>0</v>
      </c>
      <c r="AO546">
        <v>0</v>
      </c>
      <c r="AP546">
        <v>0</v>
      </c>
      <c r="AQ546">
        <v>0</v>
      </c>
      <c r="AR546">
        <v>0</v>
      </c>
      <c r="AS546">
        <v>0</v>
      </c>
      <c r="AT546">
        <v>0</v>
      </c>
      <c r="AU546">
        <v>0</v>
      </c>
      <c r="AV546">
        <v>0</v>
      </c>
      <c r="AW546">
        <v>0</v>
      </c>
      <c r="AX546">
        <v>0</v>
      </c>
      <c r="AY546">
        <v>0</v>
      </c>
      <c r="AZ546">
        <v>0</v>
      </c>
      <c r="BA546">
        <v>0</v>
      </c>
      <c r="BB546">
        <v>0</v>
      </c>
      <c r="BC546">
        <v>0</v>
      </c>
      <c r="BD546">
        <v>0</v>
      </c>
      <c r="BE546">
        <v>0</v>
      </c>
      <c r="BF546">
        <v>0</v>
      </c>
      <c r="BG546">
        <v>0</v>
      </c>
      <c r="BH546">
        <v>1</v>
      </c>
      <c r="BI546">
        <v>0.2</v>
      </c>
      <c r="BJ546">
        <v>0.2</v>
      </c>
      <c r="BK546">
        <v>0.5</v>
      </c>
      <c r="BL546">
        <v>60.3</v>
      </c>
      <c r="BM546">
        <v>9.0500000000000007</v>
      </c>
      <c r="BN546">
        <v>69.349999999999994</v>
      </c>
      <c r="BO546">
        <v>69.349999999999994</v>
      </c>
      <c r="BQ546" t="s">
        <v>1589</v>
      </c>
      <c r="BR546" t="s">
        <v>1590</v>
      </c>
      <c r="BS546" s="3">
        <v>44610</v>
      </c>
      <c r="BT546" s="4">
        <v>0.4368055555555555</v>
      </c>
      <c r="BU546" t="s">
        <v>1404</v>
      </c>
      <c r="BV546" t="s">
        <v>101</v>
      </c>
      <c r="BY546">
        <v>1200</v>
      </c>
      <c r="BZ546" t="s">
        <v>87</v>
      </c>
      <c r="CA546" t="s">
        <v>1405</v>
      </c>
      <c r="CC546" t="s">
        <v>1437</v>
      </c>
      <c r="CD546">
        <v>2146</v>
      </c>
      <c r="CE546" t="s">
        <v>130</v>
      </c>
      <c r="CF546" s="3">
        <v>44610</v>
      </c>
      <c r="CI546">
        <v>1</v>
      </c>
      <c r="CJ546">
        <v>1</v>
      </c>
      <c r="CK546">
        <v>21</v>
      </c>
      <c r="CL546" t="s">
        <v>84</v>
      </c>
    </row>
    <row r="547" spans="1:90" x14ac:dyDescent="0.25">
      <c r="A547" t="s">
        <v>1417</v>
      </c>
      <c r="B547" t="s">
        <v>1400</v>
      </c>
      <c r="C547" t="s">
        <v>74</v>
      </c>
      <c r="E547" t="str">
        <f>"009941332105"</f>
        <v>009941332105</v>
      </c>
      <c r="F547" s="3">
        <v>44614</v>
      </c>
      <c r="G547">
        <v>202208</v>
      </c>
      <c r="H547" t="s">
        <v>1436</v>
      </c>
      <c r="I547" t="s">
        <v>1437</v>
      </c>
      <c r="J547" t="s">
        <v>1401</v>
      </c>
      <c r="K547" t="s">
        <v>78</v>
      </c>
      <c r="L547" t="s">
        <v>401</v>
      </c>
      <c r="M547" t="s">
        <v>402</v>
      </c>
      <c r="N547" t="s">
        <v>1401</v>
      </c>
      <c r="O547" t="s">
        <v>125</v>
      </c>
      <c r="P547" t="str">
        <f>"STORES                        "</f>
        <v xml:space="preserve">STORES                        </v>
      </c>
      <c r="Q547">
        <v>0</v>
      </c>
      <c r="R547">
        <v>0</v>
      </c>
      <c r="S547">
        <v>0</v>
      </c>
      <c r="T547">
        <v>0</v>
      </c>
      <c r="U547">
        <v>0</v>
      </c>
      <c r="V547">
        <v>0</v>
      </c>
      <c r="W547">
        <v>0</v>
      </c>
      <c r="X547">
        <v>0</v>
      </c>
      <c r="Y547">
        <v>0</v>
      </c>
      <c r="Z547">
        <v>0</v>
      </c>
      <c r="AA547">
        <v>0</v>
      </c>
      <c r="AB547">
        <v>0</v>
      </c>
      <c r="AC547">
        <v>0</v>
      </c>
      <c r="AD547">
        <v>0</v>
      </c>
      <c r="AE547">
        <v>0</v>
      </c>
      <c r="AF547">
        <v>0</v>
      </c>
      <c r="AG547">
        <v>0</v>
      </c>
      <c r="AH547">
        <v>0</v>
      </c>
      <c r="AI547">
        <v>0</v>
      </c>
      <c r="AJ547">
        <v>0</v>
      </c>
      <c r="AK547">
        <v>32.42</v>
      </c>
      <c r="AL547">
        <v>0</v>
      </c>
      <c r="AM547">
        <v>0</v>
      </c>
      <c r="AN547">
        <v>0</v>
      </c>
      <c r="AO547">
        <v>0</v>
      </c>
      <c r="AP547">
        <v>0</v>
      </c>
      <c r="AQ547">
        <v>0</v>
      </c>
      <c r="AR547">
        <v>0</v>
      </c>
      <c r="AS547">
        <v>0</v>
      </c>
      <c r="AT547">
        <v>0</v>
      </c>
      <c r="AU547">
        <v>0</v>
      </c>
      <c r="AV547">
        <v>0</v>
      </c>
      <c r="AW547">
        <v>0</v>
      </c>
      <c r="AX547">
        <v>0</v>
      </c>
      <c r="AY547">
        <v>0</v>
      </c>
      <c r="AZ547">
        <v>0</v>
      </c>
      <c r="BA547">
        <v>0</v>
      </c>
      <c r="BB547">
        <v>0</v>
      </c>
      <c r="BC547">
        <v>0</v>
      </c>
      <c r="BD547">
        <v>0</v>
      </c>
      <c r="BE547">
        <v>0</v>
      </c>
      <c r="BF547">
        <v>0</v>
      </c>
      <c r="BG547">
        <v>0</v>
      </c>
      <c r="BH547">
        <v>1</v>
      </c>
      <c r="BI547">
        <v>0.2</v>
      </c>
      <c r="BJ547">
        <v>5.6</v>
      </c>
      <c r="BK547">
        <v>6</v>
      </c>
      <c r="BL547">
        <v>121.87</v>
      </c>
      <c r="BM547">
        <v>18.28</v>
      </c>
      <c r="BN547">
        <v>140.15</v>
      </c>
      <c r="BO547">
        <v>140.15</v>
      </c>
      <c r="BQ547" t="s">
        <v>733</v>
      </c>
      <c r="BR547" t="s">
        <v>1443</v>
      </c>
      <c r="BS547" s="3">
        <v>44615</v>
      </c>
      <c r="BT547" s="4">
        <v>0.47916666666666669</v>
      </c>
      <c r="BU547" t="s">
        <v>1534</v>
      </c>
      <c r="BV547" t="s">
        <v>101</v>
      </c>
      <c r="BY547">
        <v>27808.7</v>
      </c>
      <c r="BZ547" t="s">
        <v>137</v>
      </c>
      <c r="CC547" t="s">
        <v>402</v>
      </c>
      <c r="CD547">
        <v>699</v>
      </c>
      <c r="CE547" t="s">
        <v>130</v>
      </c>
      <c r="CF547" s="3">
        <v>44615</v>
      </c>
      <c r="CI547">
        <v>1</v>
      </c>
      <c r="CJ547">
        <v>1</v>
      </c>
      <c r="CK547">
        <v>41</v>
      </c>
      <c r="CL547" t="s">
        <v>84</v>
      </c>
    </row>
    <row r="548" spans="1:90" x14ac:dyDescent="0.25">
      <c r="A548" t="s">
        <v>1417</v>
      </c>
      <c r="B548" t="s">
        <v>1400</v>
      </c>
      <c r="C548" t="s">
        <v>74</v>
      </c>
      <c r="E548" t="str">
        <f>"009941915126"</f>
        <v>009941915126</v>
      </c>
      <c r="F548" s="3">
        <v>44614</v>
      </c>
      <c r="G548">
        <v>202208</v>
      </c>
      <c r="H548" t="s">
        <v>1436</v>
      </c>
      <c r="I548" t="s">
        <v>1437</v>
      </c>
      <c r="J548" t="s">
        <v>1401</v>
      </c>
      <c r="K548" t="s">
        <v>78</v>
      </c>
      <c r="L548" t="s">
        <v>131</v>
      </c>
      <c r="M548" t="s">
        <v>132</v>
      </c>
      <c r="N548" t="s">
        <v>1401</v>
      </c>
      <c r="O548" t="s">
        <v>125</v>
      </c>
      <c r="P548" t="str">
        <f>"STORES                        "</f>
        <v xml:space="preserve">STORES                        </v>
      </c>
      <c r="Q548">
        <v>0</v>
      </c>
      <c r="R548">
        <v>0</v>
      </c>
      <c r="S548">
        <v>0</v>
      </c>
      <c r="T548">
        <v>0</v>
      </c>
      <c r="U548">
        <v>0</v>
      </c>
      <c r="V548">
        <v>0</v>
      </c>
      <c r="W548">
        <v>0</v>
      </c>
      <c r="X548">
        <v>0</v>
      </c>
      <c r="Y548">
        <v>0</v>
      </c>
      <c r="Z548">
        <v>0</v>
      </c>
      <c r="AA548">
        <v>0</v>
      </c>
      <c r="AB548">
        <v>0</v>
      </c>
      <c r="AC548">
        <v>0</v>
      </c>
      <c r="AD548">
        <v>0</v>
      </c>
      <c r="AE548">
        <v>0</v>
      </c>
      <c r="AF548">
        <v>0</v>
      </c>
      <c r="AG548">
        <v>0</v>
      </c>
      <c r="AH548">
        <v>0</v>
      </c>
      <c r="AI548">
        <v>0</v>
      </c>
      <c r="AJ548">
        <v>0</v>
      </c>
      <c r="AK548">
        <v>113.91</v>
      </c>
      <c r="AL548">
        <v>0</v>
      </c>
      <c r="AM548">
        <v>0</v>
      </c>
      <c r="AN548">
        <v>0</v>
      </c>
      <c r="AO548">
        <v>0</v>
      </c>
      <c r="AP548">
        <v>0</v>
      </c>
      <c r="AQ548">
        <v>0</v>
      </c>
      <c r="AR548">
        <v>0</v>
      </c>
      <c r="AS548">
        <v>0</v>
      </c>
      <c r="AT548">
        <v>0</v>
      </c>
      <c r="AU548">
        <v>0</v>
      </c>
      <c r="AV548">
        <v>0</v>
      </c>
      <c r="AW548">
        <v>0</v>
      </c>
      <c r="AX548">
        <v>0</v>
      </c>
      <c r="AY548">
        <v>0</v>
      </c>
      <c r="AZ548">
        <v>0</v>
      </c>
      <c r="BA548">
        <v>0</v>
      </c>
      <c r="BB548">
        <v>0</v>
      </c>
      <c r="BC548">
        <v>0</v>
      </c>
      <c r="BD548">
        <v>0</v>
      </c>
      <c r="BE548">
        <v>0</v>
      </c>
      <c r="BF548">
        <v>0</v>
      </c>
      <c r="BG548">
        <v>0</v>
      </c>
      <c r="BH548">
        <v>2</v>
      </c>
      <c r="BI548">
        <v>52.7</v>
      </c>
      <c r="BJ548">
        <v>75.2</v>
      </c>
      <c r="BK548">
        <v>76</v>
      </c>
      <c r="BL548">
        <v>415.03</v>
      </c>
      <c r="BM548">
        <v>62.25</v>
      </c>
      <c r="BN548">
        <v>477.28</v>
      </c>
      <c r="BO548">
        <v>477.28</v>
      </c>
      <c r="BQ548" t="s">
        <v>733</v>
      </c>
      <c r="BR548" t="s">
        <v>733</v>
      </c>
      <c r="BS548" s="3">
        <v>44616</v>
      </c>
      <c r="BT548" s="4">
        <v>0.54236111111111118</v>
      </c>
      <c r="BU548" t="s">
        <v>1491</v>
      </c>
      <c r="BV548" t="s">
        <v>84</v>
      </c>
      <c r="BW548" t="s">
        <v>268</v>
      </c>
      <c r="BX548" t="s">
        <v>240</v>
      </c>
      <c r="BY548">
        <v>375787.06</v>
      </c>
      <c r="BZ548" t="s">
        <v>137</v>
      </c>
      <c r="CA548" t="s">
        <v>1575</v>
      </c>
      <c r="CC548" t="s">
        <v>132</v>
      </c>
      <c r="CD548">
        <v>4091</v>
      </c>
      <c r="CE548" t="s">
        <v>130</v>
      </c>
      <c r="CF548" s="3">
        <v>44617</v>
      </c>
      <c r="CI548">
        <v>1</v>
      </c>
      <c r="CJ548">
        <v>2</v>
      </c>
      <c r="CK548">
        <v>41</v>
      </c>
      <c r="CL548" t="s">
        <v>84</v>
      </c>
    </row>
    <row r="549" spans="1:90" x14ac:dyDescent="0.25">
      <c r="A549" t="s">
        <v>1417</v>
      </c>
      <c r="B549" t="s">
        <v>1400</v>
      </c>
      <c r="C549" t="s">
        <v>74</v>
      </c>
      <c r="E549" t="str">
        <f>"009941567791"</f>
        <v>009941567791</v>
      </c>
      <c r="F549" s="3">
        <v>44614</v>
      </c>
      <c r="G549">
        <v>202208</v>
      </c>
      <c r="H549" t="s">
        <v>1436</v>
      </c>
      <c r="I549" t="s">
        <v>1437</v>
      </c>
      <c r="J549" t="s">
        <v>1401</v>
      </c>
      <c r="K549" t="s">
        <v>78</v>
      </c>
      <c r="L549" t="s">
        <v>234</v>
      </c>
      <c r="M549" t="s">
        <v>235</v>
      </c>
      <c r="N549" t="s">
        <v>1401</v>
      </c>
      <c r="O549" t="s">
        <v>80</v>
      </c>
      <c r="P549" t="str">
        <f>"STORES                        "</f>
        <v xml:space="preserve">STORES                        </v>
      </c>
      <c r="Q549">
        <v>0</v>
      </c>
      <c r="R549">
        <v>0</v>
      </c>
      <c r="S549">
        <v>0</v>
      </c>
      <c r="T549">
        <v>0</v>
      </c>
      <c r="U549">
        <v>0</v>
      </c>
      <c r="V549">
        <v>0</v>
      </c>
      <c r="W549">
        <v>0</v>
      </c>
      <c r="X549">
        <v>0</v>
      </c>
      <c r="Y549">
        <v>0</v>
      </c>
      <c r="Z549">
        <v>0</v>
      </c>
      <c r="AA549">
        <v>0</v>
      </c>
      <c r="AB549">
        <v>0</v>
      </c>
      <c r="AC549">
        <v>0</v>
      </c>
      <c r="AD549">
        <v>0</v>
      </c>
      <c r="AE549">
        <v>0</v>
      </c>
      <c r="AF549">
        <v>0</v>
      </c>
      <c r="AG549">
        <v>0</v>
      </c>
      <c r="AH549">
        <v>0</v>
      </c>
      <c r="AI549">
        <v>0</v>
      </c>
      <c r="AJ549">
        <v>0</v>
      </c>
      <c r="AK549">
        <v>16.760000000000002</v>
      </c>
      <c r="AL549">
        <v>0</v>
      </c>
      <c r="AM549">
        <v>0</v>
      </c>
      <c r="AN549">
        <v>0</v>
      </c>
      <c r="AO549">
        <v>0</v>
      </c>
      <c r="AP549">
        <v>0</v>
      </c>
      <c r="AQ549">
        <v>0</v>
      </c>
      <c r="AR549">
        <v>0</v>
      </c>
      <c r="AS549">
        <v>0</v>
      </c>
      <c r="AT549">
        <v>0</v>
      </c>
      <c r="AU549">
        <v>0</v>
      </c>
      <c r="AV549">
        <v>0</v>
      </c>
      <c r="AW549">
        <v>0</v>
      </c>
      <c r="AX549">
        <v>0</v>
      </c>
      <c r="AY549">
        <v>0</v>
      </c>
      <c r="AZ549">
        <v>0</v>
      </c>
      <c r="BA549">
        <v>0</v>
      </c>
      <c r="BB549">
        <v>0</v>
      </c>
      <c r="BC549">
        <v>0</v>
      </c>
      <c r="BD549">
        <v>0</v>
      </c>
      <c r="BE549">
        <v>0</v>
      </c>
      <c r="BF549">
        <v>0</v>
      </c>
      <c r="BG549">
        <v>0</v>
      </c>
      <c r="BH549">
        <v>1</v>
      </c>
      <c r="BI549">
        <v>1</v>
      </c>
      <c r="BJ549">
        <v>0.2</v>
      </c>
      <c r="BK549">
        <v>1</v>
      </c>
      <c r="BL549">
        <v>60.3</v>
      </c>
      <c r="BM549">
        <v>9.0500000000000007</v>
      </c>
      <c r="BN549">
        <v>69.349999999999994</v>
      </c>
      <c r="BO549">
        <v>69.349999999999994</v>
      </c>
      <c r="BQ549" t="s">
        <v>1591</v>
      </c>
      <c r="BR549" t="s">
        <v>1443</v>
      </c>
      <c r="BS549" t="s">
        <v>653</v>
      </c>
      <c r="BY549">
        <v>1200</v>
      </c>
      <c r="BZ549" t="s">
        <v>87</v>
      </c>
      <c r="CC549" t="s">
        <v>235</v>
      </c>
      <c r="CD549">
        <v>3200</v>
      </c>
      <c r="CE549" t="s">
        <v>130</v>
      </c>
      <c r="CI549">
        <v>1</v>
      </c>
      <c r="CJ549" t="s">
        <v>653</v>
      </c>
      <c r="CK549">
        <v>21</v>
      </c>
      <c r="CL549" t="s">
        <v>84</v>
      </c>
    </row>
    <row r="550" spans="1:90" x14ac:dyDescent="0.25">
      <c r="A550" t="s">
        <v>1417</v>
      </c>
      <c r="B550" t="s">
        <v>1400</v>
      </c>
      <c r="C550" t="s">
        <v>74</v>
      </c>
      <c r="E550" t="str">
        <f>"009941916050"</f>
        <v>009941916050</v>
      </c>
      <c r="F550" s="3">
        <v>44609</v>
      </c>
      <c r="G550">
        <v>202208</v>
      </c>
      <c r="H550" t="s">
        <v>1436</v>
      </c>
      <c r="I550" t="s">
        <v>1437</v>
      </c>
      <c r="J550" t="s">
        <v>1401</v>
      </c>
      <c r="K550" t="s">
        <v>78</v>
      </c>
      <c r="L550" t="s">
        <v>466</v>
      </c>
      <c r="M550" t="s">
        <v>467</v>
      </c>
      <c r="N550" t="s">
        <v>1521</v>
      </c>
      <c r="O550" t="s">
        <v>125</v>
      </c>
      <c r="P550" t="str">
        <f>"STORES                        "</f>
        <v xml:space="preserve">STORES                        </v>
      </c>
      <c r="Q550">
        <v>0</v>
      </c>
      <c r="R550">
        <v>0</v>
      </c>
      <c r="S550">
        <v>0</v>
      </c>
      <c r="T550">
        <v>0</v>
      </c>
      <c r="U550">
        <v>0</v>
      </c>
      <c r="V550">
        <v>0</v>
      </c>
      <c r="W550">
        <v>0</v>
      </c>
      <c r="X550">
        <v>0</v>
      </c>
      <c r="Y550">
        <v>0</v>
      </c>
      <c r="Z550">
        <v>0</v>
      </c>
      <c r="AA550">
        <v>0</v>
      </c>
      <c r="AB550">
        <v>0</v>
      </c>
      <c r="AC550">
        <v>0</v>
      </c>
      <c r="AD550">
        <v>0</v>
      </c>
      <c r="AE550">
        <v>0</v>
      </c>
      <c r="AF550">
        <v>0</v>
      </c>
      <c r="AG550">
        <v>0</v>
      </c>
      <c r="AH550">
        <v>0</v>
      </c>
      <c r="AI550">
        <v>0</v>
      </c>
      <c r="AJ550">
        <v>0</v>
      </c>
      <c r="AK550">
        <v>57.4</v>
      </c>
      <c r="AL550">
        <v>0</v>
      </c>
      <c r="AM550">
        <v>0</v>
      </c>
      <c r="AN550">
        <v>0</v>
      </c>
      <c r="AO550">
        <v>0</v>
      </c>
      <c r="AP550">
        <v>0</v>
      </c>
      <c r="AQ550">
        <v>0</v>
      </c>
      <c r="AR550">
        <v>0</v>
      </c>
      <c r="AS550">
        <v>0</v>
      </c>
      <c r="AT550">
        <v>0</v>
      </c>
      <c r="AU550">
        <v>0</v>
      </c>
      <c r="AV550">
        <v>0</v>
      </c>
      <c r="AW550">
        <v>0</v>
      </c>
      <c r="AX550">
        <v>0</v>
      </c>
      <c r="AY550">
        <v>0</v>
      </c>
      <c r="AZ550">
        <v>0</v>
      </c>
      <c r="BA550">
        <v>0</v>
      </c>
      <c r="BB550">
        <v>0</v>
      </c>
      <c r="BC550">
        <v>0</v>
      </c>
      <c r="BD550">
        <v>0</v>
      </c>
      <c r="BE550">
        <v>0</v>
      </c>
      <c r="BF550">
        <v>0</v>
      </c>
      <c r="BG550">
        <v>0</v>
      </c>
      <c r="BH550">
        <v>1</v>
      </c>
      <c r="BI550">
        <v>17.8</v>
      </c>
      <c r="BJ550">
        <v>19.5</v>
      </c>
      <c r="BK550">
        <v>20</v>
      </c>
      <c r="BL550">
        <v>211.75</v>
      </c>
      <c r="BM550">
        <v>31.76</v>
      </c>
      <c r="BN550">
        <v>243.51</v>
      </c>
      <c r="BO550">
        <v>243.51</v>
      </c>
      <c r="BQ550" t="s">
        <v>1592</v>
      </c>
      <c r="BR550" t="s">
        <v>733</v>
      </c>
      <c r="BS550" s="3">
        <v>44613</v>
      </c>
      <c r="BT550" s="4">
        <v>0.34027777777777773</v>
      </c>
      <c r="BU550" t="s">
        <v>305</v>
      </c>
      <c r="BV550" t="s">
        <v>101</v>
      </c>
      <c r="BY550">
        <v>97713.2</v>
      </c>
      <c r="BZ550" t="s">
        <v>137</v>
      </c>
      <c r="CC550" t="s">
        <v>467</v>
      </c>
      <c r="CD550">
        <v>3900</v>
      </c>
      <c r="CE550" t="s">
        <v>130</v>
      </c>
      <c r="CF550" s="3">
        <v>44613</v>
      </c>
      <c r="CI550">
        <v>2</v>
      </c>
      <c r="CJ550">
        <v>2</v>
      </c>
      <c r="CK550">
        <v>43</v>
      </c>
      <c r="CL550" t="s">
        <v>84</v>
      </c>
    </row>
    <row r="551" spans="1:90" x14ac:dyDescent="0.25">
      <c r="A551" t="s">
        <v>1417</v>
      </c>
      <c r="B551" t="s">
        <v>1400</v>
      </c>
      <c r="C551" t="s">
        <v>74</v>
      </c>
      <c r="E551" t="str">
        <f>"009941108099"</f>
        <v>009941108099</v>
      </c>
      <c r="F551" s="3">
        <v>44614</v>
      </c>
      <c r="G551">
        <v>202208</v>
      </c>
      <c r="H551" t="s">
        <v>282</v>
      </c>
      <c r="I551" t="s">
        <v>283</v>
      </c>
      <c r="J551" t="s">
        <v>1401</v>
      </c>
      <c r="K551" t="s">
        <v>78</v>
      </c>
      <c r="L551" t="s">
        <v>435</v>
      </c>
      <c r="M551" t="s">
        <v>436</v>
      </c>
      <c r="N551" t="s">
        <v>1593</v>
      </c>
      <c r="O551" t="s">
        <v>125</v>
      </c>
      <c r="P551" t="str">
        <f>"                              "</f>
        <v xml:space="preserve">                              </v>
      </c>
      <c r="Q551">
        <v>0</v>
      </c>
      <c r="R551">
        <v>0</v>
      </c>
      <c r="S551">
        <v>0</v>
      </c>
      <c r="T551">
        <v>0</v>
      </c>
      <c r="U551">
        <v>0</v>
      </c>
      <c r="V551">
        <v>0</v>
      </c>
      <c r="W551">
        <v>0</v>
      </c>
      <c r="X551">
        <v>0</v>
      </c>
      <c r="Y551">
        <v>0</v>
      </c>
      <c r="Z551">
        <v>0</v>
      </c>
      <c r="AA551">
        <v>0</v>
      </c>
      <c r="AB551">
        <v>0</v>
      </c>
      <c r="AC551">
        <v>0</v>
      </c>
      <c r="AD551">
        <v>0</v>
      </c>
      <c r="AE551">
        <v>0</v>
      </c>
      <c r="AF551">
        <v>0</v>
      </c>
      <c r="AG551">
        <v>0</v>
      </c>
      <c r="AH551">
        <v>0</v>
      </c>
      <c r="AI551">
        <v>0</v>
      </c>
      <c r="AJ551">
        <v>0</v>
      </c>
      <c r="AK551">
        <v>83.11</v>
      </c>
      <c r="AL551">
        <v>0</v>
      </c>
      <c r="AM551">
        <v>0</v>
      </c>
      <c r="AN551">
        <v>0</v>
      </c>
      <c r="AO551">
        <v>0</v>
      </c>
      <c r="AP551">
        <v>0</v>
      </c>
      <c r="AQ551">
        <v>0</v>
      </c>
      <c r="AR551">
        <v>0</v>
      </c>
      <c r="AS551">
        <v>0</v>
      </c>
      <c r="AT551">
        <v>0</v>
      </c>
      <c r="AU551">
        <v>0</v>
      </c>
      <c r="AV551">
        <v>0</v>
      </c>
      <c r="AW551">
        <v>0</v>
      </c>
      <c r="AX551">
        <v>0</v>
      </c>
      <c r="AY551">
        <v>0</v>
      </c>
      <c r="AZ551">
        <v>0</v>
      </c>
      <c r="BA551">
        <v>0</v>
      </c>
      <c r="BB551">
        <v>0</v>
      </c>
      <c r="BC551">
        <v>0</v>
      </c>
      <c r="BD551">
        <v>0</v>
      </c>
      <c r="BE551">
        <v>0</v>
      </c>
      <c r="BF551">
        <v>0</v>
      </c>
      <c r="BG551">
        <v>0</v>
      </c>
      <c r="BH551">
        <v>1</v>
      </c>
      <c r="BI551">
        <v>12.2</v>
      </c>
      <c r="BJ551">
        <v>30.2</v>
      </c>
      <c r="BK551">
        <v>31</v>
      </c>
      <c r="BL551">
        <v>304.23</v>
      </c>
      <c r="BM551">
        <v>45.63</v>
      </c>
      <c r="BN551">
        <v>349.86</v>
      </c>
      <c r="BO551">
        <v>349.86</v>
      </c>
      <c r="BR551" t="s">
        <v>1421</v>
      </c>
      <c r="BS551" s="3">
        <v>44620</v>
      </c>
      <c r="BT551" s="4">
        <v>0.42638888888888887</v>
      </c>
      <c r="BU551" t="s">
        <v>1594</v>
      </c>
      <c r="BV551" t="s">
        <v>101</v>
      </c>
      <c r="BY551">
        <v>151026.37</v>
      </c>
      <c r="BZ551" t="s">
        <v>137</v>
      </c>
      <c r="CA551" t="s">
        <v>1518</v>
      </c>
      <c r="CC551" t="s">
        <v>436</v>
      </c>
      <c r="CD551">
        <v>2570</v>
      </c>
      <c r="CE551" t="s">
        <v>130</v>
      </c>
      <c r="CI551">
        <v>1</v>
      </c>
      <c r="CJ551">
        <v>4</v>
      </c>
      <c r="CK551">
        <v>43</v>
      </c>
      <c r="CL551" t="s">
        <v>84</v>
      </c>
    </row>
    <row r="552" spans="1:90" x14ac:dyDescent="0.25">
      <c r="A552" t="s">
        <v>1417</v>
      </c>
      <c r="B552" t="s">
        <v>1400</v>
      </c>
      <c r="C552" t="s">
        <v>74</v>
      </c>
      <c r="E552" t="str">
        <f>"009941108098"</f>
        <v>009941108098</v>
      </c>
      <c r="F552" s="3">
        <v>44614</v>
      </c>
      <c r="G552">
        <v>202208</v>
      </c>
      <c r="H552" t="s">
        <v>282</v>
      </c>
      <c r="I552" t="s">
        <v>283</v>
      </c>
      <c r="J552" t="s">
        <v>1401</v>
      </c>
      <c r="K552" t="s">
        <v>78</v>
      </c>
      <c r="L552" t="s">
        <v>1436</v>
      </c>
      <c r="M552" t="s">
        <v>1437</v>
      </c>
      <c r="N552" t="s">
        <v>1401</v>
      </c>
      <c r="O552" t="s">
        <v>125</v>
      </c>
      <c r="P552" t="str">
        <f>"                              "</f>
        <v xml:space="preserve">                              </v>
      </c>
      <c r="Q552">
        <v>0</v>
      </c>
      <c r="R552">
        <v>0</v>
      </c>
      <c r="S552">
        <v>0</v>
      </c>
      <c r="T552">
        <v>0</v>
      </c>
      <c r="U552">
        <v>0</v>
      </c>
      <c r="V552">
        <v>0</v>
      </c>
      <c r="W552">
        <v>0</v>
      </c>
      <c r="X552">
        <v>0</v>
      </c>
      <c r="Y552">
        <v>0</v>
      </c>
      <c r="Z552">
        <v>0</v>
      </c>
      <c r="AA552">
        <v>0</v>
      </c>
      <c r="AB552">
        <v>0</v>
      </c>
      <c r="AC552">
        <v>0</v>
      </c>
      <c r="AD552">
        <v>0</v>
      </c>
      <c r="AE552">
        <v>0</v>
      </c>
      <c r="AF552">
        <v>0</v>
      </c>
      <c r="AG552">
        <v>0</v>
      </c>
      <c r="AH552">
        <v>0</v>
      </c>
      <c r="AI552">
        <v>0</v>
      </c>
      <c r="AJ552">
        <v>0</v>
      </c>
      <c r="AK552">
        <v>45.72</v>
      </c>
      <c r="AL552">
        <v>0</v>
      </c>
      <c r="AM552">
        <v>0</v>
      </c>
      <c r="AN552">
        <v>0</v>
      </c>
      <c r="AO552">
        <v>0</v>
      </c>
      <c r="AP552">
        <v>0</v>
      </c>
      <c r="AQ552">
        <v>0</v>
      </c>
      <c r="AR552">
        <v>0</v>
      </c>
      <c r="AS552">
        <v>0</v>
      </c>
      <c r="AT552">
        <v>0</v>
      </c>
      <c r="AU552">
        <v>0</v>
      </c>
      <c r="AV552">
        <v>0</v>
      </c>
      <c r="AW552">
        <v>0</v>
      </c>
      <c r="AX552">
        <v>0</v>
      </c>
      <c r="AY552">
        <v>0</v>
      </c>
      <c r="AZ552">
        <v>0</v>
      </c>
      <c r="BA552">
        <v>0</v>
      </c>
      <c r="BB552">
        <v>0</v>
      </c>
      <c r="BC552">
        <v>0</v>
      </c>
      <c r="BD552">
        <v>0</v>
      </c>
      <c r="BE552">
        <v>0</v>
      </c>
      <c r="BF552">
        <v>0</v>
      </c>
      <c r="BG552">
        <v>0</v>
      </c>
      <c r="BH552">
        <v>1</v>
      </c>
      <c r="BI552">
        <v>7</v>
      </c>
      <c r="BJ552">
        <v>4.2</v>
      </c>
      <c r="BK552">
        <v>7</v>
      </c>
      <c r="BL552">
        <v>169.72</v>
      </c>
      <c r="BM552">
        <v>25.46</v>
      </c>
      <c r="BN552">
        <v>195.18</v>
      </c>
      <c r="BO552">
        <v>195.18</v>
      </c>
      <c r="BR552" t="s">
        <v>1421</v>
      </c>
      <c r="BS552" s="3">
        <v>44615</v>
      </c>
      <c r="BT552" s="4">
        <v>0.36249999999999999</v>
      </c>
      <c r="BU552" t="s">
        <v>1595</v>
      </c>
      <c r="BV552" t="s">
        <v>101</v>
      </c>
      <c r="BY552">
        <v>21168</v>
      </c>
      <c r="BZ552" t="s">
        <v>137</v>
      </c>
      <c r="CA552" t="s">
        <v>1568</v>
      </c>
      <c r="CC552" t="s">
        <v>1437</v>
      </c>
      <c r="CD552">
        <v>2146</v>
      </c>
      <c r="CE552" t="s">
        <v>130</v>
      </c>
      <c r="CI552">
        <v>1</v>
      </c>
      <c r="CJ552">
        <v>1</v>
      </c>
      <c r="CK552">
        <v>43</v>
      </c>
      <c r="CL552" t="s">
        <v>84</v>
      </c>
    </row>
    <row r="553" spans="1:90" x14ac:dyDescent="0.25">
      <c r="A553" t="s">
        <v>1417</v>
      </c>
      <c r="B553" t="s">
        <v>1400</v>
      </c>
      <c r="C553" t="s">
        <v>74</v>
      </c>
      <c r="E553" t="str">
        <f>"009941940220"</f>
        <v>009941940220</v>
      </c>
      <c r="F553" s="3">
        <v>44614</v>
      </c>
      <c r="G553">
        <v>202208</v>
      </c>
      <c r="H553" t="s">
        <v>159</v>
      </c>
      <c r="I553" t="s">
        <v>160</v>
      </c>
      <c r="J553" t="s">
        <v>1523</v>
      </c>
      <c r="K553" t="s">
        <v>78</v>
      </c>
      <c r="L553" t="s">
        <v>153</v>
      </c>
      <c r="M553" t="s">
        <v>154</v>
      </c>
      <c r="N553" t="s">
        <v>1401</v>
      </c>
      <c r="O553" t="s">
        <v>125</v>
      </c>
      <c r="P553" t="str">
        <f>"                              "</f>
        <v xml:space="preserve">                              </v>
      </c>
      <c r="Q553">
        <v>0</v>
      </c>
      <c r="R553">
        <v>0</v>
      </c>
      <c r="S553">
        <v>0</v>
      </c>
      <c r="T553">
        <v>0</v>
      </c>
      <c r="U553">
        <v>0</v>
      </c>
      <c r="V553">
        <v>0</v>
      </c>
      <c r="W553">
        <v>0</v>
      </c>
      <c r="X553">
        <v>0</v>
      </c>
      <c r="Y553">
        <v>0</v>
      </c>
      <c r="Z553">
        <v>0</v>
      </c>
      <c r="AA553">
        <v>0</v>
      </c>
      <c r="AB553">
        <v>0</v>
      </c>
      <c r="AC553">
        <v>0</v>
      </c>
      <c r="AD553">
        <v>0</v>
      </c>
      <c r="AE553">
        <v>0</v>
      </c>
      <c r="AF553">
        <v>0</v>
      </c>
      <c r="AG553">
        <v>0</v>
      </c>
      <c r="AH553">
        <v>0</v>
      </c>
      <c r="AI553">
        <v>0</v>
      </c>
      <c r="AJ553">
        <v>0</v>
      </c>
      <c r="AK553">
        <v>111.15</v>
      </c>
      <c r="AL553">
        <v>0</v>
      </c>
      <c r="AM553">
        <v>0</v>
      </c>
      <c r="AN553">
        <v>0</v>
      </c>
      <c r="AO553">
        <v>0</v>
      </c>
      <c r="AP553">
        <v>0</v>
      </c>
      <c r="AQ553">
        <v>0</v>
      </c>
      <c r="AR553">
        <v>0</v>
      </c>
      <c r="AS553">
        <v>0</v>
      </c>
      <c r="AT553">
        <v>0</v>
      </c>
      <c r="AU553">
        <v>0</v>
      </c>
      <c r="AV553">
        <v>0</v>
      </c>
      <c r="AW553">
        <v>0</v>
      </c>
      <c r="AX553">
        <v>0</v>
      </c>
      <c r="AY553">
        <v>0</v>
      </c>
      <c r="AZ553">
        <v>0</v>
      </c>
      <c r="BA553">
        <v>0</v>
      </c>
      <c r="BB553">
        <v>0</v>
      </c>
      <c r="BC553">
        <v>0</v>
      </c>
      <c r="BD553">
        <v>0</v>
      </c>
      <c r="BE553">
        <v>0</v>
      </c>
      <c r="BF553">
        <v>0</v>
      </c>
      <c r="BG553">
        <v>0</v>
      </c>
      <c r="BH553">
        <v>2</v>
      </c>
      <c r="BI553">
        <v>31</v>
      </c>
      <c r="BJ553">
        <v>43</v>
      </c>
      <c r="BK553">
        <v>43</v>
      </c>
      <c r="BL553">
        <v>405.11</v>
      </c>
      <c r="BM553">
        <v>60.77</v>
      </c>
      <c r="BN553">
        <v>465.88</v>
      </c>
      <c r="BO553">
        <v>465.88</v>
      </c>
      <c r="BR553" t="s">
        <v>1454</v>
      </c>
      <c r="BS553" s="3">
        <v>44615</v>
      </c>
      <c r="BT553" s="4">
        <v>0.36805555555555558</v>
      </c>
      <c r="BU553" t="s">
        <v>1596</v>
      </c>
      <c r="BV553" t="s">
        <v>101</v>
      </c>
      <c r="BY553">
        <v>215180</v>
      </c>
      <c r="CA553" t="s">
        <v>1568</v>
      </c>
      <c r="CC553" t="s">
        <v>154</v>
      </c>
      <c r="CD553">
        <v>2054</v>
      </c>
      <c r="CE553" t="s">
        <v>1546</v>
      </c>
      <c r="CI553">
        <v>1</v>
      </c>
      <c r="CJ553">
        <v>1</v>
      </c>
      <c r="CK553">
        <v>43</v>
      </c>
      <c r="CL553" t="s">
        <v>84</v>
      </c>
    </row>
    <row r="554" spans="1:90" x14ac:dyDescent="0.25">
      <c r="A554" t="s">
        <v>1399</v>
      </c>
      <c r="B554" t="s">
        <v>1400</v>
      </c>
      <c r="C554" t="s">
        <v>74</v>
      </c>
      <c r="E554" t="str">
        <f>"009941994655"</f>
        <v>009941994655</v>
      </c>
      <c r="F554" s="3">
        <v>44614</v>
      </c>
      <c r="G554">
        <v>202208</v>
      </c>
      <c r="H554" t="s">
        <v>761</v>
      </c>
      <c r="I554" t="s">
        <v>762</v>
      </c>
      <c r="J554" t="s">
        <v>1401</v>
      </c>
      <c r="K554" t="s">
        <v>78</v>
      </c>
      <c r="L554" t="s">
        <v>153</v>
      </c>
      <c r="M554" t="s">
        <v>154</v>
      </c>
      <c r="N554" t="s">
        <v>1401</v>
      </c>
      <c r="O554" t="s">
        <v>125</v>
      </c>
      <c r="P554" t="str">
        <f>"                              "</f>
        <v xml:space="preserve">                              </v>
      </c>
      <c r="Q554">
        <v>0</v>
      </c>
      <c r="R554">
        <v>0</v>
      </c>
      <c r="S554">
        <v>0</v>
      </c>
      <c r="T554">
        <v>0</v>
      </c>
      <c r="U554">
        <v>0</v>
      </c>
      <c r="V554">
        <v>0</v>
      </c>
      <c r="W554">
        <v>0</v>
      </c>
      <c r="X554">
        <v>0</v>
      </c>
      <c r="Y554">
        <v>0</v>
      </c>
      <c r="Z554">
        <v>0</v>
      </c>
      <c r="AA554">
        <v>0</v>
      </c>
      <c r="AB554">
        <v>0</v>
      </c>
      <c r="AC554">
        <v>0</v>
      </c>
      <c r="AD554">
        <v>0</v>
      </c>
      <c r="AE554">
        <v>0</v>
      </c>
      <c r="AF554">
        <v>0</v>
      </c>
      <c r="AG554">
        <v>0</v>
      </c>
      <c r="AH554">
        <v>0</v>
      </c>
      <c r="AI554">
        <v>0</v>
      </c>
      <c r="AJ554">
        <v>0</v>
      </c>
      <c r="AK554">
        <v>330.33</v>
      </c>
      <c r="AL554">
        <v>0</v>
      </c>
      <c r="AM554">
        <v>0</v>
      </c>
      <c r="AN554">
        <v>0</v>
      </c>
      <c r="AO554">
        <v>0</v>
      </c>
      <c r="AP554">
        <v>0</v>
      </c>
      <c r="AQ554">
        <v>0</v>
      </c>
      <c r="AR554">
        <v>0</v>
      </c>
      <c r="AS554">
        <v>0</v>
      </c>
      <c r="AT554">
        <v>0</v>
      </c>
      <c r="AU554">
        <v>0</v>
      </c>
      <c r="AV554">
        <v>0</v>
      </c>
      <c r="AW554">
        <v>0</v>
      </c>
      <c r="AX554">
        <v>0</v>
      </c>
      <c r="AY554">
        <v>0</v>
      </c>
      <c r="AZ554">
        <v>0</v>
      </c>
      <c r="BA554">
        <v>0</v>
      </c>
      <c r="BB554">
        <v>0</v>
      </c>
      <c r="BC554">
        <v>0</v>
      </c>
      <c r="BD554">
        <v>0</v>
      </c>
      <c r="BE554">
        <v>0</v>
      </c>
      <c r="BF554">
        <v>0</v>
      </c>
      <c r="BG554">
        <v>0</v>
      </c>
      <c r="BH554">
        <v>2</v>
      </c>
      <c r="BI554">
        <v>20</v>
      </c>
      <c r="BJ554">
        <v>237.6</v>
      </c>
      <c r="BK554">
        <v>238</v>
      </c>
      <c r="BL554">
        <v>1193.5899999999999</v>
      </c>
      <c r="BM554">
        <v>179.04</v>
      </c>
      <c r="BN554">
        <v>1372.63</v>
      </c>
      <c r="BO554">
        <v>1372.63</v>
      </c>
      <c r="BQ554" t="s">
        <v>1481</v>
      </c>
      <c r="BR554" t="s">
        <v>1482</v>
      </c>
      <c r="BS554" s="3">
        <v>44615</v>
      </c>
      <c r="BT554" s="4">
        <v>0.36736111111111108</v>
      </c>
      <c r="BU554" t="s">
        <v>1567</v>
      </c>
      <c r="BV554" t="s">
        <v>101</v>
      </c>
      <c r="BY554">
        <v>594000</v>
      </c>
      <c r="BZ554" t="s">
        <v>137</v>
      </c>
      <c r="CA554" t="s">
        <v>1568</v>
      </c>
      <c r="CC554" t="s">
        <v>154</v>
      </c>
      <c r="CD554">
        <v>2196</v>
      </c>
      <c r="CE554" t="s">
        <v>130</v>
      </c>
      <c r="CI554">
        <v>1</v>
      </c>
      <c r="CJ554">
        <v>1</v>
      </c>
      <c r="CK554">
        <v>41</v>
      </c>
      <c r="CL554" t="s">
        <v>84</v>
      </c>
    </row>
    <row r="555" spans="1:90" x14ac:dyDescent="0.25">
      <c r="A555" t="s">
        <v>1417</v>
      </c>
      <c r="B555" t="s">
        <v>1400</v>
      </c>
      <c r="C555" t="s">
        <v>74</v>
      </c>
      <c r="E555" t="str">
        <f>"009941330910"</f>
        <v>009941330910</v>
      </c>
      <c r="F555" s="3">
        <v>44615</v>
      </c>
      <c r="G555">
        <v>202208</v>
      </c>
      <c r="H555" t="s">
        <v>1436</v>
      </c>
      <c r="I555" t="s">
        <v>1437</v>
      </c>
      <c r="J555" t="s">
        <v>1401</v>
      </c>
      <c r="K555" t="s">
        <v>78</v>
      </c>
      <c r="L555" t="s">
        <v>1185</v>
      </c>
      <c r="M555" t="s">
        <v>1186</v>
      </c>
      <c r="N555" t="s">
        <v>1597</v>
      </c>
      <c r="O555" t="s">
        <v>80</v>
      </c>
      <c r="P555" t="str">
        <f>"STORES                        "</f>
        <v xml:space="preserve">STORES                        </v>
      </c>
      <c r="Q555">
        <v>0</v>
      </c>
      <c r="R555">
        <v>0</v>
      </c>
      <c r="S555">
        <v>0</v>
      </c>
      <c r="T555">
        <v>0</v>
      </c>
      <c r="U555">
        <v>0</v>
      </c>
      <c r="V555">
        <v>0</v>
      </c>
      <c r="W555">
        <v>0</v>
      </c>
      <c r="X555">
        <v>0</v>
      </c>
      <c r="Y555">
        <v>0</v>
      </c>
      <c r="Z555">
        <v>0</v>
      </c>
      <c r="AA555">
        <v>0</v>
      </c>
      <c r="AB555">
        <v>0</v>
      </c>
      <c r="AC555">
        <v>0</v>
      </c>
      <c r="AD555">
        <v>0</v>
      </c>
      <c r="AE555">
        <v>0</v>
      </c>
      <c r="AF555">
        <v>0</v>
      </c>
      <c r="AG555">
        <v>0</v>
      </c>
      <c r="AH555">
        <v>0</v>
      </c>
      <c r="AI555">
        <v>0</v>
      </c>
      <c r="AJ555">
        <v>0</v>
      </c>
      <c r="AK555">
        <v>32.479999999999997</v>
      </c>
      <c r="AL555">
        <v>0</v>
      </c>
      <c r="AM555">
        <v>0</v>
      </c>
      <c r="AN555">
        <v>0</v>
      </c>
      <c r="AO555">
        <v>0</v>
      </c>
      <c r="AP555">
        <v>0</v>
      </c>
      <c r="AQ555">
        <v>0</v>
      </c>
      <c r="AR555">
        <v>0</v>
      </c>
      <c r="AS555">
        <v>0</v>
      </c>
      <c r="AT555">
        <v>0</v>
      </c>
      <c r="AU555">
        <v>0</v>
      </c>
      <c r="AV555">
        <v>0</v>
      </c>
      <c r="AW555">
        <v>0</v>
      </c>
      <c r="AX555">
        <v>0</v>
      </c>
      <c r="AY555">
        <v>0</v>
      </c>
      <c r="AZ555">
        <v>0</v>
      </c>
      <c r="BA555">
        <v>0</v>
      </c>
      <c r="BB555">
        <v>0</v>
      </c>
      <c r="BC555">
        <v>0</v>
      </c>
      <c r="BD555">
        <v>0</v>
      </c>
      <c r="BE555">
        <v>0</v>
      </c>
      <c r="BF555">
        <v>0</v>
      </c>
      <c r="BG555">
        <v>0</v>
      </c>
      <c r="BH555">
        <v>1</v>
      </c>
      <c r="BI555">
        <v>1</v>
      </c>
      <c r="BJ555">
        <v>0.2</v>
      </c>
      <c r="BK555">
        <v>1</v>
      </c>
      <c r="BL555">
        <v>116.84</v>
      </c>
      <c r="BM555">
        <v>17.53</v>
      </c>
      <c r="BN555">
        <v>134.37</v>
      </c>
      <c r="BO555">
        <v>134.37</v>
      </c>
      <c r="BQ555" t="s">
        <v>733</v>
      </c>
      <c r="BR555" t="s">
        <v>733</v>
      </c>
      <c r="BS555" s="3">
        <v>44616</v>
      </c>
      <c r="BT555" s="4">
        <v>0.6381944444444444</v>
      </c>
      <c r="BU555" t="s">
        <v>1556</v>
      </c>
      <c r="BV555" t="s">
        <v>84</v>
      </c>
      <c r="BY555">
        <v>1200</v>
      </c>
      <c r="BZ555" t="s">
        <v>87</v>
      </c>
      <c r="CA555" t="s">
        <v>1368</v>
      </c>
      <c r="CC555" t="s">
        <v>1186</v>
      </c>
      <c r="CD555">
        <v>850</v>
      </c>
      <c r="CE555" t="s">
        <v>130</v>
      </c>
      <c r="CF555" s="3">
        <v>44616</v>
      </c>
      <c r="CI555">
        <v>1</v>
      </c>
      <c r="CJ555">
        <v>1</v>
      </c>
      <c r="CK555">
        <v>23</v>
      </c>
      <c r="CL555" t="s">
        <v>84</v>
      </c>
    </row>
    <row r="556" spans="1:90" x14ac:dyDescent="0.25">
      <c r="A556" t="s">
        <v>1417</v>
      </c>
      <c r="B556" t="s">
        <v>1400</v>
      </c>
      <c r="C556" t="s">
        <v>74</v>
      </c>
      <c r="E556" t="str">
        <f>"009941618986"</f>
        <v>009941618986</v>
      </c>
      <c r="F556" s="3">
        <v>44615</v>
      </c>
      <c r="G556">
        <v>202208</v>
      </c>
      <c r="H556" t="s">
        <v>1436</v>
      </c>
      <c r="I556" t="s">
        <v>1437</v>
      </c>
      <c r="J556" t="s">
        <v>1401</v>
      </c>
      <c r="K556" t="s">
        <v>78</v>
      </c>
      <c r="L556" t="s">
        <v>131</v>
      </c>
      <c r="M556" t="s">
        <v>132</v>
      </c>
      <c r="N556" t="s">
        <v>1401</v>
      </c>
      <c r="O556" t="s">
        <v>80</v>
      </c>
      <c r="P556" t="str">
        <f>"STORES                        "</f>
        <v xml:space="preserve">STORES                        </v>
      </c>
      <c r="Q556">
        <v>0</v>
      </c>
      <c r="R556">
        <v>0</v>
      </c>
      <c r="S556">
        <v>0</v>
      </c>
      <c r="T556">
        <v>0</v>
      </c>
      <c r="U556">
        <v>0</v>
      </c>
      <c r="V556">
        <v>0</v>
      </c>
      <c r="W556">
        <v>0</v>
      </c>
      <c r="X556">
        <v>0</v>
      </c>
      <c r="Y556">
        <v>0</v>
      </c>
      <c r="Z556">
        <v>0</v>
      </c>
      <c r="AA556">
        <v>0</v>
      </c>
      <c r="AB556">
        <v>0</v>
      </c>
      <c r="AC556">
        <v>0</v>
      </c>
      <c r="AD556">
        <v>0</v>
      </c>
      <c r="AE556">
        <v>0</v>
      </c>
      <c r="AF556">
        <v>0</v>
      </c>
      <c r="AG556">
        <v>0</v>
      </c>
      <c r="AH556">
        <v>0</v>
      </c>
      <c r="AI556">
        <v>0</v>
      </c>
      <c r="AJ556">
        <v>0</v>
      </c>
      <c r="AK556">
        <v>16.760000000000002</v>
      </c>
      <c r="AL556">
        <v>0</v>
      </c>
      <c r="AM556">
        <v>0</v>
      </c>
      <c r="AN556">
        <v>0</v>
      </c>
      <c r="AO556">
        <v>0</v>
      </c>
      <c r="AP556">
        <v>0</v>
      </c>
      <c r="AQ556">
        <v>0</v>
      </c>
      <c r="AR556">
        <v>0</v>
      </c>
      <c r="AS556">
        <v>0</v>
      </c>
      <c r="AT556">
        <v>0</v>
      </c>
      <c r="AU556">
        <v>0</v>
      </c>
      <c r="AV556">
        <v>0</v>
      </c>
      <c r="AW556">
        <v>0</v>
      </c>
      <c r="AX556">
        <v>0</v>
      </c>
      <c r="AY556">
        <v>0</v>
      </c>
      <c r="AZ556">
        <v>0</v>
      </c>
      <c r="BA556">
        <v>0</v>
      </c>
      <c r="BB556">
        <v>0</v>
      </c>
      <c r="BC556">
        <v>0</v>
      </c>
      <c r="BD556">
        <v>0</v>
      </c>
      <c r="BE556">
        <v>0</v>
      </c>
      <c r="BF556">
        <v>0</v>
      </c>
      <c r="BG556">
        <v>0</v>
      </c>
      <c r="BH556">
        <v>1</v>
      </c>
      <c r="BI556">
        <v>1</v>
      </c>
      <c r="BJ556">
        <v>0.2</v>
      </c>
      <c r="BK556">
        <v>1</v>
      </c>
      <c r="BL556">
        <v>60.3</v>
      </c>
      <c r="BM556">
        <v>9.0500000000000007</v>
      </c>
      <c r="BN556">
        <v>69.349999999999994</v>
      </c>
      <c r="BO556">
        <v>69.349999999999994</v>
      </c>
      <c r="BQ556" t="s">
        <v>733</v>
      </c>
      <c r="BR556" t="s">
        <v>1598</v>
      </c>
      <c r="BS556" s="3">
        <v>44616</v>
      </c>
      <c r="BT556" s="4">
        <v>0.39097222222222222</v>
      </c>
      <c r="BU556" t="s">
        <v>1491</v>
      </c>
      <c r="BV556" t="s">
        <v>101</v>
      </c>
      <c r="BY556">
        <v>1200</v>
      </c>
      <c r="BZ556" t="s">
        <v>87</v>
      </c>
      <c r="CA556" t="s">
        <v>1492</v>
      </c>
      <c r="CC556" t="s">
        <v>132</v>
      </c>
      <c r="CD556">
        <v>4091</v>
      </c>
      <c r="CE556" t="s">
        <v>130</v>
      </c>
      <c r="CF556" s="3">
        <v>44617</v>
      </c>
      <c r="CI556">
        <v>1</v>
      </c>
      <c r="CJ556">
        <v>1</v>
      </c>
      <c r="CK556">
        <v>21</v>
      </c>
      <c r="CL556" t="s">
        <v>84</v>
      </c>
    </row>
    <row r="557" spans="1:90" x14ac:dyDescent="0.25">
      <c r="A557" t="s">
        <v>1417</v>
      </c>
      <c r="B557" t="s">
        <v>1400</v>
      </c>
      <c r="C557" t="s">
        <v>74</v>
      </c>
      <c r="E557" t="str">
        <f>"009939616917"</f>
        <v>009939616917</v>
      </c>
      <c r="F557" s="3">
        <v>44615</v>
      </c>
      <c r="G557">
        <v>202208</v>
      </c>
      <c r="H557" t="s">
        <v>1436</v>
      </c>
      <c r="I557" t="s">
        <v>1437</v>
      </c>
      <c r="J557" t="s">
        <v>1401</v>
      </c>
      <c r="K557" t="s">
        <v>78</v>
      </c>
      <c r="L557" t="s">
        <v>1418</v>
      </c>
      <c r="M557" t="s">
        <v>1419</v>
      </c>
      <c r="N557" t="s">
        <v>1401</v>
      </c>
      <c r="O557" t="s">
        <v>80</v>
      </c>
      <c r="P557" t="str">
        <f>"STORES                        "</f>
        <v xml:space="preserve">STORES                        </v>
      </c>
      <c r="Q557">
        <v>0</v>
      </c>
      <c r="R557">
        <v>0</v>
      </c>
      <c r="S557">
        <v>0</v>
      </c>
      <c r="T557">
        <v>0</v>
      </c>
      <c r="U557">
        <v>0</v>
      </c>
      <c r="V557">
        <v>0</v>
      </c>
      <c r="W557">
        <v>0</v>
      </c>
      <c r="X557">
        <v>0</v>
      </c>
      <c r="Y557">
        <v>0</v>
      </c>
      <c r="Z557">
        <v>0</v>
      </c>
      <c r="AA557">
        <v>0</v>
      </c>
      <c r="AB557">
        <v>0</v>
      </c>
      <c r="AC557">
        <v>0</v>
      </c>
      <c r="AD557">
        <v>0</v>
      </c>
      <c r="AE557">
        <v>0</v>
      </c>
      <c r="AF557">
        <v>0</v>
      </c>
      <c r="AG557">
        <v>0</v>
      </c>
      <c r="AH557">
        <v>0</v>
      </c>
      <c r="AI557">
        <v>0</v>
      </c>
      <c r="AJ557">
        <v>0</v>
      </c>
      <c r="AK557">
        <v>32.479999999999997</v>
      </c>
      <c r="AL557">
        <v>0</v>
      </c>
      <c r="AM557">
        <v>0</v>
      </c>
      <c r="AN557">
        <v>0</v>
      </c>
      <c r="AO557">
        <v>0</v>
      </c>
      <c r="AP557">
        <v>0</v>
      </c>
      <c r="AQ557">
        <v>0</v>
      </c>
      <c r="AR557">
        <v>0</v>
      </c>
      <c r="AS557">
        <v>0</v>
      </c>
      <c r="AT557">
        <v>0</v>
      </c>
      <c r="AU557">
        <v>0</v>
      </c>
      <c r="AV557">
        <v>0</v>
      </c>
      <c r="AW557">
        <v>0</v>
      </c>
      <c r="AX557">
        <v>0</v>
      </c>
      <c r="AY557">
        <v>0</v>
      </c>
      <c r="AZ557">
        <v>0</v>
      </c>
      <c r="BA557">
        <v>0</v>
      </c>
      <c r="BB557">
        <v>0</v>
      </c>
      <c r="BC557">
        <v>0</v>
      </c>
      <c r="BD557">
        <v>0</v>
      </c>
      <c r="BE557">
        <v>0</v>
      </c>
      <c r="BF557">
        <v>0</v>
      </c>
      <c r="BG557">
        <v>0</v>
      </c>
      <c r="BH557">
        <v>1</v>
      </c>
      <c r="BI557">
        <v>1</v>
      </c>
      <c r="BJ557">
        <v>0.2</v>
      </c>
      <c r="BK557">
        <v>1</v>
      </c>
      <c r="BL557">
        <v>116.84</v>
      </c>
      <c r="BM557">
        <v>17.53</v>
      </c>
      <c r="BN557">
        <v>134.37</v>
      </c>
      <c r="BO557">
        <v>134.37</v>
      </c>
      <c r="BQ557" t="s">
        <v>1500</v>
      </c>
      <c r="BR557" t="s">
        <v>1443</v>
      </c>
      <c r="BS557" s="3">
        <v>44616</v>
      </c>
      <c r="BT557" s="4">
        <v>0.43055555555555558</v>
      </c>
      <c r="BU557" t="s">
        <v>1498</v>
      </c>
      <c r="BV557" t="s">
        <v>101</v>
      </c>
      <c r="BY557">
        <v>1200</v>
      </c>
      <c r="BZ557" t="s">
        <v>87</v>
      </c>
      <c r="CA557" t="s">
        <v>1499</v>
      </c>
      <c r="CC557" t="s">
        <v>1419</v>
      </c>
      <c r="CD557">
        <v>8600</v>
      </c>
      <c r="CE557" t="s">
        <v>130</v>
      </c>
      <c r="CF557" s="3">
        <v>44617</v>
      </c>
      <c r="CI557">
        <v>1</v>
      </c>
      <c r="CJ557">
        <v>1</v>
      </c>
      <c r="CK557">
        <v>23</v>
      </c>
      <c r="CL557" t="s">
        <v>84</v>
      </c>
    </row>
    <row r="558" spans="1:90" x14ac:dyDescent="0.25">
      <c r="A558" t="s">
        <v>1417</v>
      </c>
      <c r="B558" t="s">
        <v>1400</v>
      </c>
      <c r="C558" t="s">
        <v>74</v>
      </c>
      <c r="E558" t="str">
        <f>"009940746477"</f>
        <v>009940746477</v>
      </c>
      <c r="F558" s="3">
        <v>44615</v>
      </c>
      <c r="G558">
        <v>202208</v>
      </c>
      <c r="H558" t="s">
        <v>75</v>
      </c>
      <c r="I558" t="s">
        <v>76</v>
      </c>
      <c r="J558" t="s">
        <v>1401</v>
      </c>
      <c r="K558" t="s">
        <v>78</v>
      </c>
      <c r="L558" t="s">
        <v>1436</v>
      </c>
      <c r="M558" t="s">
        <v>1437</v>
      </c>
      <c r="N558" t="s">
        <v>1401</v>
      </c>
      <c r="O558" t="s">
        <v>125</v>
      </c>
      <c r="P558" t="str">
        <f>"                              "</f>
        <v xml:space="preserve">                              </v>
      </c>
      <c r="Q558">
        <v>0</v>
      </c>
      <c r="R558">
        <v>0</v>
      </c>
      <c r="S558">
        <v>0</v>
      </c>
      <c r="T558">
        <v>0</v>
      </c>
      <c r="U558">
        <v>0</v>
      </c>
      <c r="V558">
        <v>0</v>
      </c>
      <c r="W558">
        <v>0</v>
      </c>
      <c r="X558">
        <v>0</v>
      </c>
      <c r="Y558">
        <v>0</v>
      </c>
      <c r="Z558">
        <v>0</v>
      </c>
      <c r="AA558">
        <v>0</v>
      </c>
      <c r="AB558">
        <v>0</v>
      </c>
      <c r="AC558">
        <v>0</v>
      </c>
      <c r="AD558">
        <v>0</v>
      </c>
      <c r="AE558">
        <v>0</v>
      </c>
      <c r="AF558">
        <v>0</v>
      </c>
      <c r="AG558">
        <v>0</v>
      </c>
      <c r="AH558">
        <v>0</v>
      </c>
      <c r="AI558">
        <v>0</v>
      </c>
      <c r="AJ558">
        <v>0</v>
      </c>
      <c r="AK558">
        <v>76.5</v>
      </c>
      <c r="AL558">
        <v>0</v>
      </c>
      <c r="AM558">
        <v>0</v>
      </c>
      <c r="AN558">
        <v>0</v>
      </c>
      <c r="AO558">
        <v>0</v>
      </c>
      <c r="AP558">
        <v>0</v>
      </c>
      <c r="AQ558">
        <v>0</v>
      </c>
      <c r="AR558">
        <v>0</v>
      </c>
      <c r="AS558">
        <v>0</v>
      </c>
      <c r="AT558">
        <v>0</v>
      </c>
      <c r="AU558">
        <v>0</v>
      </c>
      <c r="AV558">
        <v>0</v>
      </c>
      <c r="AW558">
        <v>0</v>
      </c>
      <c r="AX558">
        <v>0</v>
      </c>
      <c r="AY558">
        <v>0</v>
      </c>
      <c r="AZ558">
        <v>0</v>
      </c>
      <c r="BA558">
        <v>0</v>
      </c>
      <c r="BB558">
        <v>0</v>
      </c>
      <c r="BC558">
        <v>0</v>
      </c>
      <c r="BD558">
        <v>0</v>
      </c>
      <c r="BE558">
        <v>0</v>
      </c>
      <c r="BF558">
        <v>0</v>
      </c>
      <c r="BG558">
        <v>0</v>
      </c>
      <c r="BH558">
        <v>1</v>
      </c>
      <c r="BI558">
        <v>31.7</v>
      </c>
      <c r="BJ558">
        <v>47.9</v>
      </c>
      <c r="BK558">
        <v>48</v>
      </c>
      <c r="BL558">
        <v>280.45999999999998</v>
      </c>
      <c r="BM558">
        <v>42.07</v>
      </c>
      <c r="BN558">
        <v>322.52999999999997</v>
      </c>
      <c r="BO558">
        <v>322.52999999999997</v>
      </c>
      <c r="BR558" t="s">
        <v>1581</v>
      </c>
      <c r="BS558" s="3">
        <v>44617</v>
      </c>
      <c r="BT558" s="4">
        <v>0.32291666666666669</v>
      </c>
      <c r="BU558" t="s">
        <v>1544</v>
      </c>
      <c r="BV558" t="s">
        <v>101</v>
      </c>
      <c r="BY558">
        <v>239388.75</v>
      </c>
      <c r="BZ558" t="s">
        <v>137</v>
      </c>
      <c r="CC558" t="s">
        <v>1437</v>
      </c>
      <c r="CD558">
        <v>2146</v>
      </c>
      <c r="CE558" t="s">
        <v>130</v>
      </c>
      <c r="CF558" s="3">
        <v>44617</v>
      </c>
      <c r="CI558">
        <v>2</v>
      </c>
      <c r="CJ558">
        <v>2</v>
      </c>
      <c r="CK558">
        <v>41</v>
      </c>
      <c r="CL558" t="s">
        <v>84</v>
      </c>
    </row>
    <row r="559" spans="1:90" x14ac:dyDescent="0.25">
      <c r="A559" t="s">
        <v>1417</v>
      </c>
      <c r="B559" t="s">
        <v>1400</v>
      </c>
      <c r="C559" t="s">
        <v>74</v>
      </c>
      <c r="E559" t="str">
        <f>"009941567789"</f>
        <v>009941567789</v>
      </c>
      <c r="F559" s="3">
        <v>44615</v>
      </c>
      <c r="G559">
        <v>202208</v>
      </c>
      <c r="H559" t="s">
        <v>1436</v>
      </c>
      <c r="I559" t="s">
        <v>1437</v>
      </c>
      <c r="J559" t="s">
        <v>1401</v>
      </c>
      <c r="K559" t="s">
        <v>78</v>
      </c>
      <c r="L559" t="s">
        <v>1599</v>
      </c>
      <c r="M559" t="s">
        <v>1600</v>
      </c>
      <c r="N559" t="s">
        <v>1601</v>
      </c>
      <c r="O559" t="s">
        <v>80</v>
      </c>
      <c r="P559" t="str">
        <f t="shared" ref="P559:P565" si="5">"STORES                        "</f>
        <v xml:space="preserve">STORES                        </v>
      </c>
      <c r="Q559">
        <v>0</v>
      </c>
      <c r="R559">
        <v>0</v>
      </c>
      <c r="S559">
        <v>0</v>
      </c>
      <c r="T559">
        <v>0</v>
      </c>
      <c r="U559">
        <v>0</v>
      </c>
      <c r="V559">
        <v>0</v>
      </c>
      <c r="W559">
        <v>0</v>
      </c>
      <c r="X559">
        <v>0</v>
      </c>
      <c r="Y559">
        <v>0</v>
      </c>
      <c r="Z559">
        <v>0</v>
      </c>
      <c r="AA559">
        <v>0</v>
      </c>
      <c r="AB559">
        <v>0</v>
      </c>
      <c r="AC559">
        <v>0</v>
      </c>
      <c r="AD559">
        <v>0</v>
      </c>
      <c r="AE559">
        <v>0</v>
      </c>
      <c r="AF559">
        <v>0</v>
      </c>
      <c r="AG559">
        <v>0</v>
      </c>
      <c r="AH559">
        <v>0</v>
      </c>
      <c r="AI559">
        <v>0</v>
      </c>
      <c r="AJ559">
        <v>0</v>
      </c>
      <c r="AK559">
        <v>32.479999999999997</v>
      </c>
      <c r="AL559">
        <v>0</v>
      </c>
      <c r="AM559">
        <v>0</v>
      </c>
      <c r="AN559">
        <v>0</v>
      </c>
      <c r="AO559">
        <v>0</v>
      </c>
      <c r="AP559">
        <v>0</v>
      </c>
      <c r="AQ559">
        <v>0</v>
      </c>
      <c r="AR559">
        <v>0</v>
      </c>
      <c r="AS559">
        <v>0</v>
      </c>
      <c r="AT559">
        <v>0</v>
      </c>
      <c r="AU559">
        <v>0</v>
      </c>
      <c r="AV559">
        <v>0</v>
      </c>
      <c r="AW559">
        <v>0</v>
      </c>
      <c r="AX559">
        <v>0</v>
      </c>
      <c r="AY559">
        <v>0</v>
      </c>
      <c r="AZ559">
        <v>0</v>
      </c>
      <c r="BA559">
        <v>0</v>
      </c>
      <c r="BB559">
        <v>0</v>
      </c>
      <c r="BC559">
        <v>0</v>
      </c>
      <c r="BD559">
        <v>0</v>
      </c>
      <c r="BE559">
        <v>0</v>
      </c>
      <c r="BF559">
        <v>0</v>
      </c>
      <c r="BG559">
        <v>0</v>
      </c>
      <c r="BH559">
        <v>1</v>
      </c>
      <c r="BI559">
        <v>1</v>
      </c>
      <c r="BJ559">
        <v>0.2</v>
      </c>
      <c r="BK559">
        <v>1</v>
      </c>
      <c r="BL559">
        <v>116.84</v>
      </c>
      <c r="BM559">
        <v>17.53</v>
      </c>
      <c r="BN559">
        <v>134.37</v>
      </c>
      <c r="BO559">
        <v>134.37</v>
      </c>
      <c r="BQ559" t="s">
        <v>1602</v>
      </c>
      <c r="BR559" t="s">
        <v>1598</v>
      </c>
      <c r="BS559" s="3">
        <v>44616</v>
      </c>
      <c r="BT559" s="4">
        <v>0.64097222222222217</v>
      </c>
      <c r="BU559" t="s">
        <v>1603</v>
      </c>
      <c r="BV559" t="s">
        <v>101</v>
      </c>
      <c r="BY559">
        <v>1200</v>
      </c>
      <c r="BZ559" t="s">
        <v>87</v>
      </c>
      <c r="CA559">
        <v>9941667904</v>
      </c>
      <c r="CC559" t="s">
        <v>1600</v>
      </c>
      <c r="CD559">
        <v>1150</v>
      </c>
      <c r="CE559" t="s">
        <v>130</v>
      </c>
      <c r="CF559" s="3">
        <v>44617</v>
      </c>
      <c r="CI559">
        <v>2</v>
      </c>
      <c r="CJ559">
        <v>1</v>
      </c>
      <c r="CK559">
        <v>23</v>
      </c>
      <c r="CL559" t="s">
        <v>84</v>
      </c>
    </row>
    <row r="560" spans="1:90" x14ac:dyDescent="0.25">
      <c r="A560" t="s">
        <v>1417</v>
      </c>
      <c r="B560" t="s">
        <v>1400</v>
      </c>
      <c r="C560" t="s">
        <v>74</v>
      </c>
      <c r="E560" t="str">
        <f>"009936115825"</f>
        <v>009936115825</v>
      </c>
      <c r="F560" s="3">
        <v>44615</v>
      </c>
      <c r="G560">
        <v>202208</v>
      </c>
      <c r="H560" t="s">
        <v>1436</v>
      </c>
      <c r="I560" t="s">
        <v>1437</v>
      </c>
      <c r="J560" t="s">
        <v>1401</v>
      </c>
      <c r="K560" t="s">
        <v>78</v>
      </c>
      <c r="L560" t="s">
        <v>123</v>
      </c>
      <c r="M560" t="s">
        <v>124</v>
      </c>
      <c r="N560" t="s">
        <v>1401</v>
      </c>
      <c r="O560" t="s">
        <v>125</v>
      </c>
      <c r="P560" t="str">
        <f t="shared" si="5"/>
        <v xml:space="preserve">STORES                        </v>
      </c>
      <c r="Q560">
        <v>0</v>
      </c>
      <c r="R560">
        <v>0</v>
      </c>
      <c r="S560">
        <v>0</v>
      </c>
      <c r="T560">
        <v>0</v>
      </c>
      <c r="U560">
        <v>0</v>
      </c>
      <c r="V560">
        <v>0</v>
      </c>
      <c r="W560">
        <v>0</v>
      </c>
      <c r="X560">
        <v>0</v>
      </c>
      <c r="Y560">
        <v>0</v>
      </c>
      <c r="Z560">
        <v>0</v>
      </c>
      <c r="AA560">
        <v>0</v>
      </c>
      <c r="AB560">
        <v>0</v>
      </c>
      <c r="AC560">
        <v>0</v>
      </c>
      <c r="AD560">
        <v>0</v>
      </c>
      <c r="AE560">
        <v>0</v>
      </c>
      <c r="AF560">
        <v>0</v>
      </c>
      <c r="AG560">
        <v>0</v>
      </c>
      <c r="AH560">
        <v>0</v>
      </c>
      <c r="AI560">
        <v>0</v>
      </c>
      <c r="AJ560">
        <v>0</v>
      </c>
      <c r="AK560">
        <v>32.42</v>
      </c>
      <c r="AL560">
        <v>0</v>
      </c>
      <c r="AM560">
        <v>0</v>
      </c>
      <c r="AN560">
        <v>0</v>
      </c>
      <c r="AO560">
        <v>0</v>
      </c>
      <c r="AP560">
        <v>0</v>
      </c>
      <c r="AQ560">
        <v>0</v>
      </c>
      <c r="AR560">
        <v>0</v>
      </c>
      <c r="AS560">
        <v>0</v>
      </c>
      <c r="AT560">
        <v>0</v>
      </c>
      <c r="AU560">
        <v>0</v>
      </c>
      <c r="AV560">
        <v>0</v>
      </c>
      <c r="AW560">
        <v>0</v>
      </c>
      <c r="AX560">
        <v>0</v>
      </c>
      <c r="AY560">
        <v>0</v>
      </c>
      <c r="AZ560">
        <v>0</v>
      </c>
      <c r="BA560">
        <v>0</v>
      </c>
      <c r="BB560">
        <v>0</v>
      </c>
      <c r="BC560">
        <v>0</v>
      </c>
      <c r="BD560">
        <v>0</v>
      </c>
      <c r="BE560">
        <v>0</v>
      </c>
      <c r="BF560">
        <v>0</v>
      </c>
      <c r="BG560">
        <v>0</v>
      </c>
      <c r="BH560">
        <v>1</v>
      </c>
      <c r="BI560">
        <v>3.7</v>
      </c>
      <c r="BJ560">
        <v>9.1</v>
      </c>
      <c r="BK560">
        <v>10</v>
      </c>
      <c r="BL560">
        <v>121.87</v>
      </c>
      <c r="BM560">
        <v>18.28</v>
      </c>
      <c r="BN560">
        <v>140.15</v>
      </c>
      <c r="BO560">
        <v>140.15</v>
      </c>
      <c r="BQ560" t="s">
        <v>733</v>
      </c>
      <c r="BR560" t="s">
        <v>1443</v>
      </c>
      <c r="BS560" s="3">
        <v>44617</v>
      </c>
      <c r="BT560" s="4">
        <v>0.52638888888888891</v>
      </c>
      <c r="BU560" t="s">
        <v>1604</v>
      </c>
      <c r="BV560" t="s">
        <v>101</v>
      </c>
      <c r="BY560">
        <v>45255.83</v>
      </c>
      <c r="BZ560" t="s">
        <v>137</v>
      </c>
      <c r="CA560" t="s">
        <v>1445</v>
      </c>
      <c r="CC560" t="s">
        <v>124</v>
      </c>
      <c r="CD560">
        <v>6045</v>
      </c>
      <c r="CE560" t="s">
        <v>130</v>
      </c>
      <c r="CF560" s="3">
        <v>44617</v>
      </c>
      <c r="CI560">
        <v>2</v>
      </c>
      <c r="CJ560">
        <v>2</v>
      </c>
      <c r="CK560">
        <v>41</v>
      </c>
      <c r="CL560" t="s">
        <v>84</v>
      </c>
    </row>
    <row r="561" spans="1:90" x14ac:dyDescent="0.25">
      <c r="A561" t="s">
        <v>1417</v>
      </c>
      <c r="B561" t="s">
        <v>1400</v>
      </c>
      <c r="C561" t="s">
        <v>74</v>
      </c>
      <c r="E561" t="str">
        <f>"009941915006"</f>
        <v>009941915006</v>
      </c>
      <c r="F561" s="3">
        <v>44615</v>
      </c>
      <c r="G561">
        <v>202208</v>
      </c>
      <c r="H561" t="s">
        <v>1436</v>
      </c>
      <c r="I561" t="s">
        <v>1437</v>
      </c>
      <c r="J561" t="s">
        <v>1401</v>
      </c>
      <c r="K561" t="s">
        <v>78</v>
      </c>
      <c r="L561" t="s">
        <v>496</v>
      </c>
      <c r="M561" t="s">
        <v>497</v>
      </c>
      <c r="N561" t="s">
        <v>1605</v>
      </c>
      <c r="O561" t="s">
        <v>125</v>
      </c>
      <c r="P561" t="str">
        <f t="shared" si="5"/>
        <v xml:space="preserve">STORES                        </v>
      </c>
      <c r="Q561">
        <v>0</v>
      </c>
      <c r="R561">
        <v>0</v>
      </c>
      <c r="S561">
        <v>0</v>
      </c>
      <c r="T561">
        <v>0</v>
      </c>
      <c r="U561">
        <v>0</v>
      </c>
      <c r="V561">
        <v>0</v>
      </c>
      <c r="W561">
        <v>0</v>
      </c>
      <c r="X561">
        <v>0</v>
      </c>
      <c r="Y561">
        <v>0</v>
      </c>
      <c r="Z561">
        <v>0</v>
      </c>
      <c r="AA561">
        <v>0</v>
      </c>
      <c r="AB561">
        <v>0</v>
      </c>
      <c r="AC561">
        <v>0</v>
      </c>
      <c r="AD561">
        <v>0</v>
      </c>
      <c r="AE561">
        <v>0</v>
      </c>
      <c r="AF561">
        <v>0</v>
      </c>
      <c r="AG561">
        <v>0</v>
      </c>
      <c r="AH561">
        <v>0</v>
      </c>
      <c r="AI561">
        <v>0</v>
      </c>
      <c r="AJ561">
        <v>0</v>
      </c>
      <c r="AK561">
        <v>32.42</v>
      </c>
      <c r="AL561">
        <v>0</v>
      </c>
      <c r="AM561">
        <v>0</v>
      </c>
      <c r="AN561">
        <v>0</v>
      </c>
      <c r="AO561">
        <v>0</v>
      </c>
      <c r="AP561">
        <v>0</v>
      </c>
      <c r="AQ561">
        <v>0</v>
      </c>
      <c r="AR561">
        <v>0</v>
      </c>
      <c r="AS561">
        <v>0</v>
      </c>
      <c r="AT561">
        <v>0</v>
      </c>
      <c r="AU561">
        <v>0</v>
      </c>
      <c r="AV561">
        <v>0</v>
      </c>
      <c r="AW561">
        <v>0</v>
      </c>
      <c r="AX561">
        <v>0</v>
      </c>
      <c r="AY561">
        <v>0</v>
      </c>
      <c r="AZ561">
        <v>0</v>
      </c>
      <c r="BA561">
        <v>0</v>
      </c>
      <c r="BB561">
        <v>0</v>
      </c>
      <c r="BC561">
        <v>0</v>
      </c>
      <c r="BD561">
        <v>0</v>
      </c>
      <c r="BE561">
        <v>0</v>
      </c>
      <c r="BF561">
        <v>0</v>
      </c>
      <c r="BG561">
        <v>0</v>
      </c>
      <c r="BH561">
        <v>1</v>
      </c>
      <c r="BI561">
        <v>3</v>
      </c>
      <c r="BJ561">
        <v>9.9</v>
      </c>
      <c r="BK561">
        <v>10</v>
      </c>
      <c r="BL561">
        <v>121.87</v>
      </c>
      <c r="BM561">
        <v>18.28</v>
      </c>
      <c r="BN561">
        <v>140.15</v>
      </c>
      <c r="BO561">
        <v>140.15</v>
      </c>
      <c r="BQ561" t="s">
        <v>1606</v>
      </c>
      <c r="BR561" t="s">
        <v>1443</v>
      </c>
      <c r="BS561" s="3">
        <v>44617</v>
      </c>
      <c r="BT561" s="4">
        <v>0.62847222222222221</v>
      </c>
      <c r="BU561" t="s">
        <v>1607</v>
      </c>
      <c r="BV561" t="s">
        <v>101</v>
      </c>
      <c r="BY561">
        <v>49645.440000000002</v>
      </c>
      <c r="BZ561" t="s">
        <v>137</v>
      </c>
      <c r="CC561" t="s">
        <v>497</v>
      </c>
      <c r="CD561">
        <v>6536</v>
      </c>
      <c r="CE561" t="s">
        <v>130</v>
      </c>
      <c r="CF561" s="3">
        <v>44617</v>
      </c>
      <c r="CI561">
        <v>2</v>
      </c>
      <c r="CJ561">
        <v>2</v>
      </c>
      <c r="CK561">
        <v>41</v>
      </c>
      <c r="CL561" t="s">
        <v>84</v>
      </c>
    </row>
    <row r="562" spans="1:90" x14ac:dyDescent="0.25">
      <c r="A562" t="s">
        <v>1417</v>
      </c>
      <c r="B562" t="s">
        <v>1400</v>
      </c>
      <c r="C562" t="s">
        <v>74</v>
      </c>
      <c r="E562" t="str">
        <f>"009940540529"</f>
        <v>009940540529</v>
      </c>
      <c r="F562" s="3">
        <v>44615</v>
      </c>
      <c r="G562">
        <v>202208</v>
      </c>
      <c r="H562" t="s">
        <v>1436</v>
      </c>
      <c r="I562" t="s">
        <v>1437</v>
      </c>
      <c r="J562" t="s">
        <v>1401</v>
      </c>
      <c r="K562" t="s">
        <v>78</v>
      </c>
      <c r="L562" t="s">
        <v>441</v>
      </c>
      <c r="M562" t="s">
        <v>442</v>
      </c>
      <c r="N562" t="s">
        <v>1401</v>
      </c>
      <c r="O562" t="s">
        <v>80</v>
      </c>
      <c r="P562" t="str">
        <f t="shared" si="5"/>
        <v xml:space="preserve">STORES                        </v>
      </c>
      <c r="Q562">
        <v>0</v>
      </c>
      <c r="R562">
        <v>0</v>
      </c>
      <c r="S562">
        <v>0</v>
      </c>
      <c r="T562">
        <v>0</v>
      </c>
      <c r="U562">
        <v>0</v>
      </c>
      <c r="V562">
        <v>0</v>
      </c>
      <c r="W562">
        <v>0</v>
      </c>
      <c r="X562">
        <v>0</v>
      </c>
      <c r="Y562">
        <v>0</v>
      </c>
      <c r="Z562">
        <v>0</v>
      </c>
      <c r="AA562">
        <v>0</v>
      </c>
      <c r="AB562">
        <v>0</v>
      </c>
      <c r="AC562">
        <v>0</v>
      </c>
      <c r="AD562">
        <v>0</v>
      </c>
      <c r="AE562">
        <v>0</v>
      </c>
      <c r="AF562">
        <v>0</v>
      </c>
      <c r="AG562">
        <v>0</v>
      </c>
      <c r="AH562">
        <v>0</v>
      </c>
      <c r="AI562">
        <v>0</v>
      </c>
      <c r="AJ562">
        <v>0</v>
      </c>
      <c r="AK562">
        <v>127.82</v>
      </c>
      <c r="AL562">
        <v>0</v>
      </c>
      <c r="AM562">
        <v>0</v>
      </c>
      <c r="AN562">
        <v>0</v>
      </c>
      <c r="AO562">
        <v>0</v>
      </c>
      <c r="AP562">
        <v>0</v>
      </c>
      <c r="AQ562">
        <v>0</v>
      </c>
      <c r="AR562">
        <v>0</v>
      </c>
      <c r="AS562">
        <v>0</v>
      </c>
      <c r="AT562">
        <v>0</v>
      </c>
      <c r="AU562">
        <v>0</v>
      </c>
      <c r="AV562">
        <v>0</v>
      </c>
      <c r="AW562">
        <v>0</v>
      </c>
      <c r="AX562">
        <v>0</v>
      </c>
      <c r="AY562">
        <v>0</v>
      </c>
      <c r="AZ562">
        <v>0</v>
      </c>
      <c r="BA562">
        <v>0</v>
      </c>
      <c r="BB562">
        <v>0</v>
      </c>
      <c r="BC562">
        <v>0</v>
      </c>
      <c r="BD562">
        <v>0</v>
      </c>
      <c r="BE562">
        <v>0</v>
      </c>
      <c r="BF562">
        <v>0</v>
      </c>
      <c r="BG562">
        <v>0</v>
      </c>
      <c r="BH562">
        <v>1</v>
      </c>
      <c r="BI562">
        <v>1.9</v>
      </c>
      <c r="BJ562">
        <v>8.1999999999999993</v>
      </c>
      <c r="BK562">
        <v>8.5</v>
      </c>
      <c r="BL562">
        <v>459.83</v>
      </c>
      <c r="BM562">
        <v>68.97</v>
      </c>
      <c r="BN562">
        <v>528.79999999999995</v>
      </c>
      <c r="BO562">
        <v>528.79999999999995</v>
      </c>
      <c r="BQ562" t="s">
        <v>733</v>
      </c>
      <c r="BR562" t="s">
        <v>1443</v>
      </c>
      <c r="BS562" s="3">
        <v>44616</v>
      </c>
      <c r="BT562" s="4">
        <v>0.39097222222222222</v>
      </c>
      <c r="BU562" t="s">
        <v>1608</v>
      </c>
      <c r="BV562" t="s">
        <v>101</v>
      </c>
      <c r="BY562">
        <v>40906.01</v>
      </c>
      <c r="BZ562" t="s">
        <v>87</v>
      </c>
      <c r="CA562" t="s">
        <v>1496</v>
      </c>
      <c r="CC562" t="s">
        <v>442</v>
      </c>
      <c r="CD562">
        <v>1034</v>
      </c>
      <c r="CE562" t="s">
        <v>130</v>
      </c>
      <c r="CF562" s="3">
        <v>44616</v>
      </c>
      <c r="CI562">
        <v>1</v>
      </c>
      <c r="CJ562">
        <v>1</v>
      </c>
      <c r="CK562">
        <v>23</v>
      </c>
      <c r="CL562" t="s">
        <v>84</v>
      </c>
    </row>
    <row r="563" spans="1:90" x14ac:dyDescent="0.25">
      <c r="A563" t="s">
        <v>1417</v>
      </c>
      <c r="B563" t="s">
        <v>1400</v>
      </c>
      <c r="C563" t="s">
        <v>74</v>
      </c>
      <c r="E563" t="str">
        <f>"009936115665"</f>
        <v>009936115665</v>
      </c>
      <c r="F563" s="3">
        <v>44615</v>
      </c>
      <c r="G563">
        <v>202208</v>
      </c>
      <c r="H563" t="s">
        <v>1436</v>
      </c>
      <c r="I563" t="s">
        <v>1437</v>
      </c>
      <c r="J563" t="s">
        <v>1401</v>
      </c>
      <c r="K563" t="s">
        <v>78</v>
      </c>
      <c r="L563" t="s">
        <v>123</v>
      </c>
      <c r="M563" t="s">
        <v>124</v>
      </c>
      <c r="N563" t="s">
        <v>1609</v>
      </c>
      <c r="O563" t="s">
        <v>80</v>
      </c>
      <c r="P563" t="str">
        <f t="shared" si="5"/>
        <v xml:space="preserve">STORES                        </v>
      </c>
      <c r="Q563">
        <v>0</v>
      </c>
      <c r="R563">
        <v>0</v>
      </c>
      <c r="S563">
        <v>0</v>
      </c>
      <c r="T563">
        <v>0</v>
      </c>
      <c r="U563">
        <v>0</v>
      </c>
      <c r="V563">
        <v>0</v>
      </c>
      <c r="W563">
        <v>0</v>
      </c>
      <c r="X563">
        <v>0</v>
      </c>
      <c r="Y563">
        <v>0</v>
      </c>
      <c r="Z563">
        <v>0</v>
      </c>
      <c r="AA563">
        <v>0</v>
      </c>
      <c r="AB563">
        <v>0</v>
      </c>
      <c r="AC563">
        <v>0</v>
      </c>
      <c r="AD563">
        <v>0</v>
      </c>
      <c r="AE563">
        <v>0</v>
      </c>
      <c r="AF563">
        <v>0</v>
      </c>
      <c r="AG563">
        <v>0</v>
      </c>
      <c r="AH563">
        <v>0</v>
      </c>
      <c r="AI563">
        <v>0</v>
      </c>
      <c r="AJ563">
        <v>0</v>
      </c>
      <c r="AK563">
        <v>16.760000000000002</v>
      </c>
      <c r="AL563">
        <v>0</v>
      </c>
      <c r="AM563">
        <v>0</v>
      </c>
      <c r="AN563">
        <v>0</v>
      </c>
      <c r="AO563">
        <v>0</v>
      </c>
      <c r="AP563">
        <v>0</v>
      </c>
      <c r="AQ563">
        <v>0</v>
      </c>
      <c r="AR563">
        <v>0</v>
      </c>
      <c r="AS563">
        <v>0</v>
      </c>
      <c r="AT563">
        <v>0</v>
      </c>
      <c r="AU563">
        <v>0</v>
      </c>
      <c r="AV563">
        <v>0</v>
      </c>
      <c r="AW563">
        <v>0</v>
      </c>
      <c r="AX563">
        <v>0</v>
      </c>
      <c r="AY563">
        <v>0</v>
      </c>
      <c r="AZ563">
        <v>0</v>
      </c>
      <c r="BA563">
        <v>0</v>
      </c>
      <c r="BB563">
        <v>0</v>
      </c>
      <c r="BC563">
        <v>0</v>
      </c>
      <c r="BD563">
        <v>0</v>
      </c>
      <c r="BE563">
        <v>0</v>
      </c>
      <c r="BF563">
        <v>0</v>
      </c>
      <c r="BG563">
        <v>0</v>
      </c>
      <c r="BH563">
        <v>1</v>
      </c>
      <c r="BI563">
        <v>1</v>
      </c>
      <c r="BJ563">
        <v>0.2</v>
      </c>
      <c r="BK563">
        <v>1</v>
      </c>
      <c r="BL563">
        <v>60.3</v>
      </c>
      <c r="BM563">
        <v>9.0500000000000007</v>
      </c>
      <c r="BN563">
        <v>69.349999999999994</v>
      </c>
      <c r="BO563">
        <v>69.349999999999994</v>
      </c>
      <c r="BQ563" t="s">
        <v>733</v>
      </c>
      <c r="BR563" t="s">
        <v>1443</v>
      </c>
      <c r="BS563" s="3">
        <v>44616</v>
      </c>
      <c r="BT563" s="4">
        <v>0.36874999999999997</v>
      </c>
      <c r="BU563" t="s">
        <v>1541</v>
      </c>
      <c r="BV563" t="s">
        <v>101</v>
      </c>
      <c r="BY563">
        <v>1200</v>
      </c>
      <c r="BZ563" t="s">
        <v>87</v>
      </c>
      <c r="CA563" t="s">
        <v>1445</v>
      </c>
      <c r="CC563" t="s">
        <v>124</v>
      </c>
      <c r="CD563">
        <v>6045</v>
      </c>
      <c r="CE563" t="s">
        <v>130</v>
      </c>
      <c r="CF563" s="3">
        <v>44617</v>
      </c>
      <c r="CI563">
        <v>1</v>
      </c>
      <c r="CJ563">
        <v>1</v>
      </c>
      <c r="CK563">
        <v>21</v>
      </c>
      <c r="CL563" t="s">
        <v>84</v>
      </c>
    </row>
    <row r="564" spans="1:90" x14ac:dyDescent="0.25">
      <c r="A564" t="s">
        <v>1417</v>
      </c>
      <c r="B564" t="s">
        <v>1400</v>
      </c>
      <c r="C564" t="s">
        <v>74</v>
      </c>
      <c r="E564" t="str">
        <f>"009941916054"</f>
        <v>009941916054</v>
      </c>
      <c r="F564" s="3">
        <v>44615</v>
      </c>
      <c r="G564">
        <v>202208</v>
      </c>
      <c r="H564" t="s">
        <v>1436</v>
      </c>
      <c r="I564" t="s">
        <v>1437</v>
      </c>
      <c r="J564" t="s">
        <v>1401</v>
      </c>
      <c r="K564" t="s">
        <v>78</v>
      </c>
      <c r="L564" t="s">
        <v>481</v>
      </c>
      <c r="M564" t="s">
        <v>482</v>
      </c>
      <c r="N564" t="s">
        <v>1488</v>
      </c>
      <c r="O564" t="s">
        <v>125</v>
      </c>
      <c r="P564" t="str">
        <f t="shared" si="5"/>
        <v xml:space="preserve">STORES                        </v>
      </c>
      <c r="Q564">
        <v>0</v>
      </c>
      <c r="R564">
        <v>0</v>
      </c>
      <c r="S564">
        <v>0</v>
      </c>
      <c r="T564">
        <v>0</v>
      </c>
      <c r="U564">
        <v>0</v>
      </c>
      <c r="V564">
        <v>0</v>
      </c>
      <c r="W564">
        <v>0</v>
      </c>
      <c r="X564">
        <v>0</v>
      </c>
      <c r="Y564">
        <v>0</v>
      </c>
      <c r="Z564">
        <v>0</v>
      </c>
      <c r="AA564">
        <v>0</v>
      </c>
      <c r="AB564">
        <v>0</v>
      </c>
      <c r="AC564">
        <v>0</v>
      </c>
      <c r="AD564">
        <v>0</v>
      </c>
      <c r="AE564">
        <v>0</v>
      </c>
      <c r="AF564">
        <v>0</v>
      </c>
      <c r="AG564">
        <v>0</v>
      </c>
      <c r="AH564">
        <v>0</v>
      </c>
      <c r="AI564">
        <v>0</v>
      </c>
      <c r="AJ564">
        <v>0</v>
      </c>
      <c r="AK564">
        <v>174.25</v>
      </c>
      <c r="AL564">
        <v>0</v>
      </c>
      <c r="AM564">
        <v>0</v>
      </c>
      <c r="AN564">
        <v>0</v>
      </c>
      <c r="AO564">
        <v>0</v>
      </c>
      <c r="AP564">
        <v>0</v>
      </c>
      <c r="AQ564">
        <v>0</v>
      </c>
      <c r="AR564">
        <v>0</v>
      </c>
      <c r="AS564">
        <v>0</v>
      </c>
      <c r="AT564">
        <v>0</v>
      </c>
      <c r="AU564">
        <v>0</v>
      </c>
      <c r="AV564">
        <v>0</v>
      </c>
      <c r="AW564">
        <v>0</v>
      </c>
      <c r="AX564">
        <v>0</v>
      </c>
      <c r="AY564">
        <v>0</v>
      </c>
      <c r="AZ564">
        <v>0</v>
      </c>
      <c r="BA564">
        <v>0</v>
      </c>
      <c r="BB564">
        <v>0</v>
      </c>
      <c r="BC564">
        <v>0</v>
      </c>
      <c r="BD564">
        <v>0</v>
      </c>
      <c r="BE564">
        <v>0</v>
      </c>
      <c r="BF564">
        <v>0</v>
      </c>
      <c r="BG564">
        <v>0</v>
      </c>
      <c r="BH564">
        <v>2</v>
      </c>
      <c r="BI564">
        <v>25.9</v>
      </c>
      <c r="BJ564">
        <v>69.3</v>
      </c>
      <c r="BK564">
        <v>70</v>
      </c>
      <c r="BL564">
        <v>632.1</v>
      </c>
      <c r="BM564">
        <v>94.82</v>
      </c>
      <c r="BN564">
        <v>726.92</v>
      </c>
      <c r="BO564">
        <v>726.92</v>
      </c>
      <c r="BQ564" t="s">
        <v>733</v>
      </c>
      <c r="BR564" t="s">
        <v>733</v>
      </c>
      <c r="BS564" s="3">
        <v>44620</v>
      </c>
      <c r="BT564" s="4">
        <v>0.33333333333333331</v>
      </c>
      <c r="BU564" t="s">
        <v>1610</v>
      </c>
      <c r="BV564" t="s">
        <v>101</v>
      </c>
      <c r="BY564">
        <v>346560.67</v>
      </c>
      <c r="BZ564" t="s">
        <v>137</v>
      </c>
      <c r="CC564" t="s">
        <v>482</v>
      </c>
      <c r="CD564">
        <v>9700</v>
      </c>
      <c r="CE564" t="s">
        <v>130</v>
      </c>
      <c r="CI564">
        <v>1</v>
      </c>
      <c r="CJ564">
        <v>3</v>
      </c>
      <c r="CK564">
        <v>43</v>
      </c>
      <c r="CL564" t="s">
        <v>84</v>
      </c>
    </row>
    <row r="565" spans="1:90" x14ac:dyDescent="0.25">
      <c r="A565" t="s">
        <v>1417</v>
      </c>
      <c r="B565" t="s">
        <v>1400</v>
      </c>
      <c r="C565" t="s">
        <v>74</v>
      </c>
      <c r="E565" t="str">
        <f>"009941916055"</f>
        <v>009941916055</v>
      </c>
      <c r="F565" s="3">
        <v>44615</v>
      </c>
      <c r="G565">
        <v>202208</v>
      </c>
      <c r="H565" t="s">
        <v>1436</v>
      </c>
      <c r="I565" t="s">
        <v>1437</v>
      </c>
      <c r="J565" t="s">
        <v>1401</v>
      </c>
      <c r="K565" t="s">
        <v>78</v>
      </c>
      <c r="L565" t="s">
        <v>159</v>
      </c>
      <c r="M565" t="s">
        <v>160</v>
      </c>
      <c r="N565" t="s">
        <v>1401</v>
      </c>
      <c r="O565" t="s">
        <v>125</v>
      </c>
      <c r="P565" t="str">
        <f t="shared" si="5"/>
        <v xml:space="preserve">STORES                        </v>
      </c>
      <c r="Q565">
        <v>0</v>
      </c>
      <c r="R565">
        <v>0</v>
      </c>
      <c r="S565">
        <v>0</v>
      </c>
      <c r="T565">
        <v>0</v>
      </c>
      <c r="U565">
        <v>0</v>
      </c>
      <c r="V565">
        <v>0</v>
      </c>
      <c r="W565">
        <v>0</v>
      </c>
      <c r="X565">
        <v>0</v>
      </c>
      <c r="Y565">
        <v>0</v>
      </c>
      <c r="Z565">
        <v>0</v>
      </c>
      <c r="AA565">
        <v>0</v>
      </c>
      <c r="AB565">
        <v>0</v>
      </c>
      <c r="AC565">
        <v>0</v>
      </c>
      <c r="AD565">
        <v>0</v>
      </c>
      <c r="AE565">
        <v>0</v>
      </c>
      <c r="AF565">
        <v>0</v>
      </c>
      <c r="AG565">
        <v>0</v>
      </c>
      <c r="AH565">
        <v>0</v>
      </c>
      <c r="AI565">
        <v>0</v>
      </c>
      <c r="AJ565">
        <v>0</v>
      </c>
      <c r="AK565">
        <v>150.88</v>
      </c>
      <c r="AL565">
        <v>0</v>
      </c>
      <c r="AM565">
        <v>0</v>
      </c>
      <c r="AN565">
        <v>0</v>
      </c>
      <c r="AO565">
        <v>0</v>
      </c>
      <c r="AP565">
        <v>0</v>
      </c>
      <c r="AQ565">
        <v>0</v>
      </c>
      <c r="AR565">
        <v>0</v>
      </c>
      <c r="AS565">
        <v>0</v>
      </c>
      <c r="AT565">
        <v>0</v>
      </c>
      <c r="AU565">
        <v>0</v>
      </c>
      <c r="AV565">
        <v>0</v>
      </c>
      <c r="AW565">
        <v>0</v>
      </c>
      <c r="AX565">
        <v>0</v>
      </c>
      <c r="AY565">
        <v>0</v>
      </c>
      <c r="AZ565">
        <v>0</v>
      </c>
      <c r="BA565">
        <v>0</v>
      </c>
      <c r="BB565">
        <v>0</v>
      </c>
      <c r="BC565">
        <v>0</v>
      </c>
      <c r="BD565">
        <v>0</v>
      </c>
      <c r="BE565">
        <v>0</v>
      </c>
      <c r="BF565">
        <v>0</v>
      </c>
      <c r="BG565">
        <v>0</v>
      </c>
      <c r="BH565">
        <v>2</v>
      </c>
      <c r="BI565">
        <v>29.4</v>
      </c>
      <c r="BJ565">
        <v>60</v>
      </c>
      <c r="BK565">
        <v>60</v>
      </c>
      <c r="BL565">
        <v>548.03</v>
      </c>
      <c r="BM565">
        <v>82.2</v>
      </c>
      <c r="BN565">
        <v>630.23</v>
      </c>
      <c r="BO565">
        <v>630.23</v>
      </c>
      <c r="BQ565" t="s">
        <v>733</v>
      </c>
      <c r="BR565" t="s">
        <v>733</v>
      </c>
      <c r="BS565" s="3">
        <v>44618</v>
      </c>
      <c r="BT565" s="4">
        <v>0.375</v>
      </c>
      <c r="BU565" t="s">
        <v>1611</v>
      </c>
      <c r="BV565" t="s">
        <v>101</v>
      </c>
      <c r="BY565">
        <v>300091.45</v>
      </c>
      <c r="BZ565" t="s">
        <v>137</v>
      </c>
      <c r="CC565" t="s">
        <v>160</v>
      </c>
      <c r="CD565">
        <v>9459</v>
      </c>
      <c r="CE565" t="s">
        <v>130</v>
      </c>
      <c r="CF565" s="3">
        <v>44620</v>
      </c>
      <c r="CI565">
        <v>1</v>
      </c>
      <c r="CJ565">
        <v>2</v>
      </c>
      <c r="CK565">
        <v>43</v>
      </c>
      <c r="CL565" t="s">
        <v>84</v>
      </c>
    </row>
    <row r="566" spans="1:90" x14ac:dyDescent="0.25">
      <c r="A566" t="s">
        <v>1417</v>
      </c>
      <c r="B566" t="s">
        <v>1400</v>
      </c>
      <c r="C566" t="s">
        <v>74</v>
      </c>
      <c r="E566" t="str">
        <f>"009941940277"</f>
        <v>009941940277</v>
      </c>
      <c r="F566" s="3">
        <v>44615</v>
      </c>
      <c r="G566">
        <v>202208</v>
      </c>
      <c r="H566" t="s">
        <v>159</v>
      </c>
      <c r="I566" t="s">
        <v>160</v>
      </c>
      <c r="J566" t="s">
        <v>1523</v>
      </c>
      <c r="K566" t="s">
        <v>78</v>
      </c>
      <c r="L566" t="s">
        <v>153</v>
      </c>
      <c r="M566" t="s">
        <v>154</v>
      </c>
      <c r="N566" t="s">
        <v>1401</v>
      </c>
      <c r="O566" t="s">
        <v>125</v>
      </c>
      <c r="P566" t="str">
        <f>"                              "</f>
        <v xml:space="preserve">                              </v>
      </c>
      <c r="Q566">
        <v>0</v>
      </c>
      <c r="R566">
        <v>0</v>
      </c>
      <c r="S566">
        <v>0</v>
      </c>
      <c r="T566">
        <v>0</v>
      </c>
      <c r="U566">
        <v>0</v>
      </c>
      <c r="V566">
        <v>0</v>
      </c>
      <c r="W566">
        <v>0</v>
      </c>
      <c r="X566">
        <v>0</v>
      </c>
      <c r="Y566">
        <v>0</v>
      </c>
      <c r="Z566">
        <v>0</v>
      </c>
      <c r="AA566">
        <v>0</v>
      </c>
      <c r="AB566">
        <v>0</v>
      </c>
      <c r="AC566">
        <v>0</v>
      </c>
      <c r="AD566">
        <v>0</v>
      </c>
      <c r="AE566">
        <v>0</v>
      </c>
      <c r="AF566">
        <v>0</v>
      </c>
      <c r="AG566">
        <v>0</v>
      </c>
      <c r="AH566">
        <v>0</v>
      </c>
      <c r="AI566">
        <v>0</v>
      </c>
      <c r="AJ566">
        <v>0</v>
      </c>
      <c r="AK566">
        <v>164.9</v>
      </c>
      <c r="AL566">
        <v>0</v>
      </c>
      <c r="AM566">
        <v>0</v>
      </c>
      <c r="AN566">
        <v>0</v>
      </c>
      <c r="AO566">
        <v>0</v>
      </c>
      <c r="AP566">
        <v>0</v>
      </c>
      <c r="AQ566">
        <v>0</v>
      </c>
      <c r="AR566">
        <v>0</v>
      </c>
      <c r="AS566">
        <v>0</v>
      </c>
      <c r="AT566">
        <v>0</v>
      </c>
      <c r="AU566">
        <v>0</v>
      </c>
      <c r="AV566">
        <v>0</v>
      </c>
      <c r="AW566">
        <v>0</v>
      </c>
      <c r="AX566">
        <v>0</v>
      </c>
      <c r="AY566">
        <v>0</v>
      </c>
      <c r="AZ566">
        <v>0</v>
      </c>
      <c r="BA566">
        <v>0</v>
      </c>
      <c r="BB566">
        <v>0</v>
      </c>
      <c r="BC566">
        <v>0</v>
      </c>
      <c r="BD566">
        <v>0</v>
      </c>
      <c r="BE566">
        <v>0</v>
      </c>
      <c r="BF566">
        <v>0</v>
      </c>
      <c r="BG566">
        <v>0</v>
      </c>
      <c r="BH566">
        <v>10</v>
      </c>
      <c r="BI566">
        <v>65.5</v>
      </c>
      <c r="BJ566">
        <v>63.2</v>
      </c>
      <c r="BK566">
        <v>66</v>
      </c>
      <c r="BL566">
        <v>598.47</v>
      </c>
      <c r="BM566">
        <v>89.77</v>
      </c>
      <c r="BN566">
        <v>688.24</v>
      </c>
      <c r="BO566">
        <v>688.24</v>
      </c>
      <c r="BS566" s="3">
        <v>44616</v>
      </c>
      <c r="BT566" s="4">
        <v>0.52569444444444446</v>
      </c>
      <c r="BU566" t="s">
        <v>1544</v>
      </c>
      <c r="BV566" t="s">
        <v>101</v>
      </c>
      <c r="BY566">
        <v>316083.28999999998</v>
      </c>
      <c r="BZ566" t="s">
        <v>137</v>
      </c>
      <c r="CA566" t="s">
        <v>1568</v>
      </c>
      <c r="CC566" t="s">
        <v>154</v>
      </c>
      <c r="CD566">
        <v>2054</v>
      </c>
      <c r="CE566" t="s">
        <v>130</v>
      </c>
      <c r="CF566" s="3">
        <v>44617</v>
      </c>
      <c r="CI566">
        <v>1</v>
      </c>
      <c r="CJ566">
        <v>1</v>
      </c>
      <c r="CK566">
        <v>43</v>
      </c>
      <c r="CL566" t="s">
        <v>84</v>
      </c>
    </row>
    <row r="567" spans="1:90" x14ac:dyDescent="0.25">
      <c r="A567" t="s">
        <v>1417</v>
      </c>
      <c r="B567" t="s">
        <v>1400</v>
      </c>
      <c r="C567" t="s">
        <v>74</v>
      </c>
      <c r="E567" t="str">
        <f>"009940799453"</f>
        <v>009940799453</v>
      </c>
      <c r="F567" s="3">
        <v>44615</v>
      </c>
      <c r="G567">
        <v>202208</v>
      </c>
      <c r="H567" t="s">
        <v>401</v>
      </c>
      <c r="I567" t="s">
        <v>402</v>
      </c>
      <c r="J567" t="s">
        <v>1547</v>
      </c>
      <c r="K567" t="s">
        <v>78</v>
      </c>
      <c r="L567" t="s">
        <v>153</v>
      </c>
      <c r="M567" t="s">
        <v>154</v>
      </c>
      <c r="N567" t="s">
        <v>1523</v>
      </c>
      <c r="O567" t="s">
        <v>125</v>
      </c>
      <c r="P567" t="str">
        <f>"                              "</f>
        <v xml:space="preserve">                              </v>
      </c>
      <c r="Q567">
        <v>0</v>
      </c>
      <c r="R567">
        <v>0</v>
      </c>
      <c r="S567">
        <v>0</v>
      </c>
      <c r="T567">
        <v>0</v>
      </c>
      <c r="U567">
        <v>0</v>
      </c>
      <c r="V567">
        <v>0</v>
      </c>
      <c r="W567">
        <v>0</v>
      </c>
      <c r="X567">
        <v>0</v>
      </c>
      <c r="Y567">
        <v>0</v>
      </c>
      <c r="Z567">
        <v>0</v>
      </c>
      <c r="AA567">
        <v>0</v>
      </c>
      <c r="AB567">
        <v>0</v>
      </c>
      <c r="AC567">
        <v>0</v>
      </c>
      <c r="AD567">
        <v>0</v>
      </c>
      <c r="AE567">
        <v>0</v>
      </c>
      <c r="AF567">
        <v>0</v>
      </c>
      <c r="AG567">
        <v>0</v>
      </c>
      <c r="AH567">
        <v>0</v>
      </c>
      <c r="AI567">
        <v>0</v>
      </c>
      <c r="AJ567">
        <v>0</v>
      </c>
      <c r="AK567">
        <v>32.42</v>
      </c>
      <c r="AL567">
        <v>0</v>
      </c>
      <c r="AM567">
        <v>0</v>
      </c>
      <c r="AN567">
        <v>0</v>
      </c>
      <c r="AO567">
        <v>0</v>
      </c>
      <c r="AP567">
        <v>0</v>
      </c>
      <c r="AQ567">
        <v>0</v>
      </c>
      <c r="AR567">
        <v>0</v>
      </c>
      <c r="AS567">
        <v>0</v>
      </c>
      <c r="AT567">
        <v>0</v>
      </c>
      <c r="AU567">
        <v>0</v>
      </c>
      <c r="AV567">
        <v>0</v>
      </c>
      <c r="AW567">
        <v>0</v>
      </c>
      <c r="AX567">
        <v>0</v>
      </c>
      <c r="AY567">
        <v>0</v>
      </c>
      <c r="AZ567">
        <v>0</v>
      </c>
      <c r="BA567">
        <v>0</v>
      </c>
      <c r="BB567">
        <v>0</v>
      </c>
      <c r="BC567">
        <v>0</v>
      </c>
      <c r="BD567">
        <v>0</v>
      </c>
      <c r="BE567">
        <v>0</v>
      </c>
      <c r="BF567">
        <v>0</v>
      </c>
      <c r="BG567">
        <v>0</v>
      </c>
      <c r="BH567">
        <v>1</v>
      </c>
      <c r="BI567">
        <v>1</v>
      </c>
      <c r="BJ567">
        <v>0.2</v>
      </c>
      <c r="BK567">
        <v>1</v>
      </c>
      <c r="BL567">
        <v>121.87</v>
      </c>
      <c r="BM567">
        <v>18.28</v>
      </c>
      <c r="BN567">
        <v>140.15</v>
      </c>
      <c r="BO567">
        <v>140.15</v>
      </c>
      <c r="BQ567" t="s">
        <v>1612</v>
      </c>
      <c r="BR567" t="s">
        <v>1466</v>
      </c>
      <c r="BS567" s="3">
        <v>44616</v>
      </c>
      <c r="BT567" s="4">
        <v>0.3923611111111111</v>
      </c>
      <c r="BU567" t="s">
        <v>1613</v>
      </c>
      <c r="BV567" t="s">
        <v>101</v>
      </c>
      <c r="BY567">
        <v>1200</v>
      </c>
      <c r="BZ567" t="s">
        <v>137</v>
      </c>
      <c r="CA567" t="s">
        <v>1405</v>
      </c>
      <c r="CC567" t="s">
        <v>154</v>
      </c>
      <c r="CD567">
        <v>2090</v>
      </c>
      <c r="CE567" t="s">
        <v>130</v>
      </c>
      <c r="CF567" s="3">
        <v>44616</v>
      </c>
      <c r="CI567">
        <v>1</v>
      </c>
      <c r="CJ567">
        <v>1</v>
      </c>
      <c r="CK567">
        <v>41</v>
      </c>
      <c r="CL567" t="s">
        <v>84</v>
      </c>
    </row>
    <row r="568" spans="1:90" x14ac:dyDescent="0.25">
      <c r="A568" t="s">
        <v>1417</v>
      </c>
      <c r="B568" t="s">
        <v>1400</v>
      </c>
      <c r="C568" t="s">
        <v>74</v>
      </c>
      <c r="E568" t="str">
        <f>"009941916053"</f>
        <v>009941916053</v>
      </c>
      <c r="F568" s="3">
        <v>44615</v>
      </c>
      <c r="G568">
        <v>202208</v>
      </c>
      <c r="H568" t="s">
        <v>1436</v>
      </c>
      <c r="I568" t="s">
        <v>1437</v>
      </c>
      <c r="J568" t="s">
        <v>1401</v>
      </c>
      <c r="K568" t="s">
        <v>78</v>
      </c>
      <c r="L568" t="s">
        <v>282</v>
      </c>
      <c r="M568" t="s">
        <v>283</v>
      </c>
      <c r="N568" t="s">
        <v>1401</v>
      </c>
      <c r="O568" t="s">
        <v>125</v>
      </c>
      <c r="P568" t="str">
        <f>"STORES                        "</f>
        <v xml:space="preserve">STORES                        </v>
      </c>
      <c r="Q568">
        <v>0</v>
      </c>
      <c r="R568">
        <v>0</v>
      </c>
      <c r="S568">
        <v>0</v>
      </c>
      <c r="T568">
        <v>0</v>
      </c>
      <c r="U568">
        <v>0</v>
      </c>
      <c r="V568">
        <v>0</v>
      </c>
      <c r="W568">
        <v>0</v>
      </c>
      <c r="X568">
        <v>0</v>
      </c>
      <c r="Y568">
        <v>0</v>
      </c>
      <c r="Z568">
        <v>0</v>
      </c>
      <c r="AA568">
        <v>0</v>
      </c>
      <c r="AB568">
        <v>0</v>
      </c>
      <c r="AC568">
        <v>0</v>
      </c>
      <c r="AD568">
        <v>0</v>
      </c>
      <c r="AE568">
        <v>0</v>
      </c>
      <c r="AF568">
        <v>0</v>
      </c>
      <c r="AG568">
        <v>0</v>
      </c>
      <c r="AH568">
        <v>0</v>
      </c>
      <c r="AI568">
        <v>0</v>
      </c>
      <c r="AJ568">
        <v>0</v>
      </c>
      <c r="AK568">
        <v>896.37</v>
      </c>
      <c r="AL568">
        <v>0</v>
      </c>
      <c r="AM568">
        <v>0</v>
      </c>
      <c r="AN568">
        <v>0</v>
      </c>
      <c r="AO568">
        <v>0</v>
      </c>
      <c r="AP568">
        <v>0</v>
      </c>
      <c r="AQ568">
        <v>0</v>
      </c>
      <c r="AR568">
        <v>0</v>
      </c>
      <c r="AS568">
        <v>0</v>
      </c>
      <c r="AT568">
        <v>0</v>
      </c>
      <c r="AU568">
        <v>0</v>
      </c>
      <c r="AV568">
        <v>0</v>
      </c>
      <c r="AW568">
        <v>0</v>
      </c>
      <c r="AX568">
        <v>0</v>
      </c>
      <c r="AY568">
        <v>0</v>
      </c>
      <c r="AZ568">
        <v>0</v>
      </c>
      <c r="BA568">
        <v>0</v>
      </c>
      <c r="BB568">
        <v>0</v>
      </c>
      <c r="BC568">
        <v>0</v>
      </c>
      <c r="BD568">
        <v>0</v>
      </c>
      <c r="BE568">
        <v>0</v>
      </c>
      <c r="BF568">
        <v>0</v>
      </c>
      <c r="BG568">
        <v>0</v>
      </c>
      <c r="BH568">
        <v>1</v>
      </c>
      <c r="BI568">
        <v>379</v>
      </c>
      <c r="BJ568">
        <v>180.5</v>
      </c>
      <c r="BK568">
        <v>379</v>
      </c>
      <c r="BL568">
        <v>3229.85</v>
      </c>
      <c r="BM568">
        <v>484.48</v>
      </c>
      <c r="BN568">
        <v>3714.33</v>
      </c>
      <c r="BO568">
        <v>3714.33</v>
      </c>
      <c r="BQ568" t="s">
        <v>1614</v>
      </c>
      <c r="BR568" t="s">
        <v>733</v>
      </c>
      <c r="BS568" s="3">
        <v>44616</v>
      </c>
      <c r="BT568" s="4">
        <v>0.56319444444444444</v>
      </c>
      <c r="BU568" t="s">
        <v>1615</v>
      </c>
      <c r="BV568" t="s">
        <v>101</v>
      </c>
      <c r="BY568">
        <v>902500</v>
      </c>
      <c r="BZ568" t="s">
        <v>137</v>
      </c>
      <c r="CA568" t="s">
        <v>1616</v>
      </c>
      <c r="CC568" t="s">
        <v>283</v>
      </c>
      <c r="CD568">
        <v>299</v>
      </c>
      <c r="CE568" t="s">
        <v>130</v>
      </c>
      <c r="CF568" s="3">
        <v>44617</v>
      </c>
      <c r="CI568">
        <v>1</v>
      </c>
      <c r="CJ568">
        <v>1</v>
      </c>
      <c r="CK568">
        <v>43</v>
      </c>
      <c r="CL568" t="s">
        <v>84</v>
      </c>
    </row>
    <row r="569" spans="1:90" x14ac:dyDescent="0.25">
      <c r="A569" t="s">
        <v>1417</v>
      </c>
      <c r="B569" t="s">
        <v>1400</v>
      </c>
      <c r="C569" t="s">
        <v>74</v>
      </c>
      <c r="E569" t="str">
        <f>"009940956757"</f>
        <v>009940956757</v>
      </c>
      <c r="F569" s="3">
        <v>44615</v>
      </c>
      <c r="G569">
        <v>202208</v>
      </c>
      <c r="H569" t="s">
        <v>1436</v>
      </c>
      <c r="I569" t="s">
        <v>1437</v>
      </c>
      <c r="J569" t="s">
        <v>1401</v>
      </c>
      <c r="K569" t="s">
        <v>78</v>
      </c>
      <c r="L569" t="s">
        <v>441</v>
      </c>
      <c r="M569" t="s">
        <v>442</v>
      </c>
      <c r="N569" t="s">
        <v>1401</v>
      </c>
      <c r="O569" t="s">
        <v>125</v>
      </c>
      <c r="P569" t="str">
        <f>"STORES                        "</f>
        <v xml:space="preserve">STORES                        </v>
      </c>
      <c r="Q569">
        <v>0</v>
      </c>
      <c r="R569">
        <v>0</v>
      </c>
      <c r="S569">
        <v>0</v>
      </c>
      <c r="T569">
        <v>0</v>
      </c>
      <c r="U569">
        <v>0</v>
      </c>
      <c r="V569">
        <v>0</v>
      </c>
      <c r="W569">
        <v>0</v>
      </c>
      <c r="X569">
        <v>0</v>
      </c>
      <c r="Y569">
        <v>0</v>
      </c>
      <c r="Z569">
        <v>0</v>
      </c>
      <c r="AA569">
        <v>0</v>
      </c>
      <c r="AB569">
        <v>0</v>
      </c>
      <c r="AC569">
        <v>0</v>
      </c>
      <c r="AD569">
        <v>0</v>
      </c>
      <c r="AE569">
        <v>0</v>
      </c>
      <c r="AF569">
        <v>0</v>
      </c>
      <c r="AG569">
        <v>0</v>
      </c>
      <c r="AH569">
        <v>0</v>
      </c>
      <c r="AI569">
        <v>0</v>
      </c>
      <c r="AJ569">
        <v>0</v>
      </c>
      <c r="AK569">
        <v>328.49</v>
      </c>
      <c r="AL569">
        <v>0</v>
      </c>
      <c r="AM569">
        <v>0</v>
      </c>
      <c r="AN569">
        <v>0</v>
      </c>
      <c r="AO569">
        <v>0</v>
      </c>
      <c r="AP569">
        <v>0</v>
      </c>
      <c r="AQ569">
        <v>0</v>
      </c>
      <c r="AR569">
        <v>0</v>
      </c>
      <c r="AS569">
        <v>0</v>
      </c>
      <c r="AT569">
        <v>0</v>
      </c>
      <c r="AU569">
        <v>0</v>
      </c>
      <c r="AV569">
        <v>0</v>
      </c>
      <c r="AW569">
        <v>0</v>
      </c>
      <c r="AX569">
        <v>0</v>
      </c>
      <c r="AY569">
        <v>0</v>
      </c>
      <c r="AZ569">
        <v>0</v>
      </c>
      <c r="BA569">
        <v>0</v>
      </c>
      <c r="BB569">
        <v>0</v>
      </c>
      <c r="BC569">
        <v>0</v>
      </c>
      <c r="BD569">
        <v>0</v>
      </c>
      <c r="BE569">
        <v>0</v>
      </c>
      <c r="BF569">
        <v>0</v>
      </c>
      <c r="BG569">
        <v>0</v>
      </c>
      <c r="BH569">
        <v>5</v>
      </c>
      <c r="BI569">
        <v>118.2</v>
      </c>
      <c r="BJ569">
        <v>135.9</v>
      </c>
      <c r="BK569">
        <v>136</v>
      </c>
      <c r="BL569">
        <v>1186.96</v>
      </c>
      <c r="BM569">
        <v>178.04</v>
      </c>
      <c r="BN569">
        <v>1365</v>
      </c>
      <c r="BO569">
        <v>1365</v>
      </c>
      <c r="BQ569" t="s">
        <v>733</v>
      </c>
      <c r="BR569" t="s">
        <v>1443</v>
      </c>
      <c r="BS569" s="3">
        <v>44616</v>
      </c>
      <c r="BT569" s="4">
        <v>0.39027777777777778</v>
      </c>
      <c r="BU569" t="s">
        <v>1608</v>
      </c>
      <c r="BV569" t="s">
        <v>101</v>
      </c>
      <c r="BY569">
        <v>679508.62</v>
      </c>
      <c r="BZ569" t="s">
        <v>137</v>
      </c>
      <c r="CA569" t="s">
        <v>1496</v>
      </c>
      <c r="CC569" t="s">
        <v>442</v>
      </c>
      <c r="CD569">
        <v>1034</v>
      </c>
      <c r="CE569" t="s">
        <v>130</v>
      </c>
      <c r="CF569" s="3">
        <v>44616</v>
      </c>
      <c r="CI569">
        <v>1</v>
      </c>
      <c r="CJ569">
        <v>1</v>
      </c>
      <c r="CK569">
        <v>43</v>
      </c>
      <c r="CL569" t="s">
        <v>84</v>
      </c>
    </row>
    <row r="570" spans="1:90" x14ac:dyDescent="0.25">
      <c r="A570" t="s">
        <v>1417</v>
      </c>
      <c r="B570" t="s">
        <v>1400</v>
      </c>
      <c r="C570" t="s">
        <v>74</v>
      </c>
      <c r="E570" t="str">
        <f>"009941916056"</f>
        <v>009941916056</v>
      </c>
      <c r="F570" s="3">
        <v>44615</v>
      </c>
      <c r="G570">
        <v>202208</v>
      </c>
      <c r="H570" t="s">
        <v>1436</v>
      </c>
      <c r="I570" t="s">
        <v>1437</v>
      </c>
      <c r="J570" t="s">
        <v>1401</v>
      </c>
      <c r="K570" t="s">
        <v>78</v>
      </c>
      <c r="L570" t="s">
        <v>234</v>
      </c>
      <c r="M570" t="s">
        <v>235</v>
      </c>
      <c r="N570" t="s">
        <v>1535</v>
      </c>
      <c r="O570" t="s">
        <v>125</v>
      </c>
      <c r="P570" t="str">
        <f>"STORES                        "</f>
        <v xml:space="preserve">STORES                        </v>
      </c>
      <c r="Q570">
        <v>0</v>
      </c>
      <c r="R570">
        <v>0</v>
      </c>
      <c r="S570">
        <v>0</v>
      </c>
      <c r="T570">
        <v>0</v>
      </c>
      <c r="U570">
        <v>0</v>
      </c>
      <c r="V570">
        <v>0</v>
      </c>
      <c r="W570">
        <v>0</v>
      </c>
      <c r="X570">
        <v>0</v>
      </c>
      <c r="Y570">
        <v>0</v>
      </c>
      <c r="Z570">
        <v>0</v>
      </c>
      <c r="AA570">
        <v>0</v>
      </c>
      <c r="AB570">
        <v>0</v>
      </c>
      <c r="AC570">
        <v>0</v>
      </c>
      <c r="AD570">
        <v>0</v>
      </c>
      <c r="AE570">
        <v>0</v>
      </c>
      <c r="AF570">
        <v>0</v>
      </c>
      <c r="AG570">
        <v>0</v>
      </c>
      <c r="AH570">
        <v>0</v>
      </c>
      <c r="AI570">
        <v>0</v>
      </c>
      <c r="AJ570">
        <v>0</v>
      </c>
      <c r="AK570">
        <v>32.42</v>
      </c>
      <c r="AL570">
        <v>0</v>
      </c>
      <c r="AM570">
        <v>0</v>
      </c>
      <c r="AN570">
        <v>0</v>
      </c>
      <c r="AO570">
        <v>0</v>
      </c>
      <c r="AP570">
        <v>0</v>
      </c>
      <c r="AQ570">
        <v>0</v>
      </c>
      <c r="AR570">
        <v>0</v>
      </c>
      <c r="AS570">
        <v>0</v>
      </c>
      <c r="AT570">
        <v>0</v>
      </c>
      <c r="AU570">
        <v>0</v>
      </c>
      <c r="AV570">
        <v>0</v>
      </c>
      <c r="AW570">
        <v>0</v>
      </c>
      <c r="AX570">
        <v>0</v>
      </c>
      <c r="AY570">
        <v>0</v>
      </c>
      <c r="AZ570">
        <v>0</v>
      </c>
      <c r="BA570">
        <v>0</v>
      </c>
      <c r="BB570">
        <v>0</v>
      </c>
      <c r="BC570">
        <v>0</v>
      </c>
      <c r="BD570">
        <v>0</v>
      </c>
      <c r="BE570">
        <v>0</v>
      </c>
      <c r="BF570">
        <v>0</v>
      </c>
      <c r="BG570">
        <v>0</v>
      </c>
      <c r="BH570">
        <v>1</v>
      </c>
      <c r="BI570">
        <v>3</v>
      </c>
      <c r="BJ570">
        <v>10.5</v>
      </c>
      <c r="BK570">
        <v>11</v>
      </c>
      <c r="BL570">
        <v>121.87</v>
      </c>
      <c r="BM570">
        <v>18.28</v>
      </c>
      <c r="BN570">
        <v>140.15</v>
      </c>
      <c r="BO570">
        <v>140.15</v>
      </c>
      <c r="BQ570" t="s">
        <v>733</v>
      </c>
      <c r="BR570" t="s">
        <v>733</v>
      </c>
      <c r="BS570" t="s">
        <v>653</v>
      </c>
      <c r="BY570">
        <v>52525.2</v>
      </c>
      <c r="BZ570" t="s">
        <v>137</v>
      </c>
      <c r="CC570" t="s">
        <v>235</v>
      </c>
      <c r="CD570">
        <v>3200</v>
      </c>
      <c r="CE570" t="s">
        <v>130</v>
      </c>
      <c r="CI570">
        <v>1</v>
      </c>
      <c r="CJ570" t="s">
        <v>653</v>
      </c>
      <c r="CK570">
        <v>41</v>
      </c>
      <c r="CL570" t="s">
        <v>84</v>
      </c>
    </row>
    <row r="571" spans="1:90" x14ac:dyDescent="0.25">
      <c r="A571" t="s">
        <v>1417</v>
      </c>
      <c r="B571" t="s">
        <v>1400</v>
      </c>
      <c r="C571" t="s">
        <v>74</v>
      </c>
      <c r="E571" t="str">
        <f>"009941247510"</f>
        <v>009941247510</v>
      </c>
      <c r="F571" s="3">
        <v>44615</v>
      </c>
      <c r="G571">
        <v>202208</v>
      </c>
      <c r="H571" t="s">
        <v>481</v>
      </c>
      <c r="I571" t="s">
        <v>482</v>
      </c>
      <c r="J571" t="s">
        <v>1401</v>
      </c>
      <c r="K571" t="s">
        <v>78</v>
      </c>
      <c r="L571" t="s">
        <v>1436</v>
      </c>
      <c r="M571" t="s">
        <v>1437</v>
      </c>
      <c r="N571" t="s">
        <v>1401</v>
      </c>
      <c r="O571" t="s">
        <v>125</v>
      </c>
      <c r="P571" t="str">
        <f>"                              "</f>
        <v xml:space="preserve">                              </v>
      </c>
      <c r="Q571">
        <v>0</v>
      </c>
      <c r="R571">
        <v>0</v>
      </c>
      <c r="S571">
        <v>0</v>
      </c>
      <c r="T571">
        <v>0</v>
      </c>
      <c r="U571">
        <v>0</v>
      </c>
      <c r="V571">
        <v>0</v>
      </c>
      <c r="W571">
        <v>0</v>
      </c>
      <c r="X571">
        <v>0</v>
      </c>
      <c r="Y571">
        <v>0</v>
      </c>
      <c r="Z571">
        <v>0</v>
      </c>
      <c r="AA571">
        <v>0</v>
      </c>
      <c r="AB571">
        <v>0</v>
      </c>
      <c r="AC571">
        <v>0</v>
      </c>
      <c r="AD571">
        <v>0</v>
      </c>
      <c r="AE571">
        <v>0</v>
      </c>
      <c r="AF571">
        <v>0</v>
      </c>
      <c r="AG571">
        <v>0</v>
      </c>
      <c r="AH571">
        <v>0</v>
      </c>
      <c r="AI571">
        <v>0</v>
      </c>
      <c r="AJ571">
        <v>0</v>
      </c>
      <c r="AK571">
        <v>83.11</v>
      </c>
      <c r="AL571">
        <v>0</v>
      </c>
      <c r="AM571">
        <v>0</v>
      </c>
      <c r="AN571">
        <v>0</v>
      </c>
      <c r="AO571">
        <v>0</v>
      </c>
      <c r="AP571">
        <v>0</v>
      </c>
      <c r="AQ571">
        <v>0</v>
      </c>
      <c r="AR571">
        <v>0</v>
      </c>
      <c r="AS571">
        <v>0</v>
      </c>
      <c r="AT571">
        <v>0</v>
      </c>
      <c r="AU571">
        <v>0</v>
      </c>
      <c r="AV571">
        <v>0</v>
      </c>
      <c r="AW571">
        <v>0</v>
      </c>
      <c r="AX571">
        <v>0</v>
      </c>
      <c r="AY571">
        <v>0</v>
      </c>
      <c r="AZ571">
        <v>0</v>
      </c>
      <c r="BA571">
        <v>0</v>
      </c>
      <c r="BB571">
        <v>0</v>
      </c>
      <c r="BC571">
        <v>0</v>
      </c>
      <c r="BD571">
        <v>0</v>
      </c>
      <c r="BE571">
        <v>0</v>
      </c>
      <c r="BF571">
        <v>0</v>
      </c>
      <c r="BG571">
        <v>0</v>
      </c>
      <c r="BH571">
        <v>1</v>
      </c>
      <c r="BI571">
        <v>8</v>
      </c>
      <c r="BJ571">
        <v>30.3</v>
      </c>
      <c r="BK571">
        <v>31</v>
      </c>
      <c r="BL571">
        <v>304.23</v>
      </c>
      <c r="BM571">
        <v>45.63</v>
      </c>
      <c r="BN571">
        <v>349.86</v>
      </c>
      <c r="BO571">
        <v>349.86</v>
      </c>
      <c r="BQ571" t="s">
        <v>1617</v>
      </c>
      <c r="BR571" t="s">
        <v>1610</v>
      </c>
      <c r="BS571" s="3">
        <v>44616</v>
      </c>
      <c r="BT571" s="4">
        <v>0.50763888888888886</v>
      </c>
      <c r="BU571" t="s">
        <v>1544</v>
      </c>
      <c r="BV571" t="s">
        <v>101</v>
      </c>
      <c r="BY571">
        <v>151280</v>
      </c>
      <c r="BZ571" t="s">
        <v>137</v>
      </c>
      <c r="CA571" t="s">
        <v>1568</v>
      </c>
      <c r="CC571" t="s">
        <v>1437</v>
      </c>
      <c r="CD571">
        <v>2146</v>
      </c>
      <c r="CE571" t="s">
        <v>1546</v>
      </c>
      <c r="CF571" s="3">
        <v>44617</v>
      </c>
      <c r="CI571">
        <v>1</v>
      </c>
      <c r="CJ571">
        <v>1</v>
      </c>
      <c r="CK571">
        <v>43</v>
      </c>
      <c r="CL571" t="s">
        <v>84</v>
      </c>
    </row>
    <row r="572" spans="1:90" x14ac:dyDescent="0.25">
      <c r="A572" t="s">
        <v>1417</v>
      </c>
      <c r="B572" t="s">
        <v>1400</v>
      </c>
      <c r="C572" t="s">
        <v>74</v>
      </c>
      <c r="E572" t="str">
        <f>"009936115826"</f>
        <v>009936115826</v>
      </c>
      <c r="F572" s="3">
        <v>44616</v>
      </c>
      <c r="G572">
        <v>202208</v>
      </c>
      <c r="H572" t="s">
        <v>1436</v>
      </c>
      <c r="I572" t="s">
        <v>1437</v>
      </c>
      <c r="J572" t="s">
        <v>1401</v>
      </c>
      <c r="K572" t="s">
        <v>78</v>
      </c>
      <c r="L572" t="s">
        <v>123</v>
      </c>
      <c r="M572" t="s">
        <v>124</v>
      </c>
      <c r="N572" t="s">
        <v>1618</v>
      </c>
      <c r="O572" t="s">
        <v>80</v>
      </c>
      <c r="P572" t="str">
        <f>"STORES                        "</f>
        <v xml:space="preserve">STORES                        </v>
      </c>
      <c r="Q572">
        <v>0</v>
      </c>
      <c r="R572">
        <v>0</v>
      </c>
      <c r="S572">
        <v>0</v>
      </c>
      <c r="T572">
        <v>0</v>
      </c>
      <c r="U572">
        <v>0</v>
      </c>
      <c r="V572">
        <v>0</v>
      </c>
      <c r="W572">
        <v>0</v>
      </c>
      <c r="X572">
        <v>0</v>
      </c>
      <c r="Y572">
        <v>0</v>
      </c>
      <c r="Z572">
        <v>0</v>
      </c>
      <c r="AA572">
        <v>0</v>
      </c>
      <c r="AB572">
        <v>0</v>
      </c>
      <c r="AC572">
        <v>0</v>
      </c>
      <c r="AD572">
        <v>0</v>
      </c>
      <c r="AE572">
        <v>0</v>
      </c>
      <c r="AF572">
        <v>0</v>
      </c>
      <c r="AG572">
        <v>0</v>
      </c>
      <c r="AH572">
        <v>0</v>
      </c>
      <c r="AI572">
        <v>0</v>
      </c>
      <c r="AJ572">
        <v>0</v>
      </c>
      <c r="AK572">
        <v>16.760000000000002</v>
      </c>
      <c r="AL572">
        <v>0</v>
      </c>
      <c r="AM572">
        <v>0</v>
      </c>
      <c r="AN572">
        <v>0</v>
      </c>
      <c r="AO572">
        <v>0</v>
      </c>
      <c r="AP572">
        <v>0</v>
      </c>
      <c r="AQ572">
        <v>0</v>
      </c>
      <c r="AR572">
        <v>0</v>
      </c>
      <c r="AS572">
        <v>0</v>
      </c>
      <c r="AT572">
        <v>0</v>
      </c>
      <c r="AU572">
        <v>0</v>
      </c>
      <c r="AV572">
        <v>0</v>
      </c>
      <c r="AW572">
        <v>0</v>
      </c>
      <c r="AX572">
        <v>0</v>
      </c>
      <c r="AY572">
        <v>0</v>
      </c>
      <c r="AZ572">
        <v>0</v>
      </c>
      <c r="BA572">
        <v>0</v>
      </c>
      <c r="BB572">
        <v>0</v>
      </c>
      <c r="BC572">
        <v>0</v>
      </c>
      <c r="BD572">
        <v>0</v>
      </c>
      <c r="BE572">
        <v>0</v>
      </c>
      <c r="BF572">
        <v>0</v>
      </c>
      <c r="BG572">
        <v>0</v>
      </c>
      <c r="BH572">
        <v>1</v>
      </c>
      <c r="BI572">
        <v>1</v>
      </c>
      <c r="BJ572">
        <v>0.2</v>
      </c>
      <c r="BK572">
        <v>1</v>
      </c>
      <c r="BL572">
        <v>60.3</v>
      </c>
      <c r="BM572">
        <v>9.0500000000000007</v>
      </c>
      <c r="BN572">
        <v>69.349999999999994</v>
      </c>
      <c r="BO572">
        <v>69.349999999999994</v>
      </c>
      <c r="BQ572" t="s">
        <v>733</v>
      </c>
      <c r="BR572" t="s">
        <v>1443</v>
      </c>
      <c r="BS572" s="3">
        <v>44617</v>
      </c>
      <c r="BT572" s="4">
        <v>0.39374999999999999</v>
      </c>
      <c r="BU572" t="s">
        <v>1604</v>
      </c>
      <c r="BV572" t="s">
        <v>101</v>
      </c>
      <c r="BY572">
        <v>1200</v>
      </c>
      <c r="BZ572" t="s">
        <v>87</v>
      </c>
      <c r="CA572" t="s">
        <v>1445</v>
      </c>
      <c r="CC572" t="s">
        <v>124</v>
      </c>
      <c r="CD572">
        <v>6045</v>
      </c>
      <c r="CE572" t="s">
        <v>130</v>
      </c>
      <c r="CF572" s="3">
        <v>44617</v>
      </c>
      <c r="CI572">
        <v>1</v>
      </c>
      <c r="CJ572">
        <v>1</v>
      </c>
      <c r="CK572">
        <v>21</v>
      </c>
      <c r="CL572" t="s">
        <v>84</v>
      </c>
    </row>
    <row r="573" spans="1:90" x14ac:dyDescent="0.25">
      <c r="A573" t="s">
        <v>1417</v>
      </c>
      <c r="B573" t="s">
        <v>1400</v>
      </c>
      <c r="C573" t="s">
        <v>74</v>
      </c>
      <c r="E573" t="str">
        <f>"009941915007"</f>
        <v>009941915007</v>
      </c>
      <c r="F573" s="3">
        <v>44616</v>
      </c>
      <c r="G573">
        <v>202208</v>
      </c>
      <c r="H573" t="s">
        <v>1436</v>
      </c>
      <c r="I573" t="s">
        <v>1437</v>
      </c>
      <c r="J573" t="s">
        <v>1401</v>
      </c>
      <c r="K573" t="s">
        <v>78</v>
      </c>
      <c r="L573" t="s">
        <v>496</v>
      </c>
      <c r="M573" t="s">
        <v>497</v>
      </c>
      <c r="N573" t="s">
        <v>1605</v>
      </c>
      <c r="O573" t="s">
        <v>80</v>
      </c>
      <c r="P573" t="str">
        <f>"STORES                        "</f>
        <v xml:space="preserve">STORES                        </v>
      </c>
      <c r="Q573">
        <v>0</v>
      </c>
      <c r="R573">
        <v>0</v>
      </c>
      <c r="S573">
        <v>0</v>
      </c>
      <c r="T573">
        <v>0</v>
      </c>
      <c r="U573">
        <v>0</v>
      </c>
      <c r="V573">
        <v>0</v>
      </c>
      <c r="W573">
        <v>0</v>
      </c>
      <c r="X573">
        <v>0</v>
      </c>
      <c r="Y573">
        <v>0</v>
      </c>
      <c r="Z573">
        <v>0</v>
      </c>
      <c r="AA573">
        <v>0</v>
      </c>
      <c r="AB573">
        <v>0</v>
      </c>
      <c r="AC573">
        <v>0</v>
      </c>
      <c r="AD573">
        <v>0</v>
      </c>
      <c r="AE573">
        <v>0</v>
      </c>
      <c r="AF573">
        <v>0</v>
      </c>
      <c r="AG573">
        <v>0</v>
      </c>
      <c r="AH573">
        <v>0</v>
      </c>
      <c r="AI573">
        <v>0</v>
      </c>
      <c r="AJ573">
        <v>0</v>
      </c>
      <c r="AK573">
        <v>58.65</v>
      </c>
      <c r="AL573">
        <v>0</v>
      </c>
      <c r="AM573">
        <v>0</v>
      </c>
      <c r="AN573">
        <v>0</v>
      </c>
      <c r="AO573">
        <v>0</v>
      </c>
      <c r="AP573">
        <v>0</v>
      </c>
      <c r="AQ573">
        <v>0</v>
      </c>
      <c r="AR573">
        <v>0</v>
      </c>
      <c r="AS573">
        <v>0</v>
      </c>
      <c r="AT573">
        <v>0</v>
      </c>
      <c r="AU573">
        <v>0</v>
      </c>
      <c r="AV573">
        <v>0</v>
      </c>
      <c r="AW573">
        <v>0</v>
      </c>
      <c r="AX573">
        <v>0</v>
      </c>
      <c r="AY573">
        <v>0</v>
      </c>
      <c r="AZ573">
        <v>0</v>
      </c>
      <c r="BA573">
        <v>0</v>
      </c>
      <c r="BB573">
        <v>0</v>
      </c>
      <c r="BC573">
        <v>0</v>
      </c>
      <c r="BD573">
        <v>0</v>
      </c>
      <c r="BE573">
        <v>0</v>
      </c>
      <c r="BF573">
        <v>0</v>
      </c>
      <c r="BG573">
        <v>0</v>
      </c>
      <c r="BH573">
        <v>1</v>
      </c>
      <c r="BI573">
        <v>1.9</v>
      </c>
      <c r="BJ573">
        <v>6.6</v>
      </c>
      <c r="BK573">
        <v>7</v>
      </c>
      <c r="BL573">
        <v>210.99</v>
      </c>
      <c r="BM573">
        <v>31.65</v>
      </c>
      <c r="BN573">
        <v>242.64</v>
      </c>
      <c r="BO573">
        <v>242.64</v>
      </c>
      <c r="BQ573" t="s">
        <v>733</v>
      </c>
      <c r="BR573" t="s">
        <v>733</v>
      </c>
      <c r="BS573" s="3">
        <v>44617</v>
      </c>
      <c r="BT573" s="4">
        <v>0.62847222222222221</v>
      </c>
      <c r="BU573" t="s">
        <v>1619</v>
      </c>
      <c r="BV573" t="s">
        <v>84</v>
      </c>
      <c r="BW573" t="s">
        <v>268</v>
      </c>
      <c r="BX573" t="s">
        <v>1620</v>
      </c>
      <c r="BY573">
        <v>33128.57</v>
      </c>
      <c r="BZ573" t="s">
        <v>87</v>
      </c>
      <c r="CC573" t="s">
        <v>497</v>
      </c>
      <c r="CD573">
        <v>6536</v>
      </c>
      <c r="CE573" t="s">
        <v>130</v>
      </c>
      <c r="CF573" s="3">
        <v>44617</v>
      </c>
      <c r="CI573">
        <v>1</v>
      </c>
      <c r="CJ573">
        <v>1</v>
      </c>
      <c r="CK573">
        <v>21</v>
      </c>
      <c r="CL573" t="s">
        <v>84</v>
      </c>
    </row>
    <row r="574" spans="1:90" x14ac:dyDescent="0.25">
      <c r="A574" t="s">
        <v>1417</v>
      </c>
      <c r="B574" t="s">
        <v>1400</v>
      </c>
      <c r="C574" t="s">
        <v>74</v>
      </c>
      <c r="E574" t="str">
        <f>"009941119691"</f>
        <v>009941119691</v>
      </c>
      <c r="F574" s="3">
        <v>44616</v>
      </c>
      <c r="G574">
        <v>202208</v>
      </c>
      <c r="H574" t="s">
        <v>234</v>
      </c>
      <c r="I574" t="s">
        <v>235</v>
      </c>
      <c r="J574" t="s">
        <v>1401</v>
      </c>
      <c r="K574" t="s">
        <v>78</v>
      </c>
      <c r="L574" t="s">
        <v>1436</v>
      </c>
      <c r="M574" t="s">
        <v>1437</v>
      </c>
      <c r="N574" t="s">
        <v>1621</v>
      </c>
      <c r="O574" t="s">
        <v>125</v>
      </c>
      <c r="P574" t="str">
        <f>"                              "</f>
        <v xml:space="preserve">                              </v>
      </c>
      <c r="Q574">
        <v>0</v>
      </c>
      <c r="R574">
        <v>0</v>
      </c>
      <c r="S574">
        <v>0</v>
      </c>
      <c r="T574">
        <v>0</v>
      </c>
      <c r="U574">
        <v>0</v>
      </c>
      <c r="V574">
        <v>0</v>
      </c>
      <c r="W574">
        <v>0</v>
      </c>
      <c r="X574">
        <v>0</v>
      </c>
      <c r="Y574">
        <v>0</v>
      </c>
      <c r="Z574">
        <v>0</v>
      </c>
      <c r="AA574">
        <v>0</v>
      </c>
      <c r="AB574">
        <v>0</v>
      </c>
      <c r="AC574">
        <v>0</v>
      </c>
      <c r="AD574">
        <v>0</v>
      </c>
      <c r="AE574">
        <v>0</v>
      </c>
      <c r="AF574">
        <v>0</v>
      </c>
      <c r="AG574">
        <v>0</v>
      </c>
      <c r="AH574">
        <v>0</v>
      </c>
      <c r="AI574">
        <v>0</v>
      </c>
      <c r="AJ574">
        <v>0</v>
      </c>
      <c r="AK574">
        <v>81.849999999999994</v>
      </c>
      <c r="AL574">
        <v>0</v>
      </c>
      <c r="AM574">
        <v>0</v>
      </c>
      <c r="AN574">
        <v>0</v>
      </c>
      <c r="AO574">
        <v>0</v>
      </c>
      <c r="AP574">
        <v>0</v>
      </c>
      <c r="AQ574">
        <v>0</v>
      </c>
      <c r="AR574">
        <v>0</v>
      </c>
      <c r="AS574">
        <v>0</v>
      </c>
      <c r="AT574">
        <v>0</v>
      </c>
      <c r="AU574">
        <v>0</v>
      </c>
      <c r="AV574">
        <v>0</v>
      </c>
      <c r="AW574">
        <v>0</v>
      </c>
      <c r="AX574">
        <v>0</v>
      </c>
      <c r="AY574">
        <v>0</v>
      </c>
      <c r="AZ574">
        <v>0</v>
      </c>
      <c r="BA574">
        <v>0</v>
      </c>
      <c r="BB574">
        <v>0</v>
      </c>
      <c r="BC574">
        <v>0</v>
      </c>
      <c r="BD574">
        <v>0</v>
      </c>
      <c r="BE574">
        <v>0</v>
      </c>
      <c r="BF574">
        <v>0</v>
      </c>
      <c r="BG574">
        <v>0</v>
      </c>
      <c r="BH574">
        <v>2</v>
      </c>
      <c r="BI574">
        <v>40</v>
      </c>
      <c r="BJ574">
        <v>52</v>
      </c>
      <c r="BK574">
        <v>52</v>
      </c>
      <c r="BL574">
        <v>299.69</v>
      </c>
      <c r="BM574">
        <v>44.95</v>
      </c>
      <c r="BN574">
        <v>344.64</v>
      </c>
      <c r="BO574">
        <v>344.64</v>
      </c>
      <c r="BQ574" t="s">
        <v>311</v>
      </c>
      <c r="BR574" t="s">
        <v>1622</v>
      </c>
      <c r="BS574" s="3">
        <v>44617</v>
      </c>
      <c r="BT574" s="4">
        <v>0.32291666666666669</v>
      </c>
      <c r="BU574" t="s">
        <v>1544</v>
      </c>
      <c r="BV574" t="s">
        <v>101</v>
      </c>
      <c r="BY574">
        <v>260000</v>
      </c>
      <c r="BZ574" t="s">
        <v>137</v>
      </c>
      <c r="CC574" t="s">
        <v>1437</v>
      </c>
      <c r="CD574">
        <v>2146</v>
      </c>
      <c r="CE574" t="s">
        <v>130</v>
      </c>
      <c r="CF574" s="3">
        <v>44617</v>
      </c>
      <c r="CI574">
        <v>1</v>
      </c>
      <c r="CJ574">
        <v>1</v>
      </c>
      <c r="CK574">
        <v>41</v>
      </c>
      <c r="CL574" t="s">
        <v>84</v>
      </c>
    </row>
    <row r="575" spans="1:90" x14ac:dyDescent="0.25">
      <c r="A575" t="s">
        <v>1417</v>
      </c>
      <c r="B575" t="s">
        <v>1400</v>
      </c>
      <c r="C575" t="s">
        <v>74</v>
      </c>
      <c r="E575" t="str">
        <f>"009940956756"</f>
        <v>009940956756</v>
      </c>
      <c r="F575" s="3">
        <v>44616</v>
      </c>
      <c r="G575">
        <v>202208</v>
      </c>
      <c r="H575" t="s">
        <v>1436</v>
      </c>
      <c r="I575" t="s">
        <v>1437</v>
      </c>
      <c r="J575" t="s">
        <v>1401</v>
      </c>
      <c r="K575" t="s">
        <v>78</v>
      </c>
      <c r="L575" t="s">
        <v>441</v>
      </c>
      <c r="M575" t="s">
        <v>442</v>
      </c>
      <c r="N575" t="s">
        <v>1623</v>
      </c>
      <c r="O575" t="s">
        <v>125</v>
      </c>
      <c r="P575" t="str">
        <f>"STORES                        "</f>
        <v xml:space="preserve">STORES                        </v>
      </c>
      <c r="Q575">
        <v>0</v>
      </c>
      <c r="R575">
        <v>0</v>
      </c>
      <c r="S575">
        <v>0</v>
      </c>
      <c r="T575">
        <v>0</v>
      </c>
      <c r="U575">
        <v>0</v>
      </c>
      <c r="V575">
        <v>0</v>
      </c>
      <c r="W575">
        <v>0</v>
      </c>
      <c r="X575">
        <v>0</v>
      </c>
      <c r="Y575">
        <v>0</v>
      </c>
      <c r="Z575">
        <v>0</v>
      </c>
      <c r="AA575">
        <v>0</v>
      </c>
      <c r="AB575">
        <v>0</v>
      </c>
      <c r="AC575">
        <v>0</v>
      </c>
      <c r="AD575">
        <v>0</v>
      </c>
      <c r="AE575">
        <v>0</v>
      </c>
      <c r="AF575">
        <v>0</v>
      </c>
      <c r="AG575">
        <v>0</v>
      </c>
      <c r="AH575">
        <v>0</v>
      </c>
      <c r="AI575">
        <v>0</v>
      </c>
      <c r="AJ575">
        <v>0</v>
      </c>
      <c r="AK575">
        <v>157.88999999999999</v>
      </c>
      <c r="AL575">
        <v>0</v>
      </c>
      <c r="AM575">
        <v>0</v>
      </c>
      <c r="AN575">
        <v>0</v>
      </c>
      <c r="AO575">
        <v>0</v>
      </c>
      <c r="AP575">
        <v>0</v>
      </c>
      <c r="AQ575">
        <v>0</v>
      </c>
      <c r="AR575">
        <v>0</v>
      </c>
      <c r="AS575">
        <v>0</v>
      </c>
      <c r="AT575">
        <v>0</v>
      </c>
      <c r="AU575">
        <v>0</v>
      </c>
      <c r="AV575">
        <v>0</v>
      </c>
      <c r="AW575">
        <v>0</v>
      </c>
      <c r="AX575">
        <v>0</v>
      </c>
      <c r="AY575">
        <v>0</v>
      </c>
      <c r="AZ575">
        <v>0</v>
      </c>
      <c r="BA575">
        <v>0</v>
      </c>
      <c r="BB575">
        <v>0</v>
      </c>
      <c r="BC575">
        <v>0</v>
      </c>
      <c r="BD575">
        <v>0</v>
      </c>
      <c r="BE575">
        <v>0</v>
      </c>
      <c r="BF575">
        <v>0</v>
      </c>
      <c r="BG575">
        <v>0</v>
      </c>
      <c r="BH575">
        <v>2</v>
      </c>
      <c r="BI575">
        <v>58</v>
      </c>
      <c r="BJ575">
        <v>62.9</v>
      </c>
      <c r="BK575">
        <v>63</v>
      </c>
      <c r="BL575">
        <v>573.25</v>
      </c>
      <c r="BM575">
        <v>85.99</v>
      </c>
      <c r="BN575">
        <v>659.24</v>
      </c>
      <c r="BO575">
        <v>659.24</v>
      </c>
      <c r="BQ575" t="s">
        <v>1494</v>
      </c>
      <c r="BR575" t="s">
        <v>1443</v>
      </c>
      <c r="BS575" s="3">
        <v>44617</v>
      </c>
      <c r="BT575" s="4">
        <v>0.42083333333333334</v>
      </c>
      <c r="BU575" t="s">
        <v>1569</v>
      </c>
      <c r="BV575" t="s">
        <v>101</v>
      </c>
      <c r="BY575">
        <v>314653.02</v>
      </c>
      <c r="BZ575" t="s">
        <v>137</v>
      </c>
      <c r="CA575" t="s">
        <v>1496</v>
      </c>
      <c r="CC575" t="s">
        <v>442</v>
      </c>
      <c r="CD575">
        <v>1034</v>
      </c>
      <c r="CE575" t="s">
        <v>130</v>
      </c>
      <c r="CF575" s="3">
        <v>44618</v>
      </c>
      <c r="CI575">
        <v>1</v>
      </c>
      <c r="CJ575">
        <v>1</v>
      </c>
      <c r="CK575">
        <v>43</v>
      </c>
      <c r="CL575" t="s">
        <v>84</v>
      </c>
    </row>
    <row r="576" spans="1:90" x14ac:dyDescent="0.25">
      <c r="A576" t="s">
        <v>1417</v>
      </c>
      <c r="B576" t="s">
        <v>1400</v>
      </c>
      <c r="C576" t="s">
        <v>74</v>
      </c>
      <c r="E576" t="str">
        <f>"009941915423"</f>
        <v>009941915423</v>
      </c>
      <c r="F576" s="3">
        <v>44616</v>
      </c>
      <c r="G576">
        <v>202208</v>
      </c>
      <c r="H576" t="s">
        <v>1436</v>
      </c>
      <c r="I576" t="s">
        <v>1437</v>
      </c>
      <c r="J576" t="s">
        <v>1401</v>
      </c>
      <c r="K576" t="s">
        <v>78</v>
      </c>
      <c r="L576" t="s">
        <v>282</v>
      </c>
      <c r="M576" t="s">
        <v>283</v>
      </c>
      <c r="N576" t="s">
        <v>1401</v>
      </c>
      <c r="O576" t="s">
        <v>125</v>
      </c>
      <c r="P576" t="str">
        <f>"STORES                        "</f>
        <v xml:space="preserve">STORES                        </v>
      </c>
      <c r="Q576">
        <v>0</v>
      </c>
      <c r="R576">
        <v>0</v>
      </c>
      <c r="S576">
        <v>0</v>
      </c>
      <c r="T576">
        <v>0</v>
      </c>
      <c r="U576">
        <v>0</v>
      </c>
      <c r="V576">
        <v>0</v>
      </c>
      <c r="W576">
        <v>0</v>
      </c>
      <c r="X576">
        <v>0</v>
      </c>
      <c r="Y576">
        <v>0</v>
      </c>
      <c r="Z576">
        <v>0</v>
      </c>
      <c r="AA576">
        <v>0</v>
      </c>
      <c r="AB576">
        <v>0</v>
      </c>
      <c r="AC576">
        <v>0</v>
      </c>
      <c r="AD576">
        <v>0</v>
      </c>
      <c r="AE576">
        <v>0</v>
      </c>
      <c r="AF576">
        <v>0</v>
      </c>
      <c r="AG576">
        <v>0</v>
      </c>
      <c r="AH576">
        <v>0</v>
      </c>
      <c r="AI576">
        <v>0</v>
      </c>
      <c r="AJ576">
        <v>0</v>
      </c>
      <c r="AK576">
        <v>270.07</v>
      </c>
      <c r="AL576">
        <v>0</v>
      </c>
      <c r="AM576">
        <v>0</v>
      </c>
      <c r="AN576">
        <v>0</v>
      </c>
      <c r="AO576">
        <v>0</v>
      </c>
      <c r="AP576">
        <v>0</v>
      </c>
      <c r="AQ576">
        <v>0</v>
      </c>
      <c r="AR576">
        <v>0</v>
      </c>
      <c r="AS576">
        <v>0</v>
      </c>
      <c r="AT576">
        <v>0</v>
      </c>
      <c r="AU576">
        <v>0</v>
      </c>
      <c r="AV576">
        <v>0</v>
      </c>
      <c r="AW576">
        <v>0</v>
      </c>
      <c r="AX576">
        <v>0</v>
      </c>
      <c r="AY576">
        <v>0</v>
      </c>
      <c r="AZ576">
        <v>0</v>
      </c>
      <c r="BA576">
        <v>0</v>
      </c>
      <c r="BB576">
        <v>0</v>
      </c>
      <c r="BC576">
        <v>0</v>
      </c>
      <c r="BD576">
        <v>0</v>
      </c>
      <c r="BE576">
        <v>0</v>
      </c>
      <c r="BF576">
        <v>0</v>
      </c>
      <c r="BG576">
        <v>0</v>
      </c>
      <c r="BH576">
        <v>4</v>
      </c>
      <c r="BI576">
        <v>110.3</v>
      </c>
      <c r="BJ576">
        <v>104.4</v>
      </c>
      <c r="BK576">
        <v>111</v>
      </c>
      <c r="BL576">
        <v>976.79</v>
      </c>
      <c r="BM576">
        <v>146.52000000000001</v>
      </c>
      <c r="BN576">
        <v>1123.31</v>
      </c>
      <c r="BO576">
        <v>1123.31</v>
      </c>
      <c r="BQ576" t="s">
        <v>733</v>
      </c>
      <c r="BR576" t="s">
        <v>733</v>
      </c>
      <c r="BS576" s="3">
        <v>44617</v>
      </c>
      <c r="BT576" s="4">
        <v>0.3979166666666667</v>
      </c>
      <c r="BU576" t="s">
        <v>1522</v>
      </c>
      <c r="BV576" t="s">
        <v>101</v>
      </c>
      <c r="BY576">
        <v>391236.42</v>
      </c>
      <c r="BZ576" t="s">
        <v>137</v>
      </c>
      <c r="CA576" t="s">
        <v>287</v>
      </c>
      <c r="CC576" t="s">
        <v>283</v>
      </c>
      <c r="CD576">
        <v>300</v>
      </c>
      <c r="CE576" t="s">
        <v>130</v>
      </c>
      <c r="CF576" s="3">
        <v>44620</v>
      </c>
      <c r="CI576">
        <v>1</v>
      </c>
      <c r="CJ576">
        <v>1</v>
      </c>
      <c r="CK576">
        <v>43</v>
      </c>
      <c r="CL576" t="s">
        <v>84</v>
      </c>
    </row>
    <row r="577" spans="1:90" x14ac:dyDescent="0.25">
      <c r="A577" t="s">
        <v>1417</v>
      </c>
      <c r="B577" t="s">
        <v>1400</v>
      </c>
      <c r="C577" t="s">
        <v>74</v>
      </c>
      <c r="E577" t="str">
        <f>"009941915125"</f>
        <v>009941915125</v>
      </c>
      <c r="F577" s="3">
        <v>44616</v>
      </c>
      <c r="G577">
        <v>202208</v>
      </c>
      <c r="H577" t="s">
        <v>1436</v>
      </c>
      <c r="I577" t="s">
        <v>1437</v>
      </c>
      <c r="J577" t="s">
        <v>1401</v>
      </c>
      <c r="K577" t="s">
        <v>78</v>
      </c>
      <c r="L577" t="s">
        <v>131</v>
      </c>
      <c r="M577" t="s">
        <v>132</v>
      </c>
      <c r="N577" t="s">
        <v>1624</v>
      </c>
      <c r="O577" t="s">
        <v>80</v>
      </c>
      <c r="P577" t="str">
        <f>"STORES                        "</f>
        <v xml:space="preserve">STORES                        </v>
      </c>
      <c r="Q577">
        <v>0</v>
      </c>
      <c r="R577">
        <v>0</v>
      </c>
      <c r="S577">
        <v>0</v>
      </c>
      <c r="T577">
        <v>0</v>
      </c>
      <c r="U577">
        <v>0</v>
      </c>
      <c r="V577">
        <v>0</v>
      </c>
      <c r="W577">
        <v>0</v>
      </c>
      <c r="X577">
        <v>0</v>
      </c>
      <c r="Y577">
        <v>0</v>
      </c>
      <c r="Z577">
        <v>0</v>
      </c>
      <c r="AA577">
        <v>0</v>
      </c>
      <c r="AB577">
        <v>0</v>
      </c>
      <c r="AC577">
        <v>0</v>
      </c>
      <c r="AD577">
        <v>0</v>
      </c>
      <c r="AE577">
        <v>0</v>
      </c>
      <c r="AF577">
        <v>0</v>
      </c>
      <c r="AG577">
        <v>0</v>
      </c>
      <c r="AH577">
        <v>0</v>
      </c>
      <c r="AI577">
        <v>0</v>
      </c>
      <c r="AJ577">
        <v>0</v>
      </c>
      <c r="AK577">
        <v>16.760000000000002</v>
      </c>
      <c r="AL577">
        <v>0</v>
      </c>
      <c r="AM577">
        <v>0</v>
      </c>
      <c r="AN577">
        <v>0</v>
      </c>
      <c r="AO577">
        <v>0</v>
      </c>
      <c r="AP577">
        <v>0</v>
      </c>
      <c r="AQ577">
        <v>0</v>
      </c>
      <c r="AR577">
        <v>0</v>
      </c>
      <c r="AS577">
        <v>0</v>
      </c>
      <c r="AT577">
        <v>0</v>
      </c>
      <c r="AU577">
        <v>0</v>
      </c>
      <c r="AV577">
        <v>0</v>
      </c>
      <c r="AW577">
        <v>0</v>
      </c>
      <c r="AX577">
        <v>0</v>
      </c>
      <c r="AY577">
        <v>0</v>
      </c>
      <c r="AZ577">
        <v>0</v>
      </c>
      <c r="BA577">
        <v>0</v>
      </c>
      <c r="BB577">
        <v>0</v>
      </c>
      <c r="BC577">
        <v>0</v>
      </c>
      <c r="BD577">
        <v>0</v>
      </c>
      <c r="BE577">
        <v>0</v>
      </c>
      <c r="BF577">
        <v>0</v>
      </c>
      <c r="BG577">
        <v>0</v>
      </c>
      <c r="BH577">
        <v>1</v>
      </c>
      <c r="BI577">
        <v>1</v>
      </c>
      <c r="BJ577">
        <v>0.2</v>
      </c>
      <c r="BK577">
        <v>1</v>
      </c>
      <c r="BL577">
        <v>60.3</v>
      </c>
      <c r="BM577">
        <v>9.0500000000000007</v>
      </c>
      <c r="BN577">
        <v>69.349999999999994</v>
      </c>
      <c r="BO577">
        <v>69.349999999999994</v>
      </c>
      <c r="BQ577" t="s">
        <v>733</v>
      </c>
      <c r="BR577" t="s">
        <v>733</v>
      </c>
      <c r="BS577" s="3">
        <v>44617</v>
      </c>
      <c r="BT577" s="4">
        <v>0.3979166666666667</v>
      </c>
      <c r="BU577" t="s">
        <v>1491</v>
      </c>
      <c r="BV577" t="s">
        <v>101</v>
      </c>
      <c r="BY577">
        <v>1200</v>
      </c>
      <c r="BZ577" t="s">
        <v>87</v>
      </c>
      <c r="CA577" t="s">
        <v>1492</v>
      </c>
      <c r="CC577" t="s">
        <v>132</v>
      </c>
      <c r="CD577">
        <v>4091</v>
      </c>
      <c r="CE577" t="s">
        <v>130</v>
      </c>
      <c r="CF577" s="3">
        <v>44620</v>
      </c>
      <c r="CI577">
        <v>1</v>
      </c>
      <c r="CJ577">
        <v>1</v>
      </c>
      <c r="CK577">
        <v>21</v>
      </c>
      <c r="CL577" t="s">
        <v>84</v>
      </c>
    </row>
    <row r="578" spans="1:90" x14ac:dyDescent="0.25">
      <c r="A578" t="s">
        <v>1417</v>
      </c>
      <c r="B578" t="s">
        <v>1400</v>
      </c>
      <c r="C578" t="s">
        <v>74</v>
      </c>
      <c r="E578" t="str">
        <f>"009942086278"</f>
        <v>009942086278</v>
      </c>
      <c r="F578" s="3">
        <v>44616</v>
      </c>
      <c r="G578">
        <v>202208</v>
      </c>
      <c r="H578" t="s">
        <v>123</v>
      </c>
      <c r="I578" t="s">
        <v>124</v>
      </c>
      <c r="J578" t="s">
        <v>1426</v>
      </c>
      <c r="K578" t="s">
        <v>78</v>
      </c>
      <c r="L578" t="s">
        <v>971</v>
      </c>
      <c r="M578" t="s">
        <v>972</v>
      </c>
      <c r="N578" t="s">
        <v>1401</v>
      </c>
      <c r="O578" t="s">
        <v>125</v>
      </c>
      <c r="P578" t="str">
        <f>"                              "</f>
        <v xml:space="preserve">                              </v>
      </c>
      <c r="Q578">
        <v>0</v>
      </c>
      <c r="R578">
        <v>0</v>
      </c>
      <c r="S578">
        <v>0</v>
      </c>
      <c r="T578">
        <v>0</v>
      </c>
      <c r="U578">
        <v>0</v>
      </c>
      <c r="V578">
        <v>0</v>
      </c>
      <c r="W578">
        <v>0</v>
      </c>
      <c r="X578">
        <v>0</v>
      </c>
      <c r="Y578">
        <v>0</v>
      </c>
      <c r="Z578">
        <v>0</v>
      </c>
      <c r="AA578">
        <v>0</v>
      </c>
      <c r="AB578">
        <v>0</v>
      </c>
      <c r="AC578">
        <v>0</v>
      </c>
      <c r="AD578">
        <v>0</v>
      </c>
      <c r="AE578">
        <v>0</v>
      </c>
      <c r="AF578">
        <v>0</v>
      </c>
      <c r="AG578">
        <v>0</v>
      </c>
      <c r="AH578">
        <v>0</v>
      </c>
      <c r="AI578">
        <v>0</v>
      </c>
      <c r="AJ578">
        <v>0</v>
      </c>
      <c r="AK578">
        <v>45.72</v>
      </c>
      <c r="AL578">
        <v>0</v>
      </c>
      <c r="AM578">
        <v>0</v>
      </c>
      <c r="AN578">
        <v>0</v>
      </c>
      <c r="AO578">
        <v>0</v>
      </c>
      <c r="AP578">
        <v>0</v>
      </c>
      <c r="AQ578">
        <v>0</v>
      </c>
      <c r="AR578">
        <v>0</v>
      </c>
      <c r="AS578">
        <v>0</v>
      </c>
      <c r="AT578">
        <v>0</v>
      </c>
      <c r="AU578">
        <v>0</v>
      </c>
      <c r="AV578">
        <v>0</v>
      </c>
      <c r="AW578">
        <v>0</v>
      </c>
      <c r="AX578">
        <v>0</v>
      </c>
      <c r="AY578">
        <v>0</v>
      </c>
      <c r="AZ578">
        <v>0</v>
      </c>
      <c r="BA578">
        <v>0</v>
      </c>
      <c r="BB578">
        <v>0</v>
      </c>
      <c r="BC578">
        <v>0</v>
      </c>
      <c r="BD578">
        <v>0</v>
      </c>
      <c r="BE578">
        <v>0</v>
      </c>
      <c r="BF578">
        <v>0</v>
      </c>
      <c r="BG578">
        <v>0</v>
      </c>
      <c r="BH578">
        <v>1</v>
      </c>
      <c r="BI578">
        <v>10</v>
      </c>
      <c r="BJ578">
        <v>4.8</v>
      </c>
      <c r="BK578">
        <v>10</v>
      </c>
      <c r="BL578">
        <v>169.72</v>
      </c>
      <c r="BM578">
        <v>25.46</v>
      </c>
      <c r="BN578">
        <v>195.18</v>
      </c>
      <c r="BO578">
        <v>195.18</v>
      </c>
      <c r="BQ578" t="s">
        <v>1625</v>
      </c>
      <c r="BR578" t="s">
        <v>1429</v>
      </c>
      <c r="BS578" t="s">
        <v>653</v>
      </c>
      <c r="BY578">
        <v>24000</v>
      </c>
      <c r="BZ578" t="s">
        <v>137</v>
      </c>
      <c r="CC578" t="s">
        <v>972</v>
      </c>
      <c r="CD578">
        <v>5320</v>
      </c>
      <c r="CE578" t="s">
        <v>130</v>
      </c>
      <c r="CI578">
        <v>5</v>
      </c>
      <c r="CJ578" t="s">
        <v>653</v>
      </c>
      <c r="CK578">
        <v>43</v>
      </c>
      <c r="CL578" t="s">
        <v>84</v>
      </c>
    </row>
    <row r="579" spans="1:90" x14ac:dyDescent="0.25">
      <c r="A579" t="s">
        <v>1417</v>
      </c>
      <c r="B579" t="s">
        <v>1400</v>
      </c>
      <c r="C579" t="s">
        <v>74</v>
      </c>
      <c r="E579" t="str">
        <f>"009942086277"</f>
        <v>009942086277</v>
      </c>
      <c r="F579" s="3">
        <v>44616</v>
      </c>
      <c r="G579">
        <v>202208</v>
      </c>
      <c r="H579" t="s">
        <v>123</v>
      </c>
      <c r="I579" t="s">
        <v>124</v>
      </c>
      <c r="J579" t="s">
        <v>1426</v>
      </c>
      <c r="K579" t="s">
        <v>78</v>
      </c>
      <c r="L579" t="s">
        <v>790</v>
      </c>
      <c r="M579" t="s">
        <v>791</v>
      </c>
      <c r="N579" t="s">
        <v>1401</v>
      </c>
      <c r="O579" t="s">
        <v>125</v>
      </c>
      <c r="P579" t="str">
        <f>"                              "</f>
        <v xml:space="preserve">                              </v>
      </c>
      <c r="Q579">
        <v>0</v>
      </c>
      <c r="R579">
        <v>0</v>
      </c>
      <c r="S579">
        <v>0</v>
      </c>
      <c r="T579">
        <v>0</v>
      </c>
      <c r="U579">
        <v>0</v>
      </c>
      <c r="V579">
        <v>0</v>
      </c>
      <c r="W579">
        <v>0</v>
      </c>
      <c r="X579">
        <v>0</v>
      </c>
      <c r="Y579">
        <v>0</v>
      </c>
      <c r="Z579">
        <v>0</v>
      </c>
      <c r="AA579">
        <v>0</v>
      </c>
      <c r="AB579">
        <v>0</v>
      </c>
      <c r="AC579">
        <v>0</v>
      </c>
      <c r="AD579">
        <v>0</v>
      </c>
      <c r="AE579">
        <v>0</v>
      </c>
      <c r="AF579">
        <v>0</v>
      </c>
      <c r="AG579">
        <v>0</v>
      </c>
      <c r="AH579">
        <v>0</v>
      </c>
      <c r="AI579">
        <v>0</v>
      </c>
      <c r="AJ579">
        <v>0</v>
      </c>
      <c r="AK579">
        <v>57.4</v>
      </c>
      <c r="AL579">
        <v>0</v>
      </c>
      <c r="AM579">
        <v>0</v>
      </c>
      <c r="AN579">
        <v>0</v>
      </c>
      <c r="AO579">
        <v>0</v>
      </c>
      <c r="AP579">
        <v>0</v>
      </c>
      <c r="AQ579">
        <v>0</v>
      </c>
      <c r="AR579">
        <v>0</v>
      </c>
      <c r="AS579">
        <v>0</v>
      </c>
      <c r="AT579">
        <v>0</v>
      </c>
      <c r="AU579">
        <v>0</v>
      </c>
      <c r="AV579">
        <v>0</v>
      </c>
      <c r="AW579">
        <v>0</v>
      </c>
      <c r="AX579">
        <v>0</v>
      </c>
      <c r="AY579">
        <v>0</v>
      </c>
      <c r="AZ579">
        <v>0</v>
      </c>
      <c r="BA579">
        <v>0</v>
      </c>
      <c r="BB579">
        <v>0</v>
      </c>
      <c r="BC579">
        <v>0</v>
      </c>
      <c r="BD579">
        <v>0</v>
      </c>
      <c r="BE579">
        <v>0</v>
      </c>
      <c r="BF579">
        <v>0</v>
      </c>
      <c r="BG579">
        <v>0</v>
      </c>
      <c r="BH579">
        <v>2</v>
      </c>
      <c r="BI579">
        <v>20</v>
      </c>
      <c r="BJ579">
        <v>9.6</v>
      </c>
      <c r="BK579">
        <v>20</v>
      </c>
      <c r="BL579">
        <v>211.75</v>
      </c>
      <c r="BM579">
        <v>31.76</v>
      </c>
      <c r="BN579">
        <v>243.51</v>
      </c>
      <c r="BO579">
        <v>243.51</v>
      </c>
      <c r="BQ579" t="s">
        <v>1540</v>
      </c>
      <c r="BR579" t="s">
        <v>1429</v>
      </c>
      <c r="BS579" t="s">
        <v>653</v>
      </c>
      <c r="BY579">
        <v>24000</v>
      </c>
      <c r="BZ579" t="s">
        <v>137</v>
      </c>
      <c r="CC579" t="s">
        <v>791</v>
      </c>
      <c r="CD579">
        <v>5099</v>
      </c>
      <c r="CE579" t="s">
        <v>130</v>
      </c>
      <c r="CI579">
        <v>2</v>
      </c>
      <c r="CJ579" t="s">
        <v>653</v>
      </c>
      <c r="CK579">
        <v>43</v>
      </c>
      <c r="CL579" t="s">
        <v>84</v>
      </c>
    </row>
    <row r="580" spans="1:90" x14ac:dyDescent="0.25">
      <c r="A580" t="s">
        <v>1417</v>
      </c>
      <c r="B580" t="s">
        <v>1400</v>
      </c>
      <c r="C580" t="s">
        <v>74</v>
      </c>
      <c r="E580" t="str">
        <f>"009941618580"</f>
        <v>009941618580</v>
      </c>
      <c r="F580" s="3">
        <v>44616</v>
      </c>
      <c r="G580">
        <v>202208</v>
      </c>
      <c r="H580" t="s">
        <v>1436</v>
      </c>
      <c r="I580" t="s">
        <v>1437</v>
      </c>
      <c r="J580" t="s">
        <v>1401</v>
      </c>
      <c r="K580" t="s">
        <v>78</v>
      </c>
      <c r="L580" t="s">
        <v>282</v>
      </c>
      <c r="M580" t="s">
        <v>283</v>
      </c>
      <c r="N580" t="s">
        <v>1401</v>
      </c>
      <c r="O580" t="s">
        <v>80</v>
      </c>
      <c r="P580" t="str">
        <f t="shared" ref="P580:P588" si="6">"STORES                        "</f>
        <v xml:space="preserve">STORES                        </v>
      </c>
      <c r="Q580">
        <v>0</v>
      </c>
      <c r="R580">
        <v>0</v>
      </c>
      <c r="S580">
        <v>0</v>
      </c>
      <c r="T580">
        <v>0</v>
      </c>
      <c r="U580">
        <v>0</v>
      </c>
      <c r="V580">
        <v>0</v>
      </c>
      <c r="W580">
        <v>0</v>
      </c>
      <c r="X580">
        <v>0</v>
      </c>
      <c r="Y580">
        <v>0</v>
      </c>
      <c r="Z580">
        <v>0</v>
      </c>
      <c r="AA580">
        <v>0</v>
      </c>
      <c r="AB580">
        <v>0</v>
      </c>
      <c r="AC580">
        <v>0</v>
      </c>
      <c r="AD580">
        <v>0</v>
      </c>
      <c r="AE580">
        <v>0</v>
      </c>
      <c r="AF580">
        <v>0</v>
      </c>
      <c r="AG580">
        <v>0</v>
      </c>
      <c r="AH580">
        <v>0</v>
      </c>
      <c r="AI580">
        <v>0</v>
      </c>
      <c r="AJ580">
        <v>0</v>
      </c>
      <c r="AK580">
        <v>135.16</v>
      </c>
      <c r="AL580">
        <v>0</v>
      </c>
      <c r="AM580">
        <v>0</v>
      </c>
      <c r="AN580">
        <v>0</v>
      </c>
      <c r="AO580">
        <v>0</v>
      </c>
      <c r="AP580">
        <v>0</v>
      </c>
      <c r="AQ580">
        <v>0</v>
      </c>
      <c r="AR580">
        <v>0</v>
      </c>
      <c r="AS580">
        <v>0</v>
      </c>
      <c r="AT580">
        <v>0</v>
      </c>
      <c r="AU580">
        <v>0</v>
      </c>
      <c r="AV580">
        <v>0</v>
      </c>
      <c r="AW580">
        <v>0</v>
      </c>
      <c r="AX580">
        <v>0</v>
      </c>
      <c r="AY580">
        <v>0</v>
      </c>
      <c r="AZ580">
        <v>0</v>
      </c>
      <c r="BA580">
        <v>0</v>
      </c>
      <c r="BB580">
        <v>0</v>
      </c>
      <c r="BC580">
        <v>0</v>
      </c>
      <c r="BD580">
        <v>0</v>
      </c>
      <c r="BE580">
        <v>0</v>
      </c>
      <c r="BF580">
        <v>0</v>
      </c>
      <c r="BG580">
        <v>0</v>
      </c>
      <c r="BH580">
        <v>1</v>
      </c>
      <c r="BI580">
        <v>2.9</v>
      </c>
      <c r="BJ580">
        <v>9</v>
      </c>
      <c r="BK580">
        <v>9</v>
      </c>
      <c r="BL580">
        <v>486.22</v>
      </c>
      <c r="BM580">
        <v>72.930000000000007</v>
      </c>
      <c r="BN580">
        <v>559.15</v>
      </c>
      <c r="BO580">
        <v>559.15</v>
      </c>
      <c r="BQ580" t="s">
        <v>733</v>
      </c>
      <c r="BR580" t="s">
        <v>733</v>
      </c>
      <c r="BS580" s="3">
        <v>44617</v>
      </c>
      <c r="BT580" s="4">
        <v>0.3972222222222222</v>
      </c>
      <c r="BU580" t="s">
        <v>1522</v>
      </c>
      <c r="BV580" t="s">
        <v>101</v>
      </c>
      <c r="BY580">
        <v>45085.31</v>
      </c>
      <c r="BZ580" t="s">
        <v>87</v>
      </c>
      <c r="CA580" t="s">
        <v>287</v>
      </c>
      <c r="CC580" t="s">
        <v>283</v>
      </c>
      <c r="CD580">
        <v>300</v>
      </c>
      <c r="CE580" t="s">
        <v>130</v>
      </c>
      <c r="CF580" s="3">
        <v>44620</v>
      </c>
      <c r="CI580">
        <v>1</v>
      </c>
      <c r="CJ580">
        <v>1</v>
      </c>
      <c r="CK580">
        <v>23</v>
      </c>
      <c r="CL580" t="s">
        <v>84</v>
      </c>
    </row>
    <row r="581" spans="1:90" x14ac:dyDescent="0.25">
      <c r="A581" t="s">
        <v>1417</v>
      </c>
      <c r="B581" t="s">
        <v>1400</v>
      </c>
      <c r="C581" t="s">
        <v>74</v>
      </c>
      <c r="E581" t="str">
        <f>"009941915422"</f>
        <v>009941915422</v>
      </c>
      <c r="F581" s="3">
        <v>44616</v>
      </c>
      <c r="G581">
        <v>202208</v>
      </c>
      <c r="H581" t="s">
        <v>1436</v>
      </c>
      <c r="I581" t="s">
        <v>1437</v>
      </c>
      <c r="J581" t="s">
        <v>1401</v>
      </c>
      <c r="K581" t="s">
        <v>78</v>
      </c>
      <c r="L581" t="s">
        <v>282</v>
      </c>
      <c r="M581" t="s">
        <v>283</v>
      </c>
      <c r="N581" t="s">
        <v>1626</v>
      </c>
      <c r="O581" t="s">
        <v>80</v>
      </c>
      <c r="P581" t="str">
        <f t="shared" si="6"/>
        <v xml:space="preserve">STORES                        </v>
      </c>
      <c r="Q581">
        <v>0</v>
      </c>
      <c r="R581">
        <v>0</v>
      </c>
      <c r="S581">
        <v>0</v>
      </c>
      <c r="T581">
        <v>0</v>
      </c>
      <c r="U581">
        <v>0</v>
      </c>
      <c r="V581">
        <v>0</v>
      </c>
      <c r="W581">
        <v>0</v>
      </c>
      <c r="X581">
        <v>0</v>
      </c>
      <c r="Y581">
        <v>0</v>
      </c>
      <c r="Z581">
        <v>0</v>
      </c>
      <c r="AA581">
        <v>0</v>
      </c>
      <c r="AB581">
        <v>0</v>
      </c>
      <c r="AC581">
        <v>0</v>
      </c>
      <c r="AD581">
        <v>0</v>
      </c>
      <c r="AE581">
        <v>0</v>
      </c>
      <c r="AF581">
        <v>0</v>
      </c>
      <c r="AG581">
        <v>0</v>
      </c>
      <c r="AH581">
        <v>0</v>
      </c>
      <c r="AI581">
        <v>0</v>
      </c>
      <c r="AJ581">
        <v>0</v>
      </c>
      <c r="AK581">
        <v>32.479999999999997</v>
      </c>
      <c r="AL581">
        <v>0</v>
      </c>
      <c r="AM581">
        <v>0</v>
      </c>
      <c r="AN581">
        <v>0</v>
      </c>
      <c r="AO581">
        <v>0</v>
      </c>
      <c r="AP581">
        <v>0</v>
      </c>
      <c r="AQ581">
        <v>0</v>
      </c>
      <c r="AR581">
        <v>0</v>
      </c>
      <c r="AS581">
        <v>0</v>
      </c>
      <c r="AT581">
        <v>0</v>
      </c>
      <c r="AU581">
        <v>0</v>
      </c>
      <c r="AV581">
        <v>0</v>
      </c>
      <c r="AW581">
        <v>0</v>
      </c>
      <c r="AX581">
        <v>0</v>
      </c>
      <c r="AY581">
        <v>0</v>
      </c>
      <c r="AZ581">
        <v>0</v>
      </c>
      <c r="BA581">
        <v>0</v>
      </c>
      <c r="BB581">
        <v>0</v>
      </c>
      <c r="BC581">
        <v>0</v>
      </c>
      <c r="BD581">
        <v>0</v>
      </c>
      <c r="BE581">
        <v>0</v>
      </c>
      <c r="BF581">
        <v>0</v>
      </c>
      <c r="BG581">
        <v>0</v>
      </c>
      <c r="BH581">
        <v>1</v>
      </c>
      <c r="BI581">
        <v>1</v>
      </c>
      <c r="BJ581">
        <v>0.2</v>
      </c>
      <c r="BK581">
        <v>1</v>
      </c>
      <c r="BL581">
        <v>116.84</v>
      </c>
      <c r="BM581">
        <v>17.53</v>
      </c>
      <c r="BN581">
        <v>134.37</v>
      </c>
      <c r="BO581">
        <v>134.37</v>
      </c>
      <c r="BQ581" t="s">
        <v>733</v>
      </c>
      <c r="BR581" t="s">
        <v>733</v>
      </c>
      <c r="BS581" s="3">
        <v>44617</v>
      </c>
      <c r="BT581" s="4">
        <v>0.3979166666666667</v>
      </c>
      <c r="BU581" t="s">
        <v>1522</v>
      </c>
      <c r="BV581" t="s">
        <v>101</v>
      </c>
      <c r="BY581">
        <v>1200</v>
      </c>
      <c r="BZ581" t="s">
        <v>87</v>
      </c>
      <c r="CA581" t="s">
        <v>287</v>
      </c>
      <c r="CC581" t="s">
        <v>283</v>
      </c>
      <c r="CD581">
        <v>300</v>
      </c>
      <c r="CE581" t="s">
        <v>130</v>
      </c>
      <c r="CF581" s="3">
        <v>44620</v>
      </c>
      <c r="CI581">
        <v>1</v>
      </c>
      <c r="CJ581">
        <v>1</v>
      </c>
      <c r="CK581">
        <v>23</v>
      </c>
      <c r="CL581" t="s">
        <v>84</v>
      </c>
    </row>
    <row r="582" spans="1:90" x14ac:dyDescent="0.25">
      <c r="A582" t="s">
        <v>1417</v>
      </c>
      <c r="B582" t="s">
        <v>1400</v>
      </c>
      <c r="C582" t="s">
        <v>74</v>
      </c>
      <c r="E582" t="str">
        <f>"009940956755"</f>
        <v>009940956755</v>
      </c>
      <c r="F582" s="3">
        <v>44616</v>
      </c>
      <c r="G582">
        <v>202208</v>
      </c>
      <c r="H582" t="s">
        <v>1436</v>
      </c>
      <c r="I582" t="s">
        <v>1437</v>
      </c>
      <c r="J582" t="s">
        <v>1401</v>
      </c>
      <c r="K582" t="s">
        <v>78</v>
      </c>
      <c r="L582" t="s">
        <v>441</v>
      </c>
      <c r="M582" t="s">
        <v>442</v>
      </c>
      <c r="N582" t="s">
        <v>1626</v>
      </c>
      <c r="O582" t="s">
        <v>80</v>
      </c>
      <c r="P582" t="str">
        <f t="shared" si="6"/>
        <v xml:space="preserve">STORES                        </v>
      </c>
      <c r="Q582">
        <v>0</v>
      </c>
      <c r="R582">
        <v>0</v>
      </c>
      <c r="S582">
        <v>0</v>
      </c>
      <c r="T582">
        <v>0</v>
      </c>
      <c r="U582">
        <v>0</v>
      </c>
      <c r="V582">
        <v>0</v>
      </c>
      <c r="W582">
        <v>0</v>
      </c>
      <c r="X582">
        <v>0</v>
      </c>
      <c r="Y582">
        <v>0</v>
      </c>
      <c r="Z582">
        <v>0</v>
      </c>
      <c r="AA582">
        <v>0</v>
      </c>
      <c r="AB582">
        <v>0</v>
      </c>
      <c r="AC582">
        <v>0</v>
      </c>
      <c r="AD582">
        <v>0</v>
      </c>
      <c r="AE582">
        <v>0</v>
      </c>
      <c r="AF582">
        <v>0</v>
      </c>
      <c r="AG582">
        <v>0</v>
      </c>
      <c r="AH582">
        <v>0</v>
      </c>
      <c r="AI582">
        <v>0</v>
      </c>
      <c r="AJ582">
        <v>0</v>
      </c>
      <c r="AK582">
        <v>32.479999999999997</v>
      </c>
      <c r="AL582">
        <v>0</v>
      </c>
      <c r="AM582">
        <v>0</v>
      </c>
      <c r="AN582">
        <v>0</v>
      </c>
      <c r="AO582">
        <v>0</v>
      </c>
      <c r="AP582">
        <v>0</v>
      </c>
      <c r="AQ582">
        <v>0</v>
      </c>
      <c r="AR582">
        <v>0</v>
      </c>
      <c r="AS582">
        <v>0</v>
      </c>
      <c r="AT582">
        <v>0</v>
      </c>
      <c r="AU582">
        <v>0</v>
      </c>
      <c r="AV582">
        <v>0</v>
      </c>
      <c r="AW582">
        <v>0</v>
      </c>
      <c r="AX582">
        <v>0</v>
      </c>
      <c r="AY582">
        <v>0</v>
      </c>
      <c r="AZ582">
        <v>0</v>
      </c>
      <c r="BA582">
        <v>0</v>
      </c>
      <c r="BB582">
        <v>0</v>
      </c>
      <c r="BC582">
        <v>0</v>
      </c>
      <c r="BD582">
        <v>0</v>
      </c>
      <c r="BE582">
        <v>0</v>
      </c>
      <c r="BF582">
        <v>0</v>
      </c>
      <c r="BG582">
        <v>0</v>
      </c>
      <c r="BH582">
        <v>1</v>
      </c>
      <c r="BI582">
        <v>1</v>
      </c>
      <c r="BJ582">
        <v>0.2</v>
      </c>
      <c r="BK582">
        <v>1</v>
      </c>
      <c r="BL582">
        <v>116.84</v>
      </c>
      <c r="BM582">
        <v>17.53</v>
      </c>
      <c r="BN582">
        <v>134.37</v>
      </c>
      <c r="BO582">
        <v>134.37</v>
      </c>
      <c r="BQ582" t="s">
        <v>733</v>
      </c>
      <c r="BR582" t="s">
        <v>1443</v>
      </c>
      <c r="BS582" s="3">
        <v>44617</v>
      </c>
      <c r="BT582" s="4">
        <v>0.42083333333333334</v>
      </c>
      <c r="BU582" t="s">
        <v>1569</v>
      </c>
      <c r="BV582" t="s">
        <v>101</v>
      </c>
      <c r="BY582">
        <v>1200</v>
      </c>
      <c r="BZ582" t="s">
        <v>87</v>
      </c>
      <c r="CA582">
        <v>9942236937</v>
      </c>
      <c r="CC582" t="s">
        <v>442</v>
      </c>
      <c r="CD582">
        <v>1034</v>
      </c>
      <c r="CE582" t="s">
        <v>130</v>
      </c>
      <c r="CF582" s="3">
        <v>44618</v>
      </c>
      <c r="CI582">
        <v>1</v>
      </c>
      <c r="CJ582">
        <v>1</v>
      </c>
      <c r="CK582">
        <v>23</v>
      </c>
      <c r="CL582" t="s">
        <v>84</v>
      </c>
    </row>
    <row r="583" spans="1:90" x14ac:dyDescent="0.25">
      <c r="A583" t="s">
        <v>1417</v>
      </c>
      <c r="B583" t="s">
        <v>1400</v>
      </c>
      <c r="C583" t="s">
        <v>74</v>
      </c>
      <c r="E583" t="str">
        <f>"009941618516"</f>
        <v>009941618516</v>
      </c>
      <c r="F583" s="3">
        <v>44616</v>
      </c>
      <c r="G583">
        <v>202208</v>
      </c>
      <c r="H583" t="s">
        <v>1436</v>
      </c>
      <c r="I583" t="s">
        <v>1437</v>
      </c>
      <c r="J583" t="s">
        <v>1401</v>
      </c>
      <c r="K583" t="s">
        <v>78</v>
      </c>
      <c r="L583" t="s">
        <v>75</v>
      </c>
      <c r="M583" t="s">
        <v>76</v>
      </c>
      <c r="N583" t="s">
        <v>1627</v>
      </c>
      <c r="O583" t="s">
        <v>80</v>
      </c>
      <c r="P583" t="str">
        <f t="shared" si="6"/>
        <v xml:space="preserve">STORES                        </v>
      </c>
      <c r="Q583">
        <v>0</v>
      </c>
      <c r="R583">
        <v>0</v>
      </c>
      <c r="S583">
        <v>0</v>
      </c>
      <c r="T583">
        <v>0</v>
      </c>
      <c r="U583">
        <v>0</v>
      </c>
      <c r="V583">
        <v>0</v>
      </c>
      <c r="W583">
        <v>0</v>
      </c>
      <c r="X583">
        <v>0</v>
      </c>
      <c r="Y583">
        <v>0</v>
      </c>
      <c r="Z583">
        <v>0</v>
      </c>
      <c r="AA583">
        <v>0</v>
      </c>
      <c r="AB583">
        <v>0</v>
      </c>
      <c r="AC583">
        <v>0</v>
      </c>
      <c r="AD583">
        <v>0</v>
      </c>
      <c r="AE583">
        <v>0</v>
      </c>
      <c r="AF583">
        <v>0</v>
      </c>
      <c r="AG583">
        <v>0</v>
      </c>
      <c r="AH583">
        <v>0</v>
      </c>
      <c r="AI583">
        <v>0</v>
      </c>
      <c r="AJ583">
        <v>0</v>
      </c>
      <c r="AK583">
        <v>16.760000000000002</v>
      </c>
      <c r="AL583">
        <v>0</v>
      </c>
      <c r="AM583">
        <v>0</v>
      </c>
      <c r="AN583">
        <v>0</v>
      </c>
      <c r="AO583">
        <v>0</v>
      </c>
      <c r="AP583">
        <v>0</v>
      </c>
      <c r="AQ583">
        <v>0</v>
      </c>
      <c r="AR583">
        <v>0</v>
      </c>
      <c r="AS583">
        <v>0</v>
      </c>
      <c r="AT583">
        <v>0</v>
      </c>
      <c r="AU583">
        <v>0</v>
      </c>
      <c r="AV583">
        <v>0</v>
      </c>
      <c r="AW583">
        <v>0</v>
      </c>
      <c r="AX583">
        <v>0</v>
      </c>
      <c r="AY583">
        <v>0</v>
      </c>
      <c r="AZ583">
        <v>0</v>
      </c>
      <c r="BA583">
        <v>0</v>
      </c>
      <c r="BB583">
        <v>0</v>
      </c>
      <c r="BC583">
        <v>0</v>
      </c>
      <c r="BD583">
        <v>0</v>
      </c>
      <c r="BE583">
        <v>0</v>
      </c>
      <c r="BF583">
        <v>0</v>
      </c>
      <c r="BG583">
        <v>0</v>
      </c>
      <c r="BH583">
        <v>1</v>
      </c>
      <c r="BI583">
        <v>1</v>
      </c>
      <c r="BJ583">
        <v>0.2</v>
      </c>
      <c r="BK583">
        <v>1</v>
      </c>
      <c r="BL583">
        <v>60.3</v>
      </c>
      <c r="BM583">
        <v>9.0500000000000007</v>
      </c>
      <c r="BN583">
        <v>69.349999999999994</v>
      </c>
      <c r="BO583">
        <v>69.349999999999994</v>
      </c>
      <c r="BQ583" t="s">
        <v>733</v>
      </c>
      <c r="BR583" t="s">
        <v>733</v>
      </c>
      <c r="BS583" s="3">
        <v>44617</v>
      </c>
      <c r="BT583" s="4">
        <v>0.35138888888888892</v>
      </c>
      <c r="BU583" t="s">
        <v>1628</v>
      </c>
      <c r="BV583" t="s">
        <v>101</v>
      </c>
      <c r="BY583">
        <v>1200</v>
      </c>
      <c r="BZ583" t="s">
        <v>87</v>
      </c>
      <c r="CA583" t="s">
        <v>1514</v>
      </c>
      <c r="CC583" t="s">
        <v>76</v>
      </c>
      <c r="CD583">
        <v>8000</v>
      </c>
      <c r="CE583" t="s">
        <v>130</v>
      </c>
      <c r="CF583" s="3">
        <v>44620</v>
      </c>
      <c r="CI583">
        <v>1</v>
      </c>
      <c r="CJ583">
        <v>1</v>
      </c>
      <c r="CK583">
        <v>21</v>
      </c>
      <c r="CL583" t="s">
        <v>84</v>
      </c>
    </row>
    <row r="584" spans="1:90" x14ac:dyDescent="0.25">
      <c r="A584" t="s">
        <v>1417</v>
      </c>
      <c r="B584" t="s">
        <v>1400</v>
      </c>
      <c r="C584" t="s">
        <v>74</v>
      </c>
      <c r="E584" t="str">
        <f>"009941209239"</f>
        <v>009941209239</v>
      </c>
      <c r="F584" s="3">
        <v>44616</v>
      </c>
      <c r="G584">
        <v>202208</v>
      </c>
      <c r="H584" t="s">
        <v>1436</v>
      </c>
      <c r="I584" t="s">
        <v>1437</v>
      </c>
      <c r="J584" t="s">
        <v>1401</v>
      </c>
      <c r="K584" t="s">
        <v>78</v>
      </c>
      <c r="L584" t="s">
        <v>761</v>
      </c>
      <c r="M584" t="s">
        <v>762</v>
      </c>
      <c r="N584" t="s">
        <v>1629</v>
      </c>
      <c r="O584" t="s">
        <v>80</v>
      </c>
      <c r="P584" t="str">
        <f t="shared" si="6"/>
        <v xml:space="preserve">STORES                        </v>
      </c>
      <c r="Q584">
        <v>0</v>
      </c>
      <c r="R584">
        <v>0</v>
      </c>
      <c r="S584">
        <v>0</v>
      </c>
      <c r="T584">
        <v>0</v>
      </c>
      <c r="U584">
        <v>0</v>
      </c>
      <c r="V584">
        <v>0</v>
      </c>
      <c r="W584">
        <v>0</v>
      </c>
      <c r="X584">
        <v>0</v>
      </c>
      <c r="Y584">
        <v>0</v>
      </c>
      <c r="Z584">
        <v>0</v>
      </c>
      <c r="AA584">
        <v>0</v>
      </c>
      <c r="AB584">
        <v>0</v>
      </c>
      <c r="AC584">
        <v>0</v>
      </c>
      <c r="AD584">
        <v>0</v>
      </c>
      <c r="AE584">
        <v>0</v>
      </c>
      <c r="AF584">
        <v>0</v>
      </c>
      <c r="AG584">
        <v>0</v>
      </c>
      <c r="AH584">
        <v>0</v>
      </c>
      <c r="AI584">
        <v>0</v>
      </c>
      <c r="AJ584">
        <v>0</v>
      </c>
      <c r="AK584">
        <v>16.760000000000002</v>
      </c>
      <c r="AL584">
        <v>0</v>
      </c>
      <c r="AM584">
        <v>0</v>
      </c>
      <c r="AN584">
        <v>0</v>
      </c>
      <c r="AO584">
        <v>0</v>
      </c>
      <c r="AP584">
        <v>0</v>
      </c>
      <c r="AQ584">
        <v>0</v>
      </c>
      <c r="AR584">
        <v>0</v>
      </c>
      <c r="AS584">
        <v>0</v>
      </c>
      <c r="AT584">
        <v>0</v>
      </c>
      <c r="AU584">
        <v>0</v>
      </c>
      <c r="AV584">
        <v>0</v>
      </c>
      <c r="AW584">
        <v>0</v>
      </c>
      <c r="AX584">
        <v>0</v>
      </c>
      <c r="AY584">
        <v>0</v>
      </c>
      <c r="AZ584">
        <v>0</v>
      </c>
      <c r="BA584">
        <v>0</v>
      </c>
      <c r="BB584">
        <v>0</v>
      </c>
      <c r="BC584">
        <v>0</v>
      </c>
      <c r="BD584">
        <v>0</v>
      </c>
      <c r="BE584">
        <v>0</v>
      </c>
      <c r="BF584">
        <v>0</v>
      </c>
      <c r="BG584">
        <v>0</v>
      </c>
      <c r="BH584">
        <v>1</v>
      </c>
      <c r="BI584">
        <v>1</v>
      </c>
      <c r="BJ584">
        <v>0.2</v>
      </c>
      <c r="BK584">
        <v>1</v>
      </c>
      <c r="BL584">
        <v>60.3</v>
      </c>
      <c r="BM584">
        <v>9.0500000000000007</v>
      </c>
      <c r="BN584">
        <v>69.349999999999994</v>
      </c>
      <c r="BO584">
        <v>69.349999999999994</v>
      </c>
      <c r="BQ584" t="s">
        <v>733</v>
      </c>
      <c r="BR584" t="s">
        <v>733</v>
      </c>
      <c r="BS584" s="3">
        <v>44617</v>
      </c>
      <c r="BT584" s="4">
        <v>0.53472222222222221</v>
      </c>
      <c r="BU584" t="s">
        <v>1630</v>
      </c>
      <c r="BV584" t="s">
        <v>84</v>
      </c>
      <c r="BW584" t="s">
        <v>964</v>
      </c>
      <c r="BX584" t="s">
        <v>899</v>
      </c>
      <c r="BY584">
        <v>1200</v>
      </c>
      <c r="BZ584" t="s">
        <v>87</v>
      </c>
      <c r="CA584" t="s">
        <v>767</v>
      </c>
      <c r="CC584" t="s">
        <v>762</v>
      </c>
      <c r="CD584">
        <v>9300</v>
      </c>
      <c r="CE584" t="s">
        <v>130</v>
      </c>
      <c r="CF584" s="3">
        <v>44620</v>
      </c>
      <c r="CI584">
        <v>1</v>
      </c>
      <c r="CJ584">
        <v>1</v>
      </c>
      <c r="CK584">
        <v>21</v>
      </c>
      <c r="CL584" t="s">
        <v>84</v>
      </c>
    </row>
    <row r="585" spans="1:90" x14ac:dyDescent="0.25">
      <c r="A585" t="s">
        <v>1417</v>
      </c>
      <c r="B585" t="s">
        <v>1400</v>
      </c>
      <c r="C585" t="s">
        <v>74</v>
      </c>
      <c r="E585" t="str">
        <f>"009941332101"</f>
        <v>009941332101</v>
      </c>
      <c r="F585" s="3">
        <v>44616</v>
      </c>
      <c r="G585">
        <v>202208</v>
      </c>
      <c r="H585" t="s">
        <v>1436</v>
      </c>
      <c r="I585" t="s">
        <v>1437</v>
      </c>
      <c r="J585" t="s">
        <v>1401</v>
      </c>
      <c r="K585" t="s">
        <v>78</v>
      </c>
      <c r="L585" t="s">
        <v>401</v>
      </c>
      <c r="M585" t="s">
        <v>402</v>
      </c>
      <c r="N585" t="s">
        <v>1631</v>
      </c>
      <c r="O585" t="s">
        <v>80</v>
      </c>
      <c r="P585" t="str">
        <f t="shared" si="6"/>
        <v xml:space="preserve">STORES                        </v>
      </c>
      <c r="Q585">
        <v>0</v>
      </c>
      <c r="R585">
        <v>0</v>
      </c>
      <c r="S585">
        <v>0</v>
      </c>
      <c r="T585">
        <v>0</v>
      </c>
      <c r="U585">
        <v>0</v>
      </c>
      <c r="V585">
        <v>0</v>
      </c>
      <c r="W585">
        <v>0</v>
      </c>
      <c r="X585">
        <v>0</v>
      </c>
      <c r="Y585">
        <v>0</v>
      </c>
      <c r="Z585">
        <v>0</v>
      </c>
      <c r="AA585">
        <v>0</v>
      </c>
      <c r="AB585">
        <v>0</v>
      </c>
      <c r="AC585">
        <v>0</v>
      </c>
      <c r="AD585">
        <v>0</v>
      </c>
      <c r="AE585">
        <v>0</v>
      </c>
      <c r="AF585">
        <v>0</v>
      </c>
      <c r="AG585">
        <v>0</v>
      </c>
      <c r="AH585">
        <v>0</v>
      </c>
      <c r="AI585">
        <v>0</v>
      </c>
      <c r="AJ585">
        <v>0</v>
      </c>
      <c r="AK585">
        <v>16.760000000000002</v>
      </c>
      <c r="AL585">
        <v>0</v>
      </c>
      <c r="AM585">
        <v>0</v>
      </c>
      <c r="AN585">
        <v>0</v>
      </c>
      <c r="AO585">
        <v>0</v>
      </c>
      <c r="AP585">
        <v>0</v>
      </c>
      <c r="AQ585">
        <v>0</v>
      </c>
      <c r="AR585">
        <v>0</v>
      </c>
      <c r="AS585">
        <v>0</v>
      </c>
      <c r="AT585">
        <v>0</v>
      </c>
      <c r="AU585">
        <v>0</v>
      </c>
      <c r="AV585">
        <v>0</v>
      </c>
      <c r="AW585">
        <v>0</v>
      </c>
      <c r="AX585">
        <v>0</v>
      </c>
      <c r="AY585">
        <v>0</v>
      </c>
      <c r="AZ585">
        <v>0</v>
      </c>
      <c r="BA585">
        <v>0</v>
      </c>
      <c r="BB585">
        <v>0</v>
      </c>
      <c r="BC585">
        <v>0</v>
      </c>
      <c r="BD585">
        <v>0</v>
      </c>
      <c r="BE585">
        <v>0</v>
      </c>
      <c r="BF585">
        <v>0</v>
      </c>
      <c r="BG585">
        <v>0</v>
      </c>
      <c r="BH585">
        <v>1</v>
      </c>
      <c r="BI585">
        <v>1</v>
      </c>
      <c r="BJ585">
        <v>0.2</v>
      </c>
      <c r="BK585">
        <v>1</v>
      </c>
      <c r="BL585">
        <v>60.3</v>
      </c>
      <c r="BM585">
        <v>9.0500000000000007</v>
      </c>
      <c r="BN585">
        <v>69.349999999999994</v>
      </c>
      <c r="BO585">
        <v>69.349999999999994</v>
      </c>
      <c r="BQ585" t="s">
        <v>733</v>
      </c>
      <c r="BR585" t="s">
        <v>733</v>
      </c>
      <c r="BS585" s="3">
        <v>44617</v>
      </c>
      <c r="BT585" s="4">
        <v>0.50208333333333333</v>
      </c>
      <c r="BU585" t="s">
        <v>1632</v>
      </c>
      <c r="BV585" t="s">
        <v>84</v>
      </c>
      <c r="BW585" t="s">
        <v>801</v>
      </c>
      <c r="BX585" t="s">
        <v>766</v>
      </c>
      <c r="BY585">
        <v>1200</v>
      </c>
      <c r="BZ585" t="s">
        <v>87</v>
      </c>
      <c r="CA585" t="s">
        <v>1507</v>
      </c>
      <c r="CC585" t="s">
        <v>402</v>
      </c>
      <c r="CD585">
        <v>699</v>
      </c>
      <c r="CE585" t="s">
        <v>130</v>
      </c>
      <c r="CF585" s="3">
        <v>44617</v>
      </c>
      <c r="CI585">
        <v>1</v>
      </c>
      <c r="CJ585">
        <v>1</v>
      </c>
      <c r="CK585">
        <v>21</v>
      </c>
      <c r="CL585" t="s">
        <v>84</v>
      </c>
    </row>
    <row r="586" spans="1:90" x14ac:dyDescent="0.25">
      <c r="A586" t="s">
        <v>1417</v>
      </c>
      <c r="B586" t="s">
        <v>1400</v>
      </c>
      <c r="C586" t="s">
        <v>74</v>
      </c>
      <c r="E586" t="str">
        <f>"009936115664"</f>
        <v>009936115664</v>
      </c>
      <c r="F586" s="3">
        <v>44616</v>
      </c>
      <c r="G586">
        <v>202208</v>
      </c>
      <c r="H586" t="s">
        <v>1436</v>
      </c>
      <c r="I586" t="s">
        <v>1437</v>
      </c>
      <c r="J586" t="s">
        <v>1401</v>
      </c>
      <c r="K586" t="s">
        <v>78</v>
      </c>
      <c r="L586" t="s">
        <v>123</v>
      </c>
      <c r="M586" t="s">
        <v>124</v>
      </c>
      <c r="N586" t="s">
        <v>1401</v>
      </c>
      <c r="O586" t="s">
        <v>80</v>
      </c>
      <c r="P586" t="str">
        <f t="shared" si="6"/>
        <v xml:space="preserve">STORES                        </v>
      </c>
      <c r="Q586">
        <v>0</v>
      </c>
      <c r="R586">
        <v>0</v>
      </c>
      <c r="S586">
        <v>0</v>
      </c>
      <c r="T586">
        <v>0</v>
      </c>
      <c r="U586">
        <v>0</v>
      </c>
      <c r="V586">
        <v>0</v>
      </c>
      <c r="W586">
        <v>0</v>
      </c>
      <c r="X586">
        <v>0</v>
      </c>
      <c r="Y586">
        <v>0</v>
      </c>
      <c r="Z586">
        <v>0</v>
      </c>
      <c r="AA586">
        <v>0</v>
      </c>
      <c r="AB586">
        <v>0</v>
      </c>
      <c r="AC586">
        <v>0</v>
      </c>
      <c r="AD586">
        <v>0</v>
      </c>
      <c r="AE586">
        <v>0</v>
      </c>
      <c r="AF586">
        <v>0</v>
      </c>
      <c r="AG586">
        <v>0</v>
      </c>
      <c r="AH586">
        <v>0</v>
      </c>
      <c r="AI586">
        <v>0</v>
      </c>
      <c r="AJ586">
        <v>0</v>
      </c>
      <c r="AK586">
        <v>16.760000000000002</v>
      </c>
      <c r="AL586">
        <v>0</v>
      </c>
      <c r="AM586">
        <v>0</v>
      </c>
      <c r="AN586">
        <v>0</v>
      </c>
      <c r="AO586">
        <v>0</v>
      </c>
      <c r="AP586">
        <v>0</v>
      </c>
      <c r="AQ586">
        <v>0</v>
      </c>
      <c r="AR586">
        <v>0</v>
      </c>
      <c r="AS586">
        <v>0</v>
      </c>
      <c r="AT586">
        <v>0</v>
      </c>
      <c r="AU586">
        <v>0</v>
      </c>
      <c r="AV586">
        <v>0</v>
      </c>
      <c r="AW586">
        <v>0</v>
      </c>
      <c r="AX586">
        <v>0</v>
      </c>
      <c r="AY586">
        <v>0</v>
      </c>
      <c r="AZ586">
        <v>0</v>
      </c>
      <c r="BA586">
        <v>0</v>
      </c>
      <c r="BB586">
        <v>0</v>
      </c>
      <c r="BC586">
        <v>0</v>
      </c>
      <c r="BD586">
        <v>0</v>
      </c>
      <c r="BE586">
        <v>0</v>
      </c>
      <c r="BF586">
        <v>0</v>
      </c>
      <c r="BG586">
        <v>0</v>
      </c>
      <c r="BH586">
        <v>1</v>
      </c>
      <c r="BI586">
        <v>1</v>
      </c>
      <c r="BJ586">
        <v>0.2</v>
      </c>
      <c r="BK586">
        <v>1</v>
      </c>
      <c r="BL586">
        <v>60.3</v>
      </c>
      <c r="BM586">
        <v>9.0500000000000007</v>
      </c>
      <c r="BN586">
        <v>69.349999999999994</v>
      </c>
      <c r="BO586">
        <v>69.349999999999994</v>
      </c>
      <c r="BQ586" t="s">
        <v>733</v>
      </c>
      <c r="BR586" t="s">
        <v>1443</v>
      </c>
      <c r="BS586" s="3">
        <v>44617</v>
      </c>
      <c r="BT586" s="4">
        <v>0.39374999999999999</v>
      </c>
      <c r="BU586" t="s">
        <v>1604</v>
      </c>
      <c r="BV586" t="s">
        <v>101</v>
      </c>
      <c r="BY586">
        <v>1200</v>
      </c>
      <c r="BZ586" t="s">
        <v>87</v>
      </c>
      <c r="CA586" t="s">
        <v>1445</v>
      </c>
      <c r="CC586" t="s">
        <v>124</v>
      </c>
      <c r="CD586">
        <v>6045</v>
      </c>
      <c r="CE586" t="s">
        <v>130</v>
      </c>
      <c r="CF586" s="3">
        <v>44617</v>
      </c>
      <c r="CI586">
        <v>1</v>
      </c>
      <c r="CJ586">
        <v>1</v>
      </c>
      <c r="CK586">
        <v>21</v>
      </c>
      <c r="CL586" t="s">
        <v>84</v>
      </c>
    </row>
    <row r="587" spans="1:90" x14ac:dyDescent="0.25">
      <c r="A587" t="s">
        <v>1417</v>
      </c>
      <c r="B587" t="s">
        <v>1400</v>
      </c>
      <c r="C587" t="s">
        <v>74</v>
      </c>
      <c r="E587" t="str">
        <f>"009941332102"</f>
        <v>009941332102</v>
      </c>
      <c r="F587" s="3">
        <v>44616</v>
      </c>
      <c r="G587">
        <v>202208</v>
      </c>
      <c r="H587" t="s">
        <v>1436</v>
      </c>
      <c r="I587" t="s">
        <v>1437</v>
      </c>
      <c r="J587" t="s">
        <v>1401</v>
      </c>
      <c r="K587" t="s">
        <v>78</v>
      </c>
      <c r="L587" t="s">
        <v>401</v>
      </c>
      <c r="M587" t="s">
        <v>402</v>
      </c>
      <c r="N587" t="s">
        <v>1401</v>
      </c>
      <c r="O587" t="s">
        <v>125</v>
      </c>
      <c r="P587" t="str">
        <f t="shared" si="6"/>
        <v xml:space="preserve">STORES                        </v>
      </c>
      <c r="Q587">
        <v>0</v>
      </c>
      <c r="R587">
        <v>0</v>
      </c>
      <c r="S587">
        <v>0</v>
      </c>
      <c r="T587">
        <v>0</v>
      </c>
      <c r="U587">
        <v>0</v>
      </c>
      <c r="V587">
        <v>0</v>
      </c>
      <c r="W587">
        <v>0</v>
      </c>
      <c r="X587">
        <v>0</v>
      </c>
      <c r="Y587">
        <v>0</v>
      </c>
      <c r="Z587">
        <v>0</v>
      </c>
      <c r="AA587">
        <v>0</v>
      </c>
      <c r="AB587">
        <v>0</v>
      </c>
      <c r="AC587">
        <v>0</v>
      </c>
      <c r="AD587">
        <v>0</v>
      </c>
      <c r="AE587">
        <v>0</v>
      </c>
      <c r="AF587">
        <v>0</v>
      </c>
      <c r="AG587">
        <v>0</v>
      </c>
      <c r="AH587">
        <v>0</v>
      </c>
      <c r="AI587">
        <v>0</v>
      </c>
      <c r="AJ587">
        <v>0</v>
      </c>
      <c r="AK587">
        <v>32.42</v>
      </c>
      <c r="AL587">
        <v>0</v>
      </c>
      <c r="AM587">
        <v>0</v>
      </c>
      <c r="AN587">
        <v>0</v>
      </c>
      <c r="AO587">
        <v>0</v>
      </c>
      <c r="AP587">
        <v>0</v>
      </c>
      <c r="AQ587">
        <v>0</v>
      </c>
      <c r="AR587">
        <v>0</v>
      </c>
      <c r="AS587">
        <v>0</v>
      </c>
      <c r="AT587">
        <v>0</v>
      </c>
      <c r="AU587">
        <v>0</v>
      </c>
      <c r="AV587">
        <v>0</v>
      </c>
      <c r="AW587">
        <v>0</v>
      </c>
      <c r="AX587">
        <v>0</v>
      </c>
      <c r="AY587">
        <v>0</v>
      </c>
      <c r="AZ587">
        <v>0</v>
      </c>
      <c r="BA587">
        <v>0</v>
      </c>
      <c r="BB587">
        <v>0</v>
      </c>
      <c r="BC587">
        <v>0</v>
      </c>
      <c r="BD587">
        <v>0</v>
      </c>
      <c r="BE587">
        <v>0</v>
      </c>
      <c r="BF587">
        <v>0</v>
      </c>
      <c r="BG587">
        <v>0</v>
      </c>
      <c r="BH587">
        <v>1</v>
      </c>
      <c r="BI587">
        <v>3.6</v>
      </c>
      <c r="BJ587">
        <v>4.3</v>
      </c>
      <c r="BK587">
        <v>5</v>
      </c>
      <c r="BL587">
        <v>121.87</v>
      </c>
      <c r="BM587">
        <v>18.28</v>
      </c>
      <c r="BN587">
        <v>140.15</v>
      </c>
      <c r="BO587">
        <v>140.15</v>
      </c>
      <c r="BQ587" t="s">
        <v>733</v>
      </c>
      <c r="BR587" t="s">
        <v>1443</v>
      </c>
      <c r="BS587" s="3">
        <v>44617</v>
      </c>
      <c r="BT587" s="4">
        <v>0.4993055555555555</v>
      </c>
      <c r="BU587" t="s">
        <v>1632</v>
      </c>
      <c r="BV587" t="s">
        <v>101</v>
      </c>
      <c r="BY587">
        <v>21270.09</v>
      </c>
      <c r="BZ587" t="s">
        <v>137</v>
      </c>
      <c r="CA587" t="s">
        <v>1507</v>
      </c>
      <c r="CC587" t="s">
        <v>402</v>
      </c>
      <c r="CD587">
        <v>699</v>
      </c>
      <c r="CE587" t="s">
        <v>130</v>
      </c>
      <c r="CF587" s="3">
        <v>44617</v>
      </c>
      <c r="CI587">
        <v>1</v>
      </c>
      <c r="CJ587">
        <v>1</v>
      </c>
      <c r="CK587">
        <v>41</v>
      </c>
      <c r="CL587" t="s">
        <v>84</v>
      </c>
    </row>
    <row r="588" spans="1:90" x14ac:dyDescent="0.25">
      <c r="A588" t="s">
        <v>1417</v>
      </c>
      <c r="B588" t="s">
        <v>1400</v>
      </c>
      <c r="C588" t="s">
        <v>74</v>
      </c>
      <c r="E588" t="str">
        <f>"009941332103"</f>
        <v>009941332103</v>
      </c>
      <c r="F588" s="3">
        <v>44616</v>
      </c>
      <c r="G588">
        <v>202208</v>
      </c>
      <c r="H588" t="s">
        <v>1436</v>
      </c>
      <c r="I588" t="s">
        <v>1437</v>
      </c>
      <c r="J588" t="s">
        <v>1401</v>
      </c>
      <c r="K588" t="s">
        <v>78</v>
      </c>
      <c r="L588" t="s">
        <v>401</v>
      </c>
      <c r="M588" t="s">
        <v>402</v>
      </c>
      <c r="N588" t="s">
        <v>1401</v>
      </c>
      <c r="O588" t="s">
        <v>125</v>
      </c>
      <c r="P588" t="str">
        <f t="shared" si="6"/>
        <v xml:space="preserve">STORES                        </v>
      </c>
      <c r="Q588">
        <v>0</v>
      </c>
      <c r="R588">
        <v>0</v>
      </c>
      <c r="S588">
        <v>0</v>
      </c>
      <c r="T588">
        <v>0</v>
      </c>
      <c r="U588">
        <v>0</v>
      </c>
      <c r="V588">
        <v>0</v>
      </c>
      <c r="W588">
        <v>0</v>
      </c>
      <c r="X588">
        <v>0</v>
      </c>
      <c r="Y588">
        <v>0</v>
      </c>
      <c r="Z588">
        <v>0</v>
      </c>
      <c r="AA588">
        <v>0</v>
      </c>
      <c r="AB588">
        <v>0</v>
      </c>
      <c r="AC588">
        <v>0</v>
      </c>
      <c r="AD588">
        <v>0</v>
      </c>
      <c r="AE588">
        <v>0</v>
      </c>
      <c r="AF588">
        <v>0</v>
      </c>
      <c r="AG588">
        <v>0</v>
      </c>
      <c r="AH588">
        <v>0</v>
      </c>
      <c r="AI588">
        <v>0</v>
      </c>
      <c r="AJ588">
        <v>0</v>
      </c>
      <c r="AK588">
        <v>91.2</v>
      </c>
      <c r="AL588">
        <v>0</v>
      </c>
      <c r="AM588">
        <v>0</v>
      </c>
      <c r="AN588">
        <v>0</v>
      </c>
      <c r="AO588">
        <v>0</v>
      </c>
      <c r="AP588">
        <v>0</v>
      </c>
      <c r="AQ588">
        <v>0</v>
      </c>
      <c r="AR588">
        <v>0</v>
      </c>
      <c r="AS588">
        <v>0</v>
      </c>
      <c r="AT588">
        <v>0</v>
      </c>
      <c r="AU588">
        <v>0</v>
      </c>
      <c r="AV588">
        <v>0</v>
      </c>
      <c r="AW588">
        <v>0</v>
      </c>
      <c r="AX588">
        <v>0</v>
      </c>
      <c r="AY588">
        <v>0</v>
      </c>
      <c r="AZ588">
        <v>0</v>
      </c>
      <c r="BA588">
        <v>0</v>
      </c>
      <c r="BB588">
        <v>0</v>
      </c>
      <c r="BC588">
        <v>0</v>
      </c>
      <c r="BD588">
        <v>0</v>
      </c>
      <c r="BE588">
        <v>0</v>
      </c>
      <c r="BF588">
        <v>0</v>
      </c>
      <c r="BG588">
        <v>0</v>
      </c>
      <c r="BH588">
        <v>2</v>
      </c>
      <c r="BI588">
        <v>58.4</v>
      </c>
      <c r="BJ588">
        <v>42.7</v>
      </c>
      <c r="BK588">
        <v>59</v>
      </c>
      <c r="BL588">
        <v>333.33</v>
      </c>
      <c r="BM588">
        <v>50</v>
      </c>
      <c r="BN588">
        <v>383.33</v>
      </c>
      <c r="BO588">
        <v>383.33</v>
      </c>
      <c r="BQ588" t="s">
        <v>733</v>
      </c>
      <c r="BR588" t="s">
        <v>1443</v>
      </c>
      <c r="BS588" s="3">
        <v>44617</v>
      </c>
      <c r="BT588" s="4">
        <v>0.50208333333333333</v>
      </c>
      <c r="BU588" t="s">
        <v>1632</v>
      </c>
      <c r="BV588" t="s">
        <v>101</v>
      </c>
      <c r="BY588">
        <v>213404.28</v>
      </c>
      <c r="BZ588" t="s">
        <v>137</v>
      </c>
      <c r="CA588" t="s">
        <v>1507</v>
      </c>
      <c r="CC588" t="s">
        <v>402</v>
      </c>
      <c r="CD588">
        <v>699</v>
      </c>
      <c r="CE588" t="s">
        <v>130</v>
      </c>
      <c r="CF588" s="3">
        <v>44617</v>
      </c>
      <c r="CI588">
        <v>1</v>
      </c>
      <c r="CJ588">
        <v>1</v>
      </c>
      <c r="CK588">
        <v>41</v>
      </c>
      <c r="CL588" t="s">
        <v>84</v>
      </c>
    </row>
    <row r="589" spans="1:90" x14ac:dyDescent="0.25">
      <c r="A589" t="s">
        <v>1417</v>
      </c>
      <c r="B589" t="s">
        <v>1400</v>
      </c>
      <c r="C589" t="s">
        <v>74</v>
      </c>
      <c r="E589" t="str">
        <f>"009941108100"</f>
        <v>009941108100</v>
      </c>
      <c r="F589" s="3">
        <v>44617</v>
      </c>
      <c r="G589">
        <v>202208</v>
      </c>
      <c r="H589" t="s">
        <v>282</v>
      </c>
      <c r="I589" t="s">
        <v>283</v>
      </c>
      <c r="J589" t="s">
        <v>1401</v>
      </c>
      <c r="K589" t="s">
        <v>78</v>
      </c>
      <c r="L589" t="s">
        <v>435</v>
      </c>
      <c r="M589" t="s">
        <v>436</v>
      </c>
      <c r="N589" t="s">
        <v>1515</v>
      </c>
      <c r="O589" t="s">
        <v>125</v>
      </c>
      <c r="P589" t="str">
        <f t="shared" ref="P589:P595" si="7">"                              "</f>
        <v xml:space="preserve">                              </v>
      </c>
      <c r="Q589">
        <v>0</v>
      </c>
      <c r="R589">
        <v>0</v>
      </c>
      <c r="S589">
        <v>0</v>
      </c>
      <c r="T589">
        <v>0</v>
      </c>
      <c r="U589">
        <v>0</v>
      </c>
      <c r="V589">
        <v>0</v>
      </c>
      <c r="W589">
        <v>0</v>
      </c>
      <c r="X589">
        <v>0</v>
      </c>
      <c r="Y589">
        <v>0</v>
      </c>
      <c r="Z589">
        <v>0</v>
      </c>
      <c r="AA589">
        <v>0</v>
      </c>
      <c r="AB589">
        <v>0</v>
      </c>
      <c r="AC589">
        <v>0</v>
      </c>
      <c r="AD589">
        <v>0</v>
      </c>
      <c r="AE589">
        <v>0</v>
      </c>
      <c r="AF589">
        <v>0</v>
      </c>
      <c r="AG589">
        <v>0</v>
      </c>
      <c r="AH589">
        <v>0</v>
      </c>
      <c r="AI589">
        <v>0</v>
      </c>
      <c r="AJ589">
        <v>0</v>
      </c>
      <c r="AK589">
        <v>45.72</v>
      </c>
      <c r="AL589">
        <v>0</v>
      </c>
      <c r="AM589">
        <v>0</v>
      </c>
      <c r="AN589">
        <v>0</v>
      </c>
      <c r="AO589">
        <v>0</v>
      </c>
      <c r="AP589">
        <v>0</v>
      </c>
      <c r="AQ589">
        <v>0</v>
      </c>
      <c r="AR589">
        <v>0</v>
      </c>
      <c r="AS589">
        <v>0</v>
      </c>
      <c r="AT589">
        <v>0</v>
      </c>
      <c r="AU589">
        <v>0</v>
      </c>
      <c r="AV589">
        <v>0</v>
      </c>
      <c r="AW589">
        <v>0</v>
      </c>
      <c r="AX589">
        <v>0</v>
      </c>
      <c r="AY589">
        <v>0</v>
      </c>
      <c r="AZ589">
        <v>0</v>
      </c>
      <c r="BA589">
        <v>0</v>
      </c>
      <c r="BB589">
        <v>0</v>
      </c>
      <c r="BC589">
        <v>0</v>
      </c>
      <c r="BD589">
        <v>0</v>
      </c>
      <c r="BE589">
        <v>0</v>
      </c>
      <c r="BF589">
        <v>0</v>
      </c>
      <c r="BG589">
        <v>0</v>
      </c>
      <c r="BH589">
        <v>1</v>
      </c>
      <c r="BI589">
        <v>7.1</v>
      </c>
      <c r="BJ589">
        <v>1.6</v>
      </c>
      <c r="BK589">
        <v>8</v>
      </c>
      <c r="BL589">
        <v>169.72</v>
      </c>
      <c r="BM589">
        <v>25.46</v>
      </c>
      <c r="BN589">
        <v>195.18</v>
      </c>
      <c r="BO589">
        <v>195.18</v>
      </c>
      <c r="BQ589" t="s">
        <v>1141</v>
      </c>
      <c r="BR589" t="s">
        <v>1421</v>
      </c>
      <c r="BS589" s="3">
        <v>44620</v>
      </c>
      <c r="BT589" s="4">
        <v>0.42499999999999999</v>
      </c>
      <c r="BU589" t="s">
        <v>1633</v>
      </c>
      <c r="BV589" t="s">
        <v>101</v>
      </c>
      <c r="BY589">
        <v>8246</v>
      </c>
      <c r="BZ589" t="s">
        <v>137</v>
      </c>
      <c r="CA589" t="s">
        <v>1518</v>
      </c>
      <c r="CC589" t="s">
        <v>436</v>
      </c>
      <c r="CD589">
        <v>2570</v>
      </c>
      <c r="CE589" t="s">
        <v>130</v>
      </c>
      <c r="CI589">
        <v>1</v>
      </c>
      <c r="CJ589">
        <v>1</v>
      </c>
      <c r="CK589">
        <v>43</v>
      </c>
      <c r="CL589" t="s">
        <v>84</v>
      </c>
    </row>
    <row r="590" spans="1:90" x14ac:dyDescent="0.25">
      <c r="A590" t="s">
        <v>1399</v>
      </c>
      <c r="B590" t="s">
        <v>1400</v>
      </c>
      <c r="C590" t="s">
        <v>74</v>
      </c>
      <c r="E590" t="str">
        <f>"009941994654"</f>
        <v>009941994654</v>
      </c>
      <c r="F590" s="3">
        <v>44616</v>
      </c>
      <c r="G590">
        <v>202208</v>
      </c>
      <c r="H590" t="s">
        <v>761</v>
      </c>
      <c r="I590" t="s">
        <v>762</v>
      </c>
      <c r="J590" t="s">
        <v>1401</v>
      </c>
      <c r="K590" t="s">
        <v>78</v>
      </c>
      <c r="L590" t="s">
        <v>1436</v>
      </c>
      <c r="M590" t="s">
        <v>1437</v>
      </c>
      <c r="N590" t="s">
        <v>1401</v>
      </c>
      <c r="O590" t="s">
        <v>125</v>
      </c>
      <c r="P590" t="str">
        <f t="shared" si="7"/>
        <v xml:space="preserve">                              </v>
      </c>
      <c r="Q590">
        <v>0</v>
      </c>
      <c r="R590">
        <v>0</v>
      </c>
      <c r="S590">
        <v>0</v>
      </c>
      <c r="T590">
        <v>0</v>
      </c>
      <c r="U590">
        <v>0</v>
      </c>
      <c r="V590">
        <v>0</v>
      </c>
      <c r="W590">
        <v>0</v>
      </c>
      <c r="X590">
        <v>0</v>
      </c>
      <c r="Y590">
        <v>0</v>
      </c>
      <c r="Z590">
        <v>0</v>
      </c>
      <c r="AA590">
        <v>0</v>
      </c>
      <c r="AB590">
        <v>0</v>
      </c>
      <c r="AC590">
        <v>0</v>
      </c>
      <c r="AD590">
        <v>0</v>
      </c>
      <c r="AE590">
        <v>0</v>
      </c>
      <c r="AF590">
        <v>0</v>
      </c>
      <c r="AG590">
        <v>0</v>
      </c>
      <c r="AH590">
        <v>0</v>
      </c>
      <c r="AI590">
        <v>0</v>
      </c>
      <c r="AJ590">
        <v>0</v>
      </c>
      <c r="AK590">
        <v>32.42</v>
      </c>
      <c r="AL590">
        <v>0</v>
      </c>
      <c r="AM590">
        <v>0</v>
      </c>
      <c r="AN590">
        <v>0</v>
      </c>
      <c r="AO590">
        <v>0</v>
      </c>
      <c r="AP590">
        <v>0</v>
      </c>
      <c r="AQ590">
        <v>0</v>
      </c>
      <c r="AR590">
        <v>0</v>
      </c>
      <c r="AS590">
        <v>0</v>
      </c>
      <c r="AT590">
        <v>0</v>
      </c>
      <c r="AU590">
        <v>0</v>
      </c>
      <c r="AV590">
        <v>0</v>
      </c>
      <c r="AW590">
        <v>0</v>
      </c>
      <c r="AX590">
        <v>0</v>
      </c>
      <c r="AY590">
        <v>0</v>
      </c>
      <c r="AZ590">
        <v>0</v>
      </c>
      <c r="BA590">
        <v>0</v>
      </c>
      <c r="BB590">
        <v>0</v>
      </c>
      <c r="BC590">
        <v>0</v>
      </c>
      <c r="BD590">
        <v>0</v>
      </c>
      <c r="BE590">
        <v>0</v>
      </c>
      <c r="BF590">
        <v>0</v>
      </c>
      <c r="BG590">
        <v>0</v>
      </c>
      <c r="BH590">
        <v>1</v>
      </c>
      <c r="BI590">
        <v>1</v>
      </c>
      <c r="BJ590">
        <v>0.2</v>
      </c>
      <c r="BK590">
        <v>1</v>
      </c>
      <c r="BL590">
        <v>121.87</v>
      </c>
      <c r="BM590">
        <v>18.28</v>
      </c>
      <c r="BN590">
        <v>140.15</v>
      </c>
      <c r="BO590">
        <v>140.15</v>
      </c>
      <c r="BQ590" t="s">
        <v>1634</v>
      </c>
      <c r="BR590" t="s">
        <v>1482</v>
      </c>
      <c r="BS590" s="3">
        <v>44617</v>
      </c>
      <c r="BT590" s="4">
        <v>0.42638888888888887</v>
      </c>
      <c r="BU590" t="s">
        <v>1404</v>
      </c>
      <c r="BV590" t="s">
        <v>101</v>
      </c>
      <c r="BY590">
        <v>1200</v>
      </c>
      <c r="BZ590" t="s">
        <v>137</v>
      </c>
      <c r="CA590" t="s">
        <v>1405</v>
      </c>
      <c r="CC590" t="s">
        <v>1437</v>
      </c>
      <c r="CD590">
        <v>2146</v>
      </c>
      <c r="CE590" t="s">
        <v>130</v>
      </c>
      <c r="CF590" s="3">
        <v>44618</v>
      </c>
      <c r="CI590">
        <v>1</v>
      </c>
      <c r="CJ590">
        <v>1</v>
      </c>
      <c r="CK590">
        <v>41</v>
      </c>
      <c r="CL590" t="s">
        <v>84</v>
      </c>
    </row>
    <row r="591" spans="1:90" x14ac:dyDescent="0.25">
      <c r="A591" t="s">
        <v>1417</v>
      </c>
      <c r="B591" t="s">
        <v>1400</v>
      </c>
      <c r="C591" t="s">
        <v>74</v>
      </c>
      <c r="E591" t="str">
        <f>"009941677899"</f>
        <v>009941677899</v>
      </c>
      <c r="F591" s="3">
        <v>44614</v>
      </c>
      <c r="G591">
        <v>202208</v>
      </c>
      <c r="H591" t="s">
        <v>971</v>
      </c>
      <c r="I591" t="s">
        <v>972</v>
      </c>
      <c r="J591" t="s">
        <v>1426</v>
      </c>
      <c r="K591" t="s">
        <v>78</v>
      </c>
      <c r="L591" t="s">
        <v>123</v>
      </c>
      <c r="M591" t="s">
        <v>124</v>
      </c>
      <c r="N591" t="s">
        <v>1635</v>
      </c>
      <c r="O591" t="s">
        <v>125</v>
      </c>
      <c r="P591" t="str">
        <f t="shared" si="7"/>
        <v xml:space="preserve">                              </v>
      </c>
      <c r="Q591">
        <v>0</v>
      </c>
      <c r="R591">
        <v>0</v>
      </c>
      <c r="S591">
        <v>0</v>
      </c>
      <c r="T591">
        <v>0</v>
      </c>
      <c r="U591">
        <v>0</v>
      </c>
      <c r="V591">
        <v>0</v>
      </c>
      <c r="W591">
        <v>0</v>
      </c>
      <c r="X591">
        <v>0</v>
      </c>
      <c r="Y591">
        <v>0</v>
      </c>
      <c r="Z591">
        <v>0</v>
      </c>
      <c r="AA591">
        <v>0</v>
      </c>
      <c r="AB591">
        <v>0</v>
      </c>
      <c r="AC591">
        <v>0</v>
      </c>
      <c r="AD591">
        <v>0</v>
      </c>
      <c r="AE591">
        <v>0</v>
      </c>
      <c r="AF591">
        <v>0</v>
      </c>
      <c r="AG591">
        <v>0</v>
      </c>
      <c r="AH591">
        <v>0</v>
      </c>
      <c r="AI591">
        <v>0</v>
      </c>
      <c r="AJ591">
        <v>0</v>
      </c>
      <c r="AK591">
        <v>104.14</v>
      </c>
      <c r="AL591">
        <v>0</v>
      </c>
      <c r="AM591">
        <v>0</v>
      </c>
      <c r="AN591">
        <v>0</v>
      </c>
      <c r="AO591">
        <v>0</v>
      </c>
      <c r="AP591">
        <v>0</v>
      </c>
      <c r="AQ591">
        <v>0</v>
      </c>
      <c r="AR591">
        <v>0</v>
      </c>
      <c r="AS591">
        <v>0</v>
      </c>
      <c r="AT591">
        <v>0</v>
      </c>
      <c r="AU591">
        <v>0</v>
      </c>
      <c r="AV591">
        <v>0</v>
      </c>
      <c r="AW591">
        <v>0</v>
      </c>
      <c r="AX591">
        <v>0</v>
      </c>
      <c r="AY591">
        <v>0</v>
      </c>
      <c r="AZ591">
        <v>0</v>
      </c>
      <c r="BA591">
        <v>0</v>
      </c>
      <c r="BB591">
        <v>0</v>
      </c>
      <c r="BC591">
        <v>0</v>
      </c>
      <c r="BD591">
        <v>0</v>
      </c>
      <c r="BE591">
        <v>0</v>
      </c>
      <c r="BF591">
        <v>0</v>
      </c>
      <c r="BG591">
        <v>0</v>
      </c>
      <c r="BH591">
        <v>1</v>
      </c>
      <c r="BI591">
        <v>20.100000000000001</v>
      </c>
      <c r="BJ591">
        <v>39.4</v>
      </c>
      <c r="BK591">
        <v>40</v>
      </c>
      <c r="BL591">
        <v>379.89</v>
      </c>
      <c r="BM591">
        <v>56.98</v>
      </c>
      <c r="BN591">
        <v>436.87</v>
      </c>
      <c r="BO591">
        <v>436.87</v>
      </c>
      <c r="BQ591" t="s">
        <v>1604</v>
      </c>
      <c r="BR591" t="s">
        <v>1636</v>
      </c>
      <c r="BS591" s="3">
        <v>44614</v>
      </c>
      <c r="BT591" s="4">
        <v>0.66666666666666663</v>
      </c>
      <c r="BU591" t="s">
        <v>1637</v>
      </c>
      <c r="BV591" t="s">
        <v>101</v>
      </c>
      <c r="BY591">
        <v>197120</v>
      </c>
      <c r="CA591" t="s">
        <v>976</v>
      </c>
      <c r="CC591" t="s">
        <v>124</v>
      </c>
      <c r="CD591">
        <v>6045</v>
      </c>
      <c r="CE591" t="s">
        <v>130</v>
      </c>
      <c r="CF591" s="3">
        <v>44614</v>
      </c>
      <c r="CI591">
        <v>1</v>
      </c>
      <c r="CJ591">
        <v>0</v>
      </c>
      <c r="CK591">
        <v>43</v>
      </c>
      <c r="CL591" t="s">
        <v>84</v>
      </c>
    </row>
    <row r="592" spans="1:90" x14ac:dyDescent="0.25">
      <c r="A592" t="s">
        <v>1399</v>
      </c>
      <c r="B592" t="s">
        <v>1400</v>
      </c>
      <c r="C592" t="s">
        <v>74</v>
      </c>
      <c r="E592" t="str">
        <f>"009941994653"</f>
        <v>009941994653</v>
      </c>
      <c r="F592" s="3">
        <v>44616</v>
      </c>
      <c r="G592">
        <v>202208</v>
      </c>
      <c r="H592" t="s">
        <v>761</v>
      </c>
      <c r="I592" t="s">
        <v>762</v>
      </c>
      <c r="J592" t="s">
        <v>1401</v>
      </c>
      <c r="K592" t="s">
        <v>78</v>
      </c>
      <c r="L592" t="s">
        <v>159</v>
      </c>
      <c r="M592" t="s">
        <v>160</v>
      </c>
      <c r="N592" t="s">
        <v>1401</v>
      </c>
      <c r="O592" t="s">
        <v>125</v>
      </c>
      <c r="P592" t="str">
        <f t="shared" si="7"/>
        <v xml:space="preserve">                              </v>
      </c>
      <c r="Q592">
        <v>0</v>
      </c>
      <c r="R592">
        <v>0</v>
      </c>
      <c r="S592">
        <v>0</v>
      </c>
      <c r="T592">
        <v>0</v>
      </c>
      <c r="U592">
        <v>0</v>
      </c>
      <c r="V592">
        <v>0</v>
      </c>
      <c r="W592">
        <v>0</v>
      </c>
      <c r="X592">
        <v>0</v>
      </c>
      <c r="Y592">
        <v>0</v>
      </c>
      <c r="Z592">
        <v>0</v>
      </c>
      <c r="AA592">
        <v>0</v>
      </c>
      <c r="AB592">
        <v>0</v>
      </c>
      <c r="AC592">
        <v>0</v>
      </c>
      <c r="AD592">
        <v>0</v>
      </c>
      <c r="AE592">
        <v>0</v>
      </c>
      <c r="AF592">
        <v>0</v>
      </c>
      <c r="AG592">
        <v>0</v>
      </c>
      <c r="AH592">
        <v>0</v>
      </c>
      <c r="AI592">
        <v>0</v>
      </c>
      <c r="AJ592">
        <v>0</v>
      </c>
      <c r="AK592">
        <v>45.72</v>
      </c>
      <c r="AL592">
        <v>0</v>
      </c>
      <c r="AM592">
        <v>0</v>
      </c>
      <c r="AN592">
        <v>0</v>
      </c>
      <c r="AO592">
        <v>0</v>
      </c>
      <c r="AP592">
        <v>0</v>
      </c>
      <c r="AQ592">
        <v>0</v>
      </c>
      <c r="AR592">
        <v>0</v>
      </c>
      <c r="AS592">
        <v>0</v>
      </c>
      <c r="AT592">
        <v>0</v>
      </c>
      <c r="AU592">
        <v>0</v>
      </c>
      <c r="AV592">
        <v>0</v>
      </c>
      <c r="AW592">
        <v>0</v>
      </c>
      <c r="AX592">
        <v>0</v>
      </c>
      <c r="AY592">
        <v>0</v>
      </c>
      <c r="AZ592">
        <v>0</v>
      </c>
      <c r="BA592">
        <v>0</v>
      </c>
      <c r="BB592">
        <v>0</v>
      </c>
      <c r="BC592">
        <v>0</v>
      </c>
      <c r="BD592">
        <v>0</v>
      </c>
      <c r="BE592">
        <v>0</v>
      </c>
      <c r="BF592">
        <v>0</v>
      </c>
      <c r="BG592">
        <v>0</v>
      </c>
      <c r="BH592">
        <v>1</v>
      </c>
      <c r="BI592">
        <v>1</v>
      </c>
      <c r="BJ592">
        <v>0.2</v>
      </c>
      <c r="BK592">
        <v>1</v>
      </c>
      <c r="BL592">
        <v>169.72</v>
      </c>
      <c r="BM592">
        <v>25.46</v>
      </c>
      <c r="BN592">
        <v>195.18</v>
      </c>
      <c r="BO592">
        <v>195.18</v>
      </c>
      <c r="BQ592" t="s">
        <v>1454</v>
      </c>
      <c r="BR592" t="s">
        <v>1482</v>
      </c>
      <c r="BS592" s="3">
        <v>44618</v>
      </c>
      <c r="BT592" s="4">
        <v>0.375</v>
      </c>
      <c r="BU592" t="s">
        <v>1611</v>
      </c>
      <c r="BV592" t="s">
        <v>101</v>
      </c>
      <c r="BY592">
        <v>1200</v>
      </c>
      <c r="BZ592" t="s">
        <v>137</v>
      </c>
      <c r="CC592" t="s">
        <v>160</v>
      </c>
      <c r="CD592">
        <v>9460</v>
      </c>
      <c r="CE592" t="s">
        <v>130</v>
      </c>
      <c r="CF592" s="3">
        <v>44620</v>
      </c>
      <c r="CI592">
        <v>1</v>
      </c>
      <c r="CJ592">
        <v>1</v>
      </c>
      <c r="CK592">
        <v>43</v>
      </c>
      <c r="CL592" t="s">
        <v>84</v>
      </c>
    </row>
    <row r="593" spans="1:90" x14ac:dyDescent="0.25">
      <c r="A593" t="s">
        <v>1399</v>
      </c>
      <c r="B593" t="s">
        <v>1400</v>
      </c>
      <c r="C593" t="s">
        <v>74</v>
      </c>
      <c r="E593" t="str">
        <f>"009940864651"</f>
        <v>009940864651</v>
      </c>
      <c r="F593" s="3">
        <v>44617</v>
      </c>
      <c r="G593">
        <v>202208</v>
      </c>
      <c r="H593" t="s">
        <v>401</v>
      </c>
      <c r="I593" t="s">
        <v>402</v>
      </c>
      <c r="J593" t="s">
        <v>1401</v>
      </c>
      <c r="K593" t="s">
        <v>78</v>
      </c>
      <c r="L593" t="s">
        <v>1436</v>
      </c>
      <c r="M593" t="s">
        <v>1437</v>
      </c>
      <c r="N593" t="s">
        <v>1638</v>
      </c>
      <c r="O593" t="s">
        <v>125</v>
      </c>
      <c r="P593" t="str">
        <f t="shared" si="7"/>
        <v xml:space="preserve">                              </v>
      </c>
      <c r="Q593">
        <v>0</v>
      </c>
      <c r="R593">
        <v>0</v>
      </c>
      <c r="S593">
        <v>0</v>
      </c>
      <c r="T593">
        <v>0</v>
      </c>
      <c r="U593">
        <v>0</v>
      </c>
      <c r="V593">
        <v>0</v>
      </c>
      <c r="W593">
        <v>0</v>
      </c>
      <c r="X593">
        <v>0</v>
      </c>
      <c r="Y593">
        <v>0</v>
      </c>
      <c r="Z593">
        <v>0</v>
      </c>
      <c r="AA593">
        <v>0</v>
      </c>
      <c r="AB593">
        <v>0</v>
      </c>
      <c r="AC593">
        <v>0</v>
      </c>
      <c r="AD593">
        <v>0</v>
      </c>
      <c r="AE593">
        <v>0</v>
      </c>
      <c r="AF593">
        <v>0</v>
      </c>
      <c r="AG593">
        <v>0</v>
      </c>
      <c r="AH593">
        <v>0</v>
      </c>
      <c r="AI593">
        <v>0</v>
      </c>
      <c r="AJ593">
        <v>0</v>
      </c>
      <c r="AK593">
        <v>32.42</v>
      </c>
      <c r="AL593">
        <v>0</v>
      </c>
      <c r="AM593">
        <v>0</v>
      </c>
      <c r="AN593">
        <v>0</v>
      </c>
      <c r="AO593">
        <v>0</v>
      </c>
      <c r="AP593">
        <v>0</v>
      </c>
      <c r="AQ593">
        <v>0</v>
      </c>
      <c r="AR593">
        <v>0</v>
      </c>
      <c r="AS593">
        <v>0</v>
      </c>
      <c r="AT593">
        <v>0</v>
      </c>
      <c r="AU593">
        <v>0</v>
      </c>
      <c r="AV593">
        <v>0</v>
      </c>
      <c r="AW593">
        <v>0</v>
      </c>
      <c r="AX593">
        <v>0</v>
      </c>
      <c r="AY593">
        <v>0</v>
      </c>
      <c r="AZ593">
        <v>0</v>
      </c>
      <c r="BA593">
        <v>0</v>
      </c>
      <c r="BB593">
        <v>0</v>
      </c>
      <c r="BC593">
        <v>0</v>
      </c>
      <c r="BD593">
        <v>0</v>
      </c>
      <c r="BE593">
        <v>0</v>
      </c>
      <c r="BF593">
        <v>0</v>
      </c>
      <c r="BG593">
        <v>0</v>
      </c>
      <c r="BH593">
        <v>2</v>
      </c>
      <c r="BI593">
        <v>2</v>
      </c>
      <c r="BJ593">
        <v>0.5</v>
      </c>
      <c r="BK593">
        <v>2</v>
      </c>
      <c r="BL593">
        <v>121.87</v>
      </c>
      <c r="BM593">
        <v>18.28</v>
      </c>
      <c r="BN593">
        <v>140.15</v>
      </c>
      <c r="BO593">
        <v>140.15</v>
      </c>
      <c r="BQ593" t="s">
        <v>1639</v>
      </c>
      <c r="BR593" t="s">
        <v>1640</v>
      </c>
      <c r="BS593" s="3">
        <v>44620</v>
      </c>
      <c r="BT593" s="4">
        <v>0.41666666666666669</v>
      </c>
      <c r="BU593" t="s">
        <v>1613</v>
      </c>
      <c r="BV593" t="s">
        <v>101</v>
      </c>
      <c r="BY593">
        <v>1200</v>
      </c>
      <c r="BZ593" t="s">
        <v>137</v>
      </c>
      <c r="CA593" t="s">
        <v>1405</v>
      </c>
      <c r="CC593" t="s">
        <v>1437</v>
      </c>
      <c r="CD593">
        <v>2146</v>
      </c>
      <c r="CE593" t="s">
        <v>130</v>
      </c>
      <c r="CI593">
        <v>1</v>
      </c>
      <c r="CJ593">
        <v>1</v>
      </c>
      <c r="CK593">
        <v>41</v>
      </c>
      <c r="CL593" t="s">
        <v>84</v>
      </c>
    </row>
    <row r="594" spans="1:90" x14ac:dyDescent="0.25">
      <c r="A594" t="s">
        <v>1399</v>
      </c>
      <c r="B594" t="s">
        <v>1400</v>
      </c>
      <c r="C594" t="s">
        <v>74</v>
      </c>
      <c r="E594" t="str">
        <f>"009940864650"</f>
        <v>009940864650</v>
      </c>
      <c r="F594" s="3">
        <v>44617</v>
      </c>
      <c r="G594">
        <v>202208</v>
      </c>
      <c r="H594" t="s">
        <v>1185</v>
      </c>
      <c r="I594" t="s">
        <v>1186</v>
      </c>
      <c r="J594" t="s">
        <v>1401</v>
      </c>
      <c r="K594" t="s">
        <v>78</v>
      </c>
      <c r="L594" t="s">
        <v>401</v>
      </c>
      <c r="M594" t="s">
        <v>402</v>
      </c>
      <c r="N594" t="s">
        <v>1401</v>
      </c>
      <c r="O594" t="s">
        <v>125</v>
      </c>
      <c r="P594" t="str">
        <f t="shared" si="7"/>
        <v xml:space="preserve">                              </v>
      </c>
      <c r="Q594">
        <v>0</v>
      </c>
      <c r="R594">
        <v>0</v>
      </c>
      <c r="S594">
        <v>0</v>
      </c>
      <c r="T594">
        <v>0</v>
      </c>
      <c r="U594">
        <v>0</v>
      </c>
      <c r="V594">
        <v>0</v>
      </c>
      <c r="W594">
        <v>0</v>
      </c>
      <c r="X594">
        <v>0</v>
      </c>
      <c r="Y594">
        <v>0</v>
      </c>
      <c r="Z594">
        <v>0</v>
      </c>
      <c r="AA594">
        <v>0</v>
      </c>
      <c r="AB594">
        <v>0</v>
      </c>
      <c r="AC594">
        <v>0</v>
      </c>
      <c r="AD594">
        <v>0</v>
      </c>
      <c r="AE594">
        <v>0</v>
      </c>
      <c r="AF594">
        <v>0</v>
      </c>
      <c r="AG594">
        <v>0</v>
      </c>
      <c r="AH594">
        <v>0</v>
      </c>
      <c r="AI594">
        <v>0</v>
      </c>
      <c r="AJ594">
        <v>0</v>
      </c>
      <c r="AK594">
        <v>35.799999999999997</v>
      </c>
      <c r="AL594">
        <v>0</v>
      </c>
      <c r="AM594">
        <v>0</v>
      </c>
      <c r="AN594">
        <v>0</v>
      </c>
      <c r="AO594">
        <v>0</v>
      </c>
      <c r="AP594">
        <v>0</v>
      </c>
      <c r="AQ594">
        <v>0</v>
      </c>
      <c r="AR594">
        <v>0</v>
      </c>
      <c r="AS594">
        <v>0</v>
      </c>
      <c r="AT594">
        <v>0</v>
      </c>
      <c r="AU594">
        <v>0</v>
      </c>
      <c r="AV594">
        <v>0</v>
      </c>
      <c r="AW594">
        <v>0</v>
      </c>
      <c r="AX594">
        <v>0</v>
      </c>
      <c r="AY594">
        <v>0</v>
      </c>
      <c r="AZ594">
        <v>0</v>
      </c>
      <c r="BA594">
        <v>0</v>
      </c>
      <c r="BB594">
        <v>0</v>
      </c>
      <c r="BC594">
        <v>0</v>
      </c>
      <c r="BD594">
        <v>0</v>
      </c>
      <c r="BE594">
        <v>0</v>
      </c>
      <c r="BF594">
        <v>0</v>
      </c>
      <c r="BG594">
        <v>0</v>
      </c>
      <c r="BH594">
        <v>1</v>
      </c>
      <c r="BI594">
        <v>1</v>
      </c>
      <c r="BJ594">
        <v>0.2</v>
      </c>
      <c r="BK594">
        <v>1</v>
      </c>
      <c r="BL594">
        <v>134.04</v>
      </c>
      <c r="BM594">
        <v>20.11</v>
      </c>
      <c r="BN594">
        <v>154.15</v>
      </c>
      <c r="BO594">
        <v>154.15</v>
      </c>
      <c r="BQ594" t="s">
        <v>1641</v>
      </c>
      <c r="BR594" t="s">
        <v>1640</v>
      </c>
      <c r="BS594" s="3">
        <v>44620</v>
      </c>
      <c r="BT594" s="4">
        <v>0.4513888888888889</v>
      </c>
      <c r="BU594" t="s">
        <v>1632</v>
      </c>
      <c r="BV594" t="s">
        <v>101</v>
      </c>
      <c r="BY594">
        <v>1200</v>
      </c>
      <c r="BZ594" t="s">
        <v>137</v>
      </c>
      <c r="CA594" t="s">
        <v>1507</v>
      </c>
      <c r="CC594" t="s">
        <v>402</v>
      </c>
      <c r="CD594">
        <v>700</v>
      </c>
      <c r="CE594" t="s">
        <v>130</v>
      </c>
      <c r="CF594" s="3">
        <v>44620</v>
      </c>
      <c r="CI594">
        <v>1</v>
      </c>
      <c r="CJ594">
        <v>1</v>
      </c>
      <c r="CK594">
        <v>44</v>
      </c>
      <c r="CL594" t="s">
        <v>84</v>
      </c>
    </row>
    <row r="595" spans="1:90" x14ac:dyDescent="0.25">
      <c r="A595" t="s">
        <v>1417</v>
      </c>
      <c r="B595" t="s">
        <v>1400</v>
      </c>
      <c r="C595" t="s">
        <v>74</v>
      </c>
      <c r="E595" t="str">
        <f>"009942167062"</f>
        <v>009942167062</v>
      </c>
      <c r="F595" s="3">
        <v>44617</v>
      </c>
      <c r="G595">
        <v>202208</v>
      </c>
      <c r="H595" t="s">
        <v>75</v>
      </c>
      <c r="I595" t="s">
        <v>76</v>
      </c>
      <c r="J595" t="s">
        <v>1401</v>
      </c>
      <c r="K595" t="s">
        <v>78</v>
      </c>
      <c r="L595" t="s">
        <v>384</v>
      </c>
      <c r="M595" t="s">
        <v>385</v>
      </c>
      <c r="N595" t="s">
        <v>1483</v>
      </c>
      <c r="O595" t="s">
        <v>80</v>
      </c>
      <c r="P595" t="str">
        <f t="shared" si="7"/>
        <v xml:space="preserve">                              </v>
      </c>
      <c r="Q595">
        <v>0</v>
      </c>
      <c r="R595">
        <v>0</v>
      </c>
      <c r="S595">
        <v>0</v>
      </c>
      <c r="T595">
        <v>0</v>
      </c>
      <c r="U595">
        <v>0</v>
      </c>
      <c r="V595">
        <v>0</v>
      </c>
      <c r="W595">
        <v>0</v>
      </c>
      <c r="X595">
        <v>0</v>
      </c>
      <c r="Y595">
        <v>0</v>
      </c>
      <c r="Z595">
        <v>0</v>
      </c>
      <c r="AA595">
        <v>0</v>
      </c>
      <c r="AB595">
        <v>0</v>
      </c>
      <c r="AC595">
        <v>0</v>
      </c>
      <c r="AD595">
        <v>0</v>
      </c>
      <c r="AE595">
        <v>0</v>
      </c>
      <c r="AF595">
        <v>0</v>
      </c>
      <c r="AG595">
        <v>0</v>
      </c>
      <c r="AH595">
        <v>0</v>
      </c>
      <c r="AI595">
        <v>0</v>
      </c>
      <c r="AJ595">
        <v>0</v>
      </c>
      <c r="AK595">
        <v>25.14</v>
      </c>
      <c r="AL595">
        <v>0</v>
      </c>
      <c r="AM595">
        <v>0</v>
      </c>
      <c r="AN595">
        <v>0</v>
      </c>
      <c r="AO595">
        <v>0</v>
      </c>
      <c r="AP595">
        <v>0</v>
      </c>
      <c r="AQ595">
        <v>0</v>
      </c>
      <c r="AR595">
        <v>0</v>
      </c>
      <c r="AS595">
        <v>0</v>
      </c>
      <c r="AT595">
        <v>0</v>
      </c>
      <c r="AU595">
        <v>0</v>
      </c>
      <c r="AV595">
        <v>0</v>
      </c>
      <c r="AW595">
        <v>0</v>
      </c>
      <c r="AX595">
        <v>0</v>
      </c>
      <c r="AY595">
        <v>0</v>
      </c>
      <c r="AZ595">
        <v>0</v>
      </c>
      <c r="BA595">
        <v>0</v>
      </c>
      <c r="BB595">
        <v>0</v>
      </c>
      <c r="BC595">
        <v>0</v>
      </c>
      <c r="BD595">
        <v>0</v>
      </c>
      <c r="BE595">
        <v>0</v>
      </c>
      <c r="BF595">
        <v>0</v>
      </c>
      <c r="BG595">
        <v>0</v>
      </c>
      <c r="BH595">
        <v>1</v>
      </c>
      <c r="BI595">
        <v>0.1</v>
      </c>
      <c r="BJ595">
        <v>2.7</v>
      </c>
      <c r="BK595">
        <v>3</v>
      </c>
      <c r="BL595">
        <v>90.44</v>
      </c>
      <c r="BM595">
        <v>13.57</v>
      </c>
      <c r="BN595">
        <v>104.01</v>
      </c>
      <c r="BO595">
        <v>104.01</v>
      </c>
      <c r="BQ595" t="s">
        <v>1642</v>
      </c>
      <c r="BR595" t="s">
        <v>1581</v>
      </c>
      <c r="BS595" s="3">
        <v>44620</v>
      </c>
      <c r="BT595" s="4">
        <v>0.34513888888888888</v>
      </c>
      <c r="BU595" t="s">
        <v>1643</v>
      </c>
      <c r="BV595" t="s">
        <v>101</v>
      </c>
      <c r="BY595">
        <v>13320.45</v>
      </c>
      <c r="BZ595" t="s">
        <v>87</v>
      </c>
      <c r="CA595" t="s">
        <v>1475</v>
      </c>
      <c r="CC595" t="s">
        <v>385</v>
      </c>
      <c r="CD595">
        <v>2194</v>
      </c>
      <c r="CE595" t="s">
        <v>130</v>
      </c>
      <c r="CI595">
        <v>1</v>
      </c>
      <c r="CJ595">
        <v>1</v>
      </c>
      <c r="CK595">
        <v>21</v>
      </c>
      <c r="CL595" t="s">
        <v>84</v>
      </c>
    </row>
    <row r="596" spans="1:90" x14ac:dyDescent="0.25">
      <c r="A596" t="s">
        <v>1417</v>
      </c>
      <c r="B596" t="s">
        <v>1400</v>
      </c>
      <c r="C596" t="s">
        <v>74</v>
      </c>
      <c r="E596" t="str">
        <f>"009941618995"</f>
        <v>009941618995</v>
      </c>
      <c r="F596" s="3">
        <v>44617</v>
      </c>
      <c r="G596">
        <v>202208</v>
      </c>
      <c r="H596" t="s">
        <v>1436</v>
      </c>
      <c r="I596" t="s">
        <v>1437</v>
      </c>
      <c r="J596" t="s">
        <v>1401</v>
      </c>
      <c r="K596" t="s">
        <v>78</v>
      </c>
      <c r="L596" t="s">
        <v>131</v>
      </c>
      <c r="M596" t="s">
        <v>132</v>
      </c>
      <c r="N596" t="s">
        <v>1401</v>
      </c>
      <c r="O596" t="s">
        <v>80</v>
      </c>
      <c r="P596" t="str">
        <f t="shared" ref="P596:P606" si="8">"STORES                        "</f>
        <v xml:space="preserve">STORES                        </v>
      </c>
      <c r="Q596">
        <v>0</v>
      </c>
      <c r="R596">
        <v>0</v>
      </c>
      <c r="S596">
        <v>0</v>
      </c>
      <c r="T596">
        <v>0</v>
      </c>
      <c r="U596">
        <v>0</v>
      </c>
      <c r="V596">
        <v>0</v>
      </c>
      <c r="W596">
        <v>0</v>
      </c>
      <c r="X596">
        <v>0</v>
      </c>
      <c r="Y596">
        <v>0</v>
      </c>
      <c r="Z596">
        <v>0</v>
      </c>
      <c r="AA596">
        <v>0</v>
      </c>
      <c r="AB596">
        <v>0</v>
      </c>
      <c r="AC596">
        <v>0</v>
      </c>
      <c r="AD596">
        <v>0</v>
      </c>
      <c r="AE596">
        <v>0</v>
      </c>
      <c r="AF596">
        <v>0</v>
      </c>
      <c r="AG596">
        <v>0</v>
      </c>
      <c r="AH596">
        <v>0</v>
      </c>
      <c r="AI596">
        <v>0</v>
      </c>
      <c r="AJ596">
        <v>0</v>
      </c>
      <c r="AK596">
        <v>62.84</v>
      </c>
      <c r="AL596">
        <v>0</v>
      </c>
      <c r="AM596">
        <v>0</v>
      </c>
      <c r="AN596">
        <v>0</v>
      </c>
      <c r="AO596">
        <v>0</v>
      </c>
      <c r="AP596">
        <v>0</v>
      </c>
      <c r="AQ596">
        <v>0</v>
      </c>
      <c r="AR596">
        <v>0</v>
      </c>
      <c r="AS596">
        <v>0</v>
      </c>
      <c r="AT596">
        <v>0</v>
      </c>
      <c r="AU596">
        <v>0</v>
      </c>
      <c r="AV596">
        <v>0</v>
      </c>
      <c r="AW596">
        <v>0</v>
      </c>
      <c r="AX596">
        <v>0</v>
      </c>
      <c r="AY596">
        <v>0</v>
      </c>
      <c r="AZ596">
        <v>0</v>
      </c>
      <c r="BA596">
        <v>0</v>
      </c>
      <c r="BB596">
        <v>0</v>
      </c>
      <c r="BC596">
        <v>0</v>
      </c>
      <c r="BD596">
        <v>0</v>
      </c>
      <c r="BE596">
        <v>0</v>
      </c>
      <c r="BF596">
        <v>0</v>
      </c>
      <c r="BG596">
        <v>0</v>
      </c>
      <c r="BH596">
        <v>1</v>
      </c>
      <c r="BI596">
        <v>0.9</v>
      </c>
      <c r="BJ596">
        <v>7.2</v>
      </c>
      <c r="BK596">
        <v>7.5</v>
      </c>
      <c r="BL596">
        <v>226.06</v>
      </c>
      <c r="BM596">
        <v>33.909999999999997</v>
      </c>
      <c r="BN596">
        <v>259.97000000000003</v>
      </c>
      <c r="BO596">
        <v>259.97000000000003</v>
      </c>
      <c r="BQ596" t="s">
        <v>733</v>
      </c>
      <c r="BR596" t="s">
        <v>1644</v>
      </c>
      <c r="BS596" s="3">
        <v>44620</v>
      </c>
      <c r="BT596" s="4">
        <v>0.39652777777777781</v>
      </c>
      <c r="BU596" t="s">
        <v>1645</v>
      </c>
      <c r="BV596" t="s">
        <v>101</v>
      </c>
      <c r="BY596">
        <v>35960.730000000003</v>
      </c>
      <c r="BZ596" t="s">
        <v>87</v>
      </c>
      <c r="CA596" t="s">
        <v>1492</v>
      </c>
      <c r="CC596" t="s">
        <v>132</v>
      </c>
      <c r="CD596">
        <v>4091</v>
      </c>
      <c r="CE596" t="s">
        <v>130</v>
      </c>
      <c r="CI596">
        <v>1</v>
      </c>
      <c r="CJ596">
        <v>1</v>
      </c>
      <c r="CK596">
        <v>21</v>
      </c>
      <c r="CL596" t="s">
        <v>84</v>
      </c>
    </row>
    <row r="597" spans="1:90" x14ac:dyDescent="0.25">
      <c r="A597" t="s">
        <v>1417</v>
      </c>
      <c r="B597" t="s">
        <v>1400</v>
      </c>
      <c r="C597" t="s">
        <v>74</v>
      </c>
      <c r="E597" t="str">
        <f>"009936115824"</f>
        <v>009936115824</v>
      </c>
      <c r="F597" s="3">
        <v>44617</v>
      </c>
      <c r="G597">
        <v>202208</v>
      </c>
      <c r="H597" t="s">
        <v>1436</v>
      </c>
      <c r="I597" t="s">
        <v>1437</v>
      </c>
      <c r="J597" t="s">
        <v>1401</v>
      </c>
      <c r="K597" t="s">
        <v>78</v>
      </c>
      <c r="L597" t="s">
        <v>123</v>
      </c>
      <c r="M597" t="s">
        <v>124</v>
      </c>
      <c r="N597" t="s">
        <v>1401</v>
      </c>
      <c r="O597" t="s">
        <v>125</v>
      </c>
      <c r="P597" t="str">
        <f t="shared" si="8"/>
        <v xml:space="preserve">STORES                        </v>
      </c>
      <c r="Q597">
        <v>0</v>
      </c>
      <c r="R597">
        <v>0</v>
      </c>
      <c r="S597">
        <v>0</v>
      </c>
      <c r="T597">
        <v>0</v>
      </c>
      <c r="U597">
        <v>0</v>
      </c>
      <c r="V597">
        <v>0</v>
      </c>
      <c r="W597">
        <v>0</v>
      </c>
      <c r="X597">
        <v>0</v>
      </c>
      <c r="Y597">
        <v>0</v>
      </c>
      <c r="Z597">
        <v>0</v>
      </c>
      <c r="AA597">
        <v>0</v>
      </c>
      <c r="AB597">
        <v>0</v>
      </c>
      <c r="AC597">
        <v>0</v>
      </c>
      <c r="AD597">
        <v>0</v>
      </c>
      <c r="AE597">
        <v>0</v>
      </c>
      <c r="AF597">
        <v>0</v>
      </c>
      <c r="AG597">
        <v>0</v>
      </c>
      <c r="AH597">
        <v>0</v>
      </c>
      <c r="AI597">
        <v>0</v>
      </c>
      <c r="AJ597">
        <v>0</v>
      </c>
      <c r="AK597">
        <v>32.42</v>
      </c>
      <c r="AL597">
        <v>0</v>
      </c>
      <c r="AM597">
        <v>0</v>
      </c>
      <c r="AN597">
        <v>0</v>
      </c>
      <c r="AO597">
        <v>0</v>
      </c>
      <c r="AP597">
        <v>0</v>
      </c>
      <c r="AQ597">
        <v>0</v>
      </c>
      <c r="AR597">
        <v>0</v>
      </c>
      <c r="AS597">
        <v>0</v>
      </c>
      <c r="AT597">
        <v>0</v>
      </c>
      <c r="AU597">
        <v>0</v>
      </c>
      <c r="AV597">
        <v>0</v>
      </c>
      <c r="AW597">
        <v>0</v>
      </c>
      <c r="AX597">
        <v>0</v>
      </c>
      <c r="AY597">
        <v>0</v>
      </c>
      <c r="AZ597">
        <v>0</v>
      </c>
      <c r="BA597">
        <v>0</v>
      </c>
      <c r="BB597">
        <v>0</v>
      </c>
      <c r="BC597">
        <v>0</v>
      </c>
      <c r="BD597">
        <v>0</v>
      </c>
      <c r="BE597">
        <v>0</v>
      </c>
      <c r="BF597">
        <v>0</v>
      </c>
      <c r="BG597">
        <v>0</v>
      </c>
      <c r="BH597">
        <v>1</v>
      </c>
      <c r="BI597">
        <v>1.2</v>
      </c>
      <c r="BJ597">
        <v>4.4000000000000004</v>
      </c>
      <c r="BK597">
        <v>5</v>
      </c>
      <c r="BL597">
        <v>121.87</v>
      </c>
      <c r="BM597">
        <v>18.28</v>
      </c>
      <c r="BN597">
        <v>140.15</v>
      </c>
      <c r="BO597">
        <v>140.15</v>
      </c>
      <c r="BQ597" t="s">
        <v>733</v>
      </c>
      <c r="BR597" t="s">
        <v>1443</v>
      </c>
      <c r="BS597" s="3">
        <v>44620</v>
      </c>
      <c r="BT597" s="4">
        <v>0.43958333333333338</v>
      </c>
      <c r="BU597" t="s">
        <v>1604</v>
      </c>
      <c r="BV597" t="s">
        <v>101</v>
      </c>
      <c r="BY597">
        <v>22213.24</v>
      </c>
      <c r="BZ597" t="s">
        <v>137</v>
      </c>
      <c r="CA597" t="s">
        <v>1445</v>
      </c>
      <c r="CC597" t="s">
        <v>124</v>
      </c>
      <c r="CD597">
        <v>6045</v>
      </c>
      <c r="CE597" t="s">
        <v>130</v>
      </c>
      <c r="CI597">
        <v>2</v>
      </c>
      <c r="CJ597">
        <v>1</v>
      </c>
      <c r="CK597">
        <v>41</v>
      </c>
      <c r="CL597" t="s">
        <v>84</v>
      </c>
    </row>
    <row r="598" spans="1:90" x14ac:dyDescent="0.25">
      <c r="A598" t="s">
        <v>1417</v>
      </c>
      <c r="B598" t="s">
        <v>1400</v>
      </c>
      <c r="C598" t="s">
        <v>74</v>
      </c>
      <c r="E598" t="str">
        <f>"009941332100"</f>
        <v>009941332100</v>
      </c>
      <c r="F598" s="3">
        <v>44617</v>
      </c>
      <c r="G598">
        <v>202208</v>
      </c>
      <c r="H598" t="s">
        <v>1436</v>
      </c>
      <c r="I598" t="s">
        <v>1437</v>
      </c>
      <c r="J598" t="s">
        <v>1401</v>
      </c>
      <c r="K598" t="s">
        <v>78</v>
      </c>
      <c r="L598" t="s">
        <v>401</v>
      </c>
      <c r="M598" t="s">
        <v>402</v>
      </c>
      <c r="N598" t="s">
        <v>1401</v>
      </c>
      <c r="O598" t="s">
        <v>80</v>
      </c>
      <c r="P598" t="str">
        <f t="shared" si="8"/>
        <v xml:space="preserve">STORES                        </v>
      </c>
      <c r="Q598">
        <v>0</v>
      </c>
      <c r="R598">
        <v>0</v>
      </c>
      <c r="S598">
        <v>0</v>
      </c>
      <c r="T598">
        <v>0</v>
      </c>
      <c r="U598">
        <v>0</v>
      </c>
      <c r="V598">
        <v>0</v>
      </c>
      <c r="W598">
        <v>0</v>
      </c>
      <c r="X598">
        <v>0</v>
      </c>
      <c r="Y598">
        <v>0</v>
      </c>
      <c r="Z598">
        <v>0</v>
      </c>
      <c r="AA598">
        <v>0</v>
      </c>
      <c r="AB598">
        <v>0</v>
      </c>
      <c r="AC598">
        <v>0</v>
      </c>
      <c r="AD598">
        <v>0</v>
      </c>
      <c r="AE598">
        <v>0</v>
      </c>
      <c r="AF598">
        <v>0</v>
      </c>
      <c r="AG598">
        <v>0</v>
      </c>
      <c r="AH598">
        <v>0</v>
      </c>
      <c r="AI598">
        <v>0</v>
      </c>
      <c r="AJ598">
        <v>0</v>
      </c>
      <c r="AK598">
        <v>16.760000000000002</v>
      </c>
      <c r="AL598">
        <v>0</v>
      </c>
      <c r="AM598">
        <v>0</v>
      </c>
      <c r="AN598">
        <v>0</v>
      </c>
      <c r="AO598">
        <v>0</v>
      </c>
      <c r="AP598">
        <v>0</v>
      </c>
      <c r="AQ598">
        <v>0</v>
      </c>
      <c r="AR598">
        <v>0</v>
      </c>
      <c r="AS598">
        <v>0</v>
      </c>
      <c r="AT598">
        <v>0</v>
      </c>
      <c r="AU598">
        <v>0</v>
      </c>
      <c r="AV598">
        <v>0</v>
      </c>
      <c r="AW598">
        <v>0</v>
      </c>
      <c r="AX598">
        <v>0</v>
      </c>
      <c r="AY598">
        <v>0</v>
      </c>
      <c r="AZ598">
        <v>0</v>
      </c>
      <c r="BA598">
        <v>0</v>
      </c>
      <c r="BB598">
        <v>0</v>
      </c>
      <c r="BC598">
        <v>0</v>
      </c>
      <c r="BD598">
        <v>0</v>
      </c>
      <c r="BE598">
        <v>0</v>
      </c>
      <c r="BF598">
        <v>0</v>
      </c>
      <c r="BG598">
        <v>0</v>
      </c>
      <c r="BH598">
        <v>1</v>
      </c>
      <c r="BI598">
        <v>1</v>
      </c>
      <c r="BJ598">
        <v>0.2</v>
      </c>
      <c r="BK598">
        <v>1</v>
      </c>
      <c r="BL598">
        <v>60.3</v>
      </c>
      <c r="BM598">
        <v>9.0500000000000007</v>
      </c>
      <c r="BN598">
        <v>69.349999999999994</v>
      </c>
      <c r="BO598">
        <v>69.349999999999994</v>
      </c>
      <c r="BQ598" t="s">
        <v>733</v>
      </c>
      <c r="BR598" t="s">
        <v>733</v>
      </c>
      <c r="BS598" s="3">
        <v>44620</v>
      </c>
      <c r="BT598" s="4">
        <v>0.45208333333333334</v>
      </c>
      <c r="BU598" t="s">
        <v>1632</v>
      </c>
      <c r="BV598" t="s">
        <v>84</v>
      </c>
      <c r="BW598" t="s">
        <v>801</v>
      </c>
      <c r="BX598" t="s">
        <v>766</v>
      </c>
      <c r="BY598">
        <v>1200</v>
      </c>
      <c r="BZ598" t="s">
        <v>87</v>
      </c>
      <c r="CA598" t="s">
        <v>1507</v>
      </c>
      <c r="CC598" t="s">
        <v>402</v>
      </c>
      <c r="CD598">
        <v>699</v>
      </c>
      <c r="CE598" t="s">
        <v>130</v>
      </c>
      <c r="CF598" s="3">
        <v>44620</v>
      </c>
      <c r="CI598">
        <v>1</v>
      </c>
      <c r="CJ598">
        <v>1</v>
      </c>
      <c r="CK598">
        <v>21</v>
      </c>
      <c r="CL598" t="s">
        <v>84</v>
      </c>
    </row>
    <row r="599" spans="1:90" x14ac:dyDescent="0.25">
      <c r="A599" t="s">
        <v>1417</v>
      </c>
      <c r="B599" t="s">
        <v>1400</v>
      </c>
      <c r="C599" t="s">
        <v>74</v>
      </c>
      <c r="E599" t="str">
        <f>"009941915226"</f>
        <v>009941915226</v>
      </c>
      <c r="F599" s="3">
        <v>44617</v>
      </c>
      <c r="G599">
        <v>202208</v>
      </c>
      <c r="H599" t="s">
        <v>1436</v>
      </c>
      <c r="I599" t="s">
        <v>1437</v>
      </c>
      <c r="J599" t="s">
        <v>1401</v>
      </c>
      <c r="K599" t="s">
        <v>78</v>
      </c>
      <c r="L599" t="s">
        <v>75</v>
      </c>
      <c r="M599" t="s">
        <v>76</v>
      </c>
      <c r="N599" t="s">
        <v>1646</v>
      </c>
      <c r="O599" t="s">
        <v>80</v>
      </c>
      <c r="P599" t="str">
        <f t="shared" si="8"/>
        <v xml:space="preserve">STORES                        </v>
      </c>
      <c r="Q599">
        <v>0</v>
      </c>
      <c r="R599">
        <v>0</v>
      </c>
      <c r="S599">
        <v>0</v>
      </c>
      <c r="T599">
        <v>0</v>
      </c>
      <c r="U599">
        <v>0</v>
      </c>
      <c r="V599">
        <v>0</v>
      </c>
      <c r="W599">
        <v>0</v>
      </c>
      <c r="X599">
        <v>0</v>
      </c>
      <c r="Y599">
        <v>0</v>
      </c>
      <c r="Z599">
        <v>0</v>
      </c>
      <c r="AA599">
        <v>0</v>
      </c>
      <c r="AB599">
        <v>0</v>
      </c>
      <c r="AC599">
        <v>0</v>
      </c>
      <c r="AD599">
        <v>0</v>
      </c>
      <c r="AE599">
        <v>0</v>
      </c>
      <c r="AF599">
        <v>0</v>
      </c>
      <c r="AG599">
        <v>0</v>
      </c>
      <c r="AH599">
        <v>0</v>
      </c>
      <c r="AI599">
        <v>0</v>
      </c>
      <c r="AJ599">
        <v>0</v>
      </c>
      <c r="AK599">
        <v>54.46</v>
      </c>
      <c r="AL599">
        <v>0</v>
      </c>
      <c r="AM599">
        <v>0</v>
      </c>
      <c r="AN599">
        <v>0</v>
      </c>
      <c r="AO599">
        <v>0</v>
      </c>
      <c r="AP599">
        <v>0</v>
      </c>
      <c r="AQ599">
        <v>0</v>
      </c>
      <c r="AR599">
        <v>0</v>
      </c>
      <c r="AS599">
        <v>0</v>
      </c>
      <c r="AT599">
        <v>0</v>
      </c>
      <c r="AU599">
        <v>0</v>
      </c>
      <c r="AV599">
        <v>0</v>
      </c>
      <c r="AW599">
        <v>0</v>
      </c>
      <c r="AX599">
        <v>0</v>
      </c>
      <c r="AY599">
        <v>0</v>
      </c>
      <c r="AZ599">
        <v>0</v>
      </c>
      <c r="BA599">
        <v>0</v>
      </c>
      <c r="BB599">
        <v>0</v>
      </c>
      <c r="BC599">
        <v>0</v>
      </c>
      <c r="BD599">
        <v>0</v>
      </c>
      <c r="BE599">
        <v>0</v>
      </c>
      <c r="BF599">
        <v>0</v>
      </c>
      <c r="BG599">
        <v>0</v>
      </c>
      <c r="BH599">
        <v>1</v>
      </c>
      <c r="BI599">
        <v>1</v>
      </c>
      <c r="BJ599">
        <v>6.5</v>
      </c>
      <c r="BK599">
        <v>6.5</v>
      </c>
      <c r="BL599">
        <v>195.92</v>
      </c>
      <c r="BM599">
        <v>29.39</v>
      </c>
      <c r="BN599">
        <v>225.31</v>
      </c>
      <c r="BO599">
        <v>225.31</v>
      </c>
      <c r="BQ599" t="s">
        <v>733</v>
      </c>
      <c r="BR599" t="s">
        <v>1440</v>
      </c>
      <c r="BS599" t="s">
        <v>653</v>
      </c>
      <c r="BW599" t="s">
        <v>1647</v>
      </c>
      <c r="BX599" t="s">
        <v>766</v>
      </c>
      <c r="BY599">
        <v>32374.5</v>
      </c>
      <c r="BZ599" t="s">
        <v>87</v>
      </c>
      <c r="CC599" t="s">
        <v>76</v>
      </c>
      <c r="CD599">
        <v>8000</v>
      </c>
      <c r="CE599" t="s">
        <v>130</v>
      </c>
      <c r="CI599">
        <v>1</v>
      </c>
      <c r="CJ599" t="s">
        <v>653</v>
      </c>
      <c r="CK599">
        <v>21</v>
      </c>
      <c r="CL599" t="s">
        <v>84</v>
      </c>
    </row>
    <row r="600" spans="1:90" x14ac:dyDescent="0.25">
      <c r="A600" t="s">
        <v>1417</v>
      </c>
      <c r="B600" t="s">
        <v>1400</v>
      </c>
      <c r="C600" t="s">
        <v>74</v>
      </c>
      <c r="E600" t="str">
        <f>"009941618515"</f>
        <v>009941618515</v>
      </c>
      <c r="F600" s="3">
        <v>44617</v>
      </c>
      <c r="G600">
        <v>202208</v>
      </c>
      <c r="H600" t="s">
        <v>1436</v>
      </c>
      <c r="I600" t="s">
        <v>1437</v>
      </c>
      <c r="J600" t="s">
        <v>1401</v>
      </c>
      <c r="K600" t="s">
        <v>78</v>
      </c>
      <c r="L600" t="s">
        <v>75</v>
      </c>
      <c r="M600" t="s">
        <v>76</v>
      </c>
      <c r="N600" t="s">
        <v>1648</v>
      </c>
      <c r="O600" t="s">
        <v>125</v>
      </c>
      <c r="P600" t="str">
        <f t="shared" si="8"/>
        <v xml:space="preserve">STORES                        </v>
      </c>
      <c r="Q600">
        <v>0</v>
      </c>
      <c r="R600">
        <v>0</v>
      </c>
      <c r="S600">
        <v>0</v>
      </c>
      <c r="T600">
        <v>0</v>
      </c>
      <c r="U600">
        <v>0</v>
      </c>
      <c r="V600">
        <v>0</v>
      </c>
      <c r="W600">
        <v>0</v>
      </c>
      <c r="X600">
        <v>0</v>
      </c>
      <c r="Y600">
        <v>0</v>
      </c>
      <c r="Z600">
        <v>0</v>
      </c>
      <c r="AA600">
        <v>0</v>
      </c>
      <c r="AB600">
        <v>0</v>
      </c>
      <c r="AC600">
        <v>0</v>
      </c>
      <c r="AD600">
        <v>0</v>
      </c>
      <c r="AE600">
        <v>0</v>
      </c>
      <c r="AF600">
        <v>0</v>
      </c>
      <c r="AG600">
        <v>0</v>
      </c>
      <c r="AH600">
        <v>0</v>
      </c>
      <c r="AI600">
        <v>0</v>
      </c>
      <c r="AJ600">
        <v>0</v>
      </c>
      <c r="AK600">
        <v>32.42</v>
      </c>
      <c r="AL600">
        <v>0</v>
      </c>
      <c r="AM600">
        <v>0</v>
      </c>
      <c r="AN600">
        <v>0</v>
      </c>
      <c r="AO600">
        <v>0</v>
      </c>
      <c r="AP600">
        <v>0</v>
      </c>
      <c r="AQ600">
        <v>0</v>
      </c>
      <c r="AR600">
        <v>0</v>
      </c>
      <c r="AS600">
        <v>0</v>
      </c>
      <c r="AT600">
        <v>0</v>
      </c>
      <c r="AU600">
        <v>0</v>
      </c>
      <c r="AV600">
        <v>0</v>
      </c>
      <c r="AW600">
        <v>0</v>
      </c>
      <c r="AX600">
        <v>0</v>
      </c>
      <c r="AY600">
        <v>0</v>
      </c>
      <c r="AZ600">
        <v>0</v>
      </c>
      <c r="BA600">
        <v>0</v>
      </c>
      <c r="BB600">
        <v>0</v>
      </c>
      <c r="BC600">
        <v>0</v>
      </c>
      <c r="BD600">
        <v>0</v>
      </c>
      <c r="BE600">
        <v>0</v>
      </c>
      <c r="BF600">
        <v>0</v>
      </c>
      <c r="BG600">
        <v>0</v>
      </c>
      <c r="BH600">
        <v>1</v>
      </c>
      <c r="BI600">
        <v>6.1</v>
      </c>
      <c r="BJ600">
        <v>9.5</v>
      </c>
      <c r="BK600">
        <v>10</v>
      </c>
      <c r="BL600">
        <v>121.87</v>
      </c>
      <c r="BM600">
        <v>18.28</v>
      </c>
      <c r="BN600">
        <v>140.15</v>
      </c>
      <c r="BO600">
        <v>140.15</v>
      </c>
      <c r="BQ600" t="s">
        <v>733</v>
      </c>
      <c r="BR600" t="s">
        <v>733</v>
      </c>
      <c r="BS600" s="3">
        <v>44620</v>
      </c>
      <c r="BT600" s="4">
        <v>0.40208333333333335</v>
      </c>
      <c r="BU600" t="s">
        <v>1581</v>
      </c>
      <c r="BV600" t="s">
        <v>101</v>
      </c>
      <c r="BY600">
        <v>47337.84</v>
      </c>
      <c r="BZ600" t="s">
        <v>137</v>
      </c>
      <c r="CA600" t="s">
        <v>1649</v>
      </c>
      <c r="CC600" t="s">
        <v>76</v>
      </c>
      <c r="CD600">
        <v>8000</v>
      </c>
      <c r="CE600" t="s">
        <v>130</v>
      </c>
      <c r="CI600">
        <v>2</v>
      </c>
      <c r="CJ600">
        <v>1</v>
      </c>
      <c r="CK600">
        <v>41</v>
      </c>
      <c r="CL600" t="s">
        <v>84</v>
      </c>
    </row>
    <row r="601" spans="1:90" x14ac:dyDescent="0.25">
      <c r="A601" t="s">
        <v>1417</v>
      </c>
      <c r="B601" t="s">
        <v>1400</v>
      </c>
      <c r="C601" t="s">
        <v>74</v>
      </c>
      <c r="E601" t="str">
        <f>"009941618985"</f>
        <v>009941618985</v>
      </c>
      <c r="F601" s="3">
        <v>44614</v>
      </c>
      <c r="G601">
        <v>202208</v>
      </c>
      <c r="H601" t="s">
        <v>1436</v>
      </c>
      <c r="I601" t="s">
        <v>1437</v>
      </c>
      <c r="J601" t="s">
        <v>1401</v>
      </c>
      <c r="K601" t="s">
        <v>78</v>
      </c>
      <c r="L601" t="s">
        <v>131</v>
      </c>
      <c r="M601" t="s">
        <v>132</v>
      </c>
      <c r="N601" t="s">
        <v>1650</v>
      </c>
      <c r="O601" t="s">
        <v>80</v>
      </c>
      <c r="P601" t="str">
        <f t="shared" si="8"/>
        <v xml:space="preserve">STORES                        </v>
      </c>
      <c r="Q601">
        <v>0</v>
      </c>
      <c r="R601">
        <v>0</v>
      </c>
      <c r="S601">
        <v>0</v>
      </c>
      <c r="T601">
        <v>0</v>
      </c>
      <c r="U601">
        <v>0</v>
      </c>
      <c r="V601">
        <v>0</v>
      </c>
      <c r="W601">
        <v>0</v>
      </c>
      <c r="X601">
        <v>0</v>
      </c>
      <c r="Y601">
        <v>0</v>
      </c>
      <c r="Z601">
        <v>0</v>
      </c>
      <c r="AA601">
        <v>0</v>
      </c>
      <c r="AB601">
        <v>0</v>
      </c>
      <c r="AC601">
        <v>0</v>
      </c>
      <c r="AD601">
        <v>0</v>
      </c>
      <c r="AE601">
        <v>0</v>
      </c>
      <c r="AF601">
        <v>0</v>
      </c>
      <c r="AG601">
        <v>0</v>
      </c>
      <c r="AH601">
        <v>0</v>
      </c>
      <c r="AI601">
        <v>0</v>
      </c>
      <c r="AJ601">
        <v>0</v>
      </c>
      <c r="AK601">
        <v>16.760000000000002</v>
      </c>
      <c r="AL601">
        <v>0</v>
      </c>
      <c r="AM601">
        <v>0</v>
      </c>
      <c r="AN601">
        <v>0</v>
      </c>
      <c r="AO601">
        <v>0</v>
      </c>
      <c r="AP601">
        <v>0</v>
      </c>
      <c r="AQ601">
        <v>0</v>
      </c>
      <c r="AR601">
        <v>0</v>
      </c>
      <c r="AS601">
        <v>0</v>
      </c>
      <c r="AT601">
        <v>0</v>
      </c>
      <c r="AU601">
        <v>0</v>
      </c>
      <c r="AV601">
        <v>0</v>
      </c>
      <c r="AW601">
        <v>0</v>
      </c>
      <c r="AX601">
        <v>0</v>
      </c>
      <c r="AY601">
        <v>0</v>
      </c>
      <c r="AZ601">
        <v>0</v>
      </c>
      <c r="BA601">
        <v>0</v>
      </c>
      <c r="BB601">
        <v>0</v>
      </c>
      <c r="BC601">
        <v>0</v>
      </c>
      <c r="BD601">
        <v>0</v>
      </c>
      <c r="BE601">
        <v>0</v>
      </c>
      <c r="BF601">
        <v>0</v>
      </c>
      <c r="BG601">
        <v>0</v>
      </c>
      <c r="BH601">
        <v>1</v>
      </c>
      <c r="BI601">
        <v>1</v>
      </c>
      <c r="BJ601">
        <v>0.2</v>
      </c>
      <c r="BK601">
        <v>1</v>
      </c>
      <c r="BL601">
        <v>60.3</v>
      </c>
      <c r="BM601">
        <v>9.0500000000000007</v>
      </c>
      <c r="BN601">
        <v>69.349999999999994</v>
      </c>
      <c r="BO601">
        <v>69.349999999999994</v>
      </c>
      <c r="BQ601" t="s">
        <v>1651</v>
      </c>
      <c r="BR601" t="s">
        <v>733</v>
      </c>
      <c r="BS601" s="3">
        <v>44615</v>
      </c>
      <c r="BT601" s="4">
        <v>0.41805555555555557</v>
      </c>
      <c r="BU601" t="s">
        <v>1491</v>
      </c>
      <c r="BV601" t="s">
        <v>101</v>
      </c>
      <c r="BY601">
        <v>1200</v>
      </c>
      <c r="BZ601" t="s">
        <v>87</v>
      </c>
      <c r="CA601" t="s">
        <v>1492</v>
      </c>
      <c r="CC601" t="s">
        <v>132</v>
      </c>
      <c r="CD601">
        <v>4091</v>
      </c>
      <c r="CE601" t="s">
        <v>130</v>
      </c>
      <c r="CF601" s="3">
        <v>44616</v>
      </c>
      <c r="CI601">
        <v>1</v>
      </c>
      <c r="CJ601">
        <v>1</v>
      </c>
      <c r="CK601">
        <v>21</v>
      </c>
      <c r="CL601" t="s">
        <v>84</v>
      </c>
    </row>
    <row r="602" spans="1:90" x14ac:dyDescent="0.25">
      <c r="A602" t="s">
        <v>1417</v>
      </c>
      <c r="B602" t="s">
        <v>1400</v>
      </c>
      <c r="C602" t="s">
        <v>74</v>
      </c>
      <c r="E602" t="str">
        <f>"009941567790"</f>
        <v>009941567790</v>
      </c>
      <c r="F602" s="3">
        <v>44614</v>
      </c>
      <c r="G602">
        <v>202208</v>
      </c>
      <c r="H602" t="s">
        <v>1436</v>
      </c>
      <c r="I602" t="s">
        <v>1437</v>
      </c>
      <c r="J602" t="s">
        <v>1401</v>
      </c>
      <c r="K602" t="s">
        <v>78</v>
      </c>
      <c r="L602" t="s">
        <v>466</v>
      </c>
      <c r="M602" t="s">
        <v>467</v>
      </c>
      <c r="N602" t="s">
        <v>1652</v>
      </c>
      <c r="O602" t="s">
        <v>80</v>
      </c>
      <c r="P602" t="str">
        <f t="shared" si="8"/>
        <v xml:space="preserve">STORES                        </v>
      </c>
      <c r="Q602">
        <v>0</v>
      </c>
      <c r="R602">
        <v>0</v>
      </c>
      <c r="S602">
        <v>0</v>
      </c>
      <c r="T602">
        <v>0</v>
      </c>
      <c r="U602">
        <v>0</v>
      </c>
      <c r="V602">
        <v>0</v>
      </c>
      <c r="W602">
        <v>0</v>
      </c>
      <c r="X602">
        <v>0</v>
      </c>
      <c r="Y602">
        <v>0</v>
      </c>
      <c r="Z602">
        <v>0</v>
      </c>
      <c r="AA602">
        <v>0</v>
      </c>
      <c r="AB602">
        <v>0</v>
      </c>
      <c r="AC602">
        <v>0</v>
      </c>
      <c r="AD602">
        <v>0</v>
      </c>
      <c r="AE602">
        <v>0</v>
      </c>
      <c r="AF602">
        <v>0</v>
      </c>
      <c r="AG602">
        <v>0</v>
      </c>
      <c r="AH602">
        <v>0</v>
      </c>
      <c r="AI602">
        <v>0</v>
      </c>
      <c r="AJ602">
        <v>0</v>
      </c>
      <c r="AK602">
        <v>32.479999999999997</v>
      </c>
      <c r="AL602">
        <v>0</v>
      </c>
      <c r="AM602">
        <v>0</v>
      </c>
      <c r="AN602">
        <v>0</v>
      </c>
      <c r="AO602">
        <v>0</v>
      </c>
      <c r="AP602">
        <v>0</v>
      </c>
      <c r="AQ602">
        <v>0</v>
      </c>
      <c r="AR602">
        <v>0</v>
      </c>
      <c r="AS602">
        <v>0</v>
      </c>
      <c r="AT602">
        <v>0</v>
      </c>
      <c r="AU602">
        <v>0</v>
      </c>
      <c r="AV602">
        <v>0</v>
      </c>
      <c r="AW602">
        <v>0</v>
      </c>
      <c r="AX602">
        <v>0</v>
      </c>
      <c r="AY602">
        <v>0</v>
      </c>
      <c r="AZ602">
        <v>0</v>
      </c>
      <c r="BA602">
        <v>0</v>
      </c>
      <c r="BB602">
        <v>0</v>
      </c>
      <c r="BC602">
        <v>0</v>
      </c>
      <c r="BD602">
        <v>0</v>
      </c>
      <c r="BE602">
        <v>0</v>
      </c>
      <c r="BF602">
        <v>0</v>
      </c>
      <c r="BG602">
        <v>0</v>
      </c>
      <c r="BH602">
        <v>1</v>
      </c>
      <c r="BI602">
        <v>1</v>
      </c>
      <c r="BJ602">
        <v>0.2</v>
      </c>
      <c r="BK602">
        <v>1</v>
      </c>
      <c r="BL602">
        <v>116.84</v>
      </c>
      <c r="BM602">
        <v>17.53</v>
      </c>
      <c r="BN602">
        <v>134.37</v>
      </c>
      <c r="BO602">
        <v>134.37</v>
      </c>
      <c r="BQ602" t="s">
        <v>733</v>
      </c>
      <c r="BR602" t="s">
        <v>1440</v>
      </c>
      <c r="BS602" s="3">
        <v>44617</v>
      </c>
      <c r="BT602" s="4">
        <v>0.34166666666666662</v>
      </c>
      <c r="BU602" t="s">
        <v>1653</v>
      </c>
      <c r="BV602" t="s">
        <v>84</v>
      </c>
      <c r="BW602" t="s">
        <v>268</v>
      </c>
      <c r="BX602" t="s">
        <v>1101</v>
      </c>
      <c r="BY602">
        <v>1200</v>
      </c>
      <c r="BZ602" t="s">
        <v>87</v>
      </c>
      <c r="CC602" t="s">
        <v>467</v>
      </c>
      <c r="CD602">
        <v>3900</v>
      </c>
      <c r="CE602" t="s">
        <v>130</v>
      </c>
      <c r="CF602" s="3">
        <v>44620</v>
      </c>
      <c r="CI602">
        <v>1</v>
      </c>
      <c r="CJ602">
        <v>3</v>
      </c>
      <c r="CK602">
        <v>23</v>
      </c>
      <c r="CL602" t="s">
        <v>84</v>
      </c>
    </row>
    <row r="603" spans="1:90" x14ac:dyDescent="0.25">
      <c r="A603" t="s">
        <v>1417</v>
      </c>
      <c r="B603" t="s">
        <v>1400</v>
      </c>
      <c r="C603" t="s">
        <v>74</v>
      </c>
      <c r="E603" t="str">
        <f>"009941332104"</f>
        <v>009941332104</v>
      </c>
      <c r="F603" s="3">
        <v>44614</v>
      </c>
      <c r="G603">
        <v>202208</v>
      </c>
      <c r="H603" t="s">
        <v>1436</v>
      </c>
      <c r="I603" t="s">
        <v>1437</v>
      </c>
      <c r="J603" t="s">
        <v>1401</v>
      </c>
      <c r="K603" t="s">
        <v>78</v>
      </c>
      <c r="L603" t="s">
        <v>401</v>
      </c>
      <c r="M603" t="s">
        <v>402</v>
      </c>
      <c r="N603" t="s">
        <v>1654</v>
      </c>
      <c r="O603" t="s">
        <v>125</v>
      </c>
      <c r="P603" t="str">
        <f t="shared" si="8"/>
        <v xml:space="preserve">STORES                        </v>
      </c>
      <c r="Q603">
        <v>0</v>
      </c>
      <c r="R603">
        <v>0</v>
      </c>
      <c r="S603">
        <v>0</v>
      </c>
      <c r="T603">
        <v>0</v>
      </c>
      <c r="U603">
        <v>0</v>
      </c>
      <c r="V603">
        <v>0</v>
      </c>
      <c r="W603">
        <v>0</v>
      </c>
      <c r="X603">
        <v>0</v>
      </c>
      <c r="Y603">
        <v>0</v>
      </c>
      <c r="Z603">
        <v>0</v>
      </c>
      <c r="AA603">
        <v>0</v>
      </c>
      <c r="AB603">
        <v>0</v>
      </c>
      <c r="AC603">
        <v>0</v>
      </c>
      <c r="AD603">
        <v>0</v>
      </c>
      <c r="AE603">
        <v>0</v>
      </c>
      <c r="AF603">
        <v>0</v>
      </c>
      <c r="AG603">
        <v>0</v>
      </c>
      <c r="AH603">
        <v>0</v>
      </c>
      <c r="AI603">
        <v>0</v>
      </c>
      <c r="AJ603">
        <v>0</v>
      </c>
      <c r="AK603">
        <v>109.9</v>
      </c>
      <c r="AL603">
        <v>0</v>
      </c>
      <c r="AM603">
        <v>0</v>
      </c>
      <c r="AN603">
        <v>0</v>
      </c>
      <c r="AO603">
        <v>0</v>
      </c>
      <c r="AP603">
        <v>0</v>
      </c>
      <c r="AQ603">
        <v>0</v>
      </c>
      <c r="AR603">
        <v>0</v>
      </c>
      <c r="AS603">
        <v>0</v>
      </c>
      <c r="AT603">
        <v>0</v>
      </c>
      <c r="AU603">
        <v>0</v>
      </c>
      <c r="AV603">
        <v>0</v>
      </c>
      <c r="AW603">
        <v>0</v>
      </c>
      <c r="AX603">
        <v>0</v>
      </c>
      <c r="AY603">
        <v>0</v>
      </c>
      <c r="AZ603">
        <v>0</v>
      </c>
      <c r="BA603">
        <v>0</v>
      </c>
      <c r="BB603">
        <v>0</v>
      </c>
      <c r="BC603">
        <v>0</v>
      </c>
      <c r="BD603">
        <v>0</v>
      </c>
      <c r="BE603">
        <v>0</v>
      </c>
      <c r="BF603">
        <v>0</v>
      </c>
      <c r="BG603">
        <v>0</v>
      </c>
      <c r="BH603">
        <v>3</v>
      </c>
      <c r="BI603">
        <v>72.099999999999994</v>
      </c>
      <c r="BJ603">
        <v>60.2</v>
      </c>
      <c r="BK603">
        <v>73</v>
      </c>
      <c r="BL603">
        <v>400.61</v>
      </c>
      <c r="BM603">
        <v>60.09</v>
      </c>
      <c r="BN603">
        <v>460.7</v>
      </c>
      <c r="BO603">
        <v>460.7</v>
      </c>
      <c r="BQ603" t="s">
        <v>733</v>
      </c>
      <c r="BR603" t="s">
        <v>1533</v>
      </c>
      <c r="BS603" s="3">
        <v>44615</v>
      </c>
      <c r="BT603" s="4">
        <v>0.47916666666666669</v>
      </c>
      <c r="BU603" t="s">
        <v>1534</v>
      </c>
      <c r="BV603" t="s">
        <v>101</v>
      </c>
      <c r="BY603">
        <v>301221.40000000002</v>
      </c>
      <c r="BZ603" t="s">
        <v>137</v>
      </c>
      <c r="CA603" t="s">
        <v>1507</v>
      </c>
      <c r="CC603" t="s">
        <v>402</v>
      </c>
      <c r="CD603">
        <v>699</v>
      </c>
      <c r="CE603" t="s">
        <v>130</v>
      </c>
      <c r="CF603" s="3">
        <v>44615</v>
      </c>
      <c r="CI603">
        <v>1</v>
      </c>
      <c r="CJ603">
        <v>1</v>
      </c>
      <c r="CK603">
        <v>41</v>
      </c>
      <c r="CL603" t="s">
        <v>84</v>
      </c>
    </row>
    <row r="604" spans="1:90" x14ac:dyDescent="0.25">
      <c r="A604" t="s">
        <v>1417</v>
      </c>
      <c r="B604" t="s">
        <v>1400</v>
      </c>
      <c r="C604" t="s">
        <v>74</v>
      </c>
      <c r="E604" t="str">
        <f>"009941916052"</f>
        <v>009941916052</v>
      </c>
      <c r="F604" s="3">
        <v>44614</v>
      </c>
      <c r="G604">
        <v>202208</v>
      </c>
      <c r="H604" t="s">
        <v>1436</v>
      </c>
      <c r="I604" t="s">
        <v>1437</v>
      </c>
      <c r="J604" t="s">
        <v>1401</v>
      </c>
      <c r="K604" t="s">
        <v>78</v>
      </c>
      <c r="L604" t="s">
        <v>234</v>
      </c>
      <c r="M604" t="s">
        <v>235</v>
      </c>
      <c r="N604" t="s">
        <v>1535</v>
      </c>
      <c r="O604" t="s">
        <v>125</v>
      </c>
      <c r="P604" t="str">
        <f t="shared" si="8"/>
        <v xml:space="preserve">STORES                        </v>
      </c>
      <c r="Q604">
        <v>0</v>
      </c>
      <c r="R604">
        <v>0</v>
      </c>
      <c r="S604">
        <v>0</v>
      </c>
      <c r="T604">
        <v>0</v>
      </c>
      <c r="U604">
        <v>0</v>
      </c>
      <c r="V604">
        <v>0</v>
      </c>
      <c r="W604">
        <v>0</v>
      </c>
      <c r="X604">
        <v>0</v>
      </c>
      <c r="Y604">
        <v>0</v>
      </c>
      <c r="Z604">
        <v>0</v>
      </c>
      <c r="AA604">
        <v>0</v>
      </c>
      <c r="AB604">
        <v>0</v>
      </c>
      <c r="AC604">
        <v>0</v>
      </c>
      <c r="AD604">
        <v>0</v>
      </c>
      <c r="AE604">
        <v>0</v>
      </c>
      <c r="AF604">
        <v>0</v>
      </c>
      <c r="AG604">
        <v>0</v>
      </c>
      <c r="AH604">
        <v>0</v>
      </c>
      <c r="AI604">
        <v>0</v>
      </c>
      <c r="AJ604">
        <v>0</v>
      </c>
      <c r="AK604">
        <v>71.16</v>
      </c>
      <c r="AL604">
        <v>0</v>
      </c>
      <c r="AM604">
        <v>0</v>
      </c>
      <c r="AN604">
        <v>0</v>
      </c>
      <c r="AO604">
        <v>0</v>
      </c>
      <c r="AP604">
        <v>0</v>
      </c>
      <c r="AQ604">
        <v>0</v>
      </c>
      <c r="AR604">
        <v>0</v>
      </c>
      <c r="AS604">
        <v>0</v>
      </c>
      <c r="AT604">
        <v>0</v>
      </c>
      <c r="AU604">
        <v>0</v>
      </c>
      <c r="AV604">
        <v>0</v>
      </c>
      <c r="AW604">
        <v>0</v>
      </c>
      <c r="AX604">
        <v>0</v>
      </c>
      <c r="AY604">
        <v>0</v>
      </c>
      <c r="AZ604">
        <v>0</v>
      </c>
      <c r="BA604">
        <v>0</v>
      </c>
      <c r="BB604">
        <v>0</v>
      </c>
      <c r="BC604">
        <v>0</v>
      </c>
      <c r="BD604">
        <v>0</v>
      </c>
      <c r="BE604">
        <v>0</v>
      </c>
      <c r="BF604">
        <v>0</v>
      </c>
      <c r="BG604">
        <v>0</v>
      </c>
      <c r="BH604">
        <v>1</v>
      </c>
      <c r="BI604">
        <v>20</v>
      </c>
      <c r="BJ604">
        <v>43.4</v>
      </c>
      <c r="BK604">
        <v>44</v>
      </c>
      <c r="BL604">
        <v>261.24</v>
      </c>
      <c r="BM604">
        <v>39.19</v>
      </c>
      <c r="BN604">
        <v>300.43</v>
      </c>
      <c r="BO604">
        <v>300.43</v>
      </c>
      <c r="BQ604" t="s">
        <v>733</v>
      </c>
      <c r="BR604" t="s">
        <v>733</v>
      </c>
      <c r="BS604" t="s">
        <v>653</v>
      </c>
      <c r="BY604">
        <v>217080</v>
      </c>
      <c r="BZ604" t="s">
        <v>137</v>
      </c>
      <c r="CC604" t="s">
        <v>235</v>
      </c>
      <c r="CD604">
        <v>3200</v>
      </c>
      <c r="CE604" t="s">
        <v>130</v>
      </c>
      <c r="CI604">
        <v>1</v>
      </c>
      <c r="CJ604" t="s">
        <v>653</v>
      </c>
      <c r="CK604">
        <v>41</v>
      </c>
      <c r="CL604" t="s">
        <v>84</v>
      </c>
    </row>
    <row r="605" spans="1:90" x14ac:dyDescent="0.25">
      <c r="A605" t="s">
        <v>1417</v>
      </c>
      <c r="B605" t="s">
        <v>1400</v>
      </c>
      <c r="C605" t="s">
        <v>74</v>
      </c>
      <c r="E605" t="str">
        <f>"009941332805"</f>
        <v>009941332805</v>
      </c>
      <c r="F605" s="3">
        <v>44594</v>
      </c>
      <c r="G605">
        <v>202208</v>
      </c>
      <c r="H605" t="s">
        <v>1436</v>
      </c>
      <c r="I605" t="s">
        <v>1437</v>
      </c>
      <c r="J605" t="s">
        <v>1401</v>
      </c>
      <c r="K605" t="s">
        <v>78</v>
      </c>
      <c r="L605" t="s">
        <v>75</v>
      </c>
      <c r="M605" t="s">
        <v>76</v>
      </c>
      <c r="N605" t="s">
        <v>1655</v>
      </c>
      <c r="O605" t="s">
        <v>125</v>
      </c>
      <c r="P605" t="str">
        <f t="shared" si="8"/>
        <v xml:space="preserve">STORES                        </v>
      </c>
      <c r="Q605">
        <v>0</v>
      </c>
      <c r="R605">
        <v>0</v>
      </c>
      <c r="S605">
        <v>0</v>
      </c>
      <c r="T605">
        <v>0</v>
      </c>
      <c r="U605">
        <v>0</v>
      </c>
      <c r="V605">
        <v>0</v>
      </c>
      <c r="W605">
        <v>0</v>
      </c>
      <c r="X605">
        <v>0</v>
      </c>
      <c r="Y605">
        <v>0</v>
      </c>
      <c r="Z605">
        <v>0</v>
      </c>
      <c r="AA605">
        <v>0</v>
      </c>
      <c r="AB605">
        <v>0</v>
      </c>
      <c r="AC605">
        <v>0</v>
      </c>
      <c r="AD605">
        <v>0</v>
      </c>
      <c r="AE605">
        <v>0</v>
      </c>
      <c r="AF605">
        <v>0</v>
      </c>
      <c r="AG605">
        <v>0</v>
      </c>
      <c r="AH605">
        <v>0</v>
      </c>
      <c r="AI605">
        <v>0</v>
      </c>
      <c r="AJ605">
        <v>0</v>
      </c>
      <c r="AK605">
        <v>32.42</v>
      </c>
      <c r="AL605">
        <v>0</v>
      </c>
      <c r="AM605">
        <v>0</v>
      </c>
      <c r="AN605">
        <v>0</v>
      </c>
      <c r="AO605">
        <v>0</v>
      </c>
      <c r="AP605">
        <v>0</v>
      </c>
      <c r="AQ605">
        <v>0</v>
      </c>
      <c r="AR605">
        <v>0</v>
      </c>
      <c r="AS605">
        <v>0</v>
      </c>
      <c r="AT605">
        <v>0</v>
      </c>
      <c r="AU605">
        <v>0</v>
      </c>
      <c r="AV605">
        <v>0</v>
      </c>
      <c r="AW605">
        <v>0</v>
      </c>
      <c r="AX605">
        <v>0</v>
      </c>
      <c r="AY605">
        <v>0</v>
      </c>
      <c r="AZ605">
        <v>0</v>
      </c>
      <c r="BA605">
        <v>0</v>
      </c>
      <c r="BB605">
        <v>0</v>
      </c>
      <c r="BC605">
        <v>0</v>
      </c>
      <c r="BD605">
        <v>0</v>
      </c>
      <c r="BE605">
        <v>0</v>
      </c>
      <c r="BF605">
        <v>0</v>
      </c>
      <c r="BG605">
        <v>0</v>
      </c>
      <c r="BH605">
        <v>1</v>
      </c>
      <c r="BI605">
        <v>2.5</v>
      </c>
      <c r="BJ605">
        <v>3.7</v>
      </c>
      <c r="BK605">
        <v>4</v>
      </c>
      <c r="BL605">
        <v>121.87</v>
      </c>
      <c r="BM605">
        <v>18.28</v>
      </c>
      <c r="BN605">
        <v>140.15</v>
      </c>
      <c r="BO605">
        <v>140.15</v>
      </c>
      <c r="BQ605" t="s">
        <v>1656</v>
      </c>
      <c r="BR605" t="s">
        <v>1453</v>
      </c>
      <c r="BS605" s="3">
        <v>44596</v>
      </c>
      <c r="BT605" s="4">
        <v>0.38680555555555557</v>
      </c>
      <c r="BU605" t="s">
        <v>1657</v>
      </c>
      <c r="BV605" t="s">
        <v>101</v>
      </c>
      <c r="BY605">
        <v>18523.71</v>
      </c>
      <c r="BZ605" t="s">
        <v>137</v>
      </c>
      <c r="CA605" t="s">
        <v>1649</v>
      </c>
      <c r="CC605" t="s">
        <v>76</v>
      </c>
      <c r="CD605">
        <v>8000</v>
      </c>
      <c r="CE605" t="s">
        <v>130</v>
      </c>
      <c r="CF605" s="3">
        <v>44599</v>
      </c>
      <c r="CI605">
        <v>2</v>
      </c>
      <c r="CJ605">
        <v>2</v>
      </c>
      <c r="CK605">
        <v>41</v>
      </c>
      <c r="CL605" t="s">
        <v>84</v>
      </c>
    </row>
    <row r="606" spans="1:90" x14ac:dyDescent="0.25">
      <c r="A606" t="s">
        <v>1417</v>
      </c>
      <c r="B606" t="s">
        <v>1400</v>
      </c>
      <c r="C606" t="s">
        <v>74</v>
      </c>
      <c r="E606" t="str">
        <f>"009941209334"</f>
        <v>009941209334</v>
      </c>
      <c r="F606" s="3">
        <v>44595</v>
      </c>
      <c r="G606">
        <v>202208</v>
      </c>
      <c r="H606" t="s">
        <v>1436</v>
      </c>
      <c r="I606" t="s">
        <v>1437</v>
      </c>
      <c r="J606" t="s">
        <v>1401</v>
      </c>
      <c r="K606" t="s">
        <v>78</v>
      </c>
      <c r="L606" t="s">
        <v>401</v>
      </c>
      <c r="M606" t="s">
        <v>402</v>
      </c>
      <c r="N606" t="s">
        <v>1401</v>
      </c>
      <c r="O606" t="s">
        <v>125</v>
      </c>
      <c r="P606" t="str">
        <f t="shared" si="8"/>
        <v xml:space="preserve">STORES                        </v>
      </c>
      <c r="Q606">
        <v>0</v>
      </c>
      <c r="R606">
        <v>0</v>
      </c>
      <c r="S606">
        <v>0</v>
      </c>
      <c r="T606">
        <v>0</v>
      </c>
      <c r="U606">
        <v>0</v>
      </c>
      <c r="V606">
        <v>0</v>
      </c>
      <c r="W606">
        <v>0</v>
      </c>
      <c r="X606">
        <v>0</v>
      </c>
      <c r="Y606">
        <v>0</v>
      </c>
      <c r="Z606">
        <v>0</v>
      </c>
      <c r="AA606">
        <v>0</v>
      </c>
      <c r="AB606">
        <v>0</v>
      </c>
      <c r="AC606">
        <v>0</v>
      </c>
      <c r="AD606">
        <v>0</v>
      </c>
      <c r="AE606">
        <v>0</v>
      </c>
      <c r="AF606">
        <v>0</v>
      </c>
      <c r="AG606">
        <v>0</v>
      </c>
      <c r="AH606">
        <v>0</v>
      </c>
      <c r="AI606">
        <v>0</v>
      </c>
      <c r="AJ606">
        <v>0</v>
      </c>
      <c r="AK606">
        <v>92.53</v>
      </c>
      <c r="AL606">
        <v>0</v>
      </c>
      <c r="AM606">
        <v>0</v>
      </c>
      <c r="AN606">
        <v>0</v>
      </c>
      <c r="AO606">
        <v>0</v>
      </c>
      <c r="AP606">
        <v>0</v>
      </c>
      <c r="AQ606">
        <v>0</v>
      </c>
      <c r="AR606">
        <v>0</v>
      </c>
      <c r="AS606">
        <v>0</v>
      </c>
      <c r="AT606">
        <v>0</v>
      </c>
      <c r="AU606">
        <v>0</v>
      </c>
      <c r="AV606">
        <v>0</v>
      </c>
      <c r="AW606">
        <v>0</v>
      </c>
      <c r="AX606">
        <v>0</v>
      </c>
      <c r="AY606">
        <v>0</v>
      </c>
      <c r="AZ606">
        <v>0</v>
      </c>
      <c r="BA606">
        <v>0</v>
      </c>
      <c r="BB606">
        <v>0</v>
      </c>
      <c r="BC606">
        <v>0</v>
      </c>
      <c r="BD606">
        <v>0</v>
      </c>
      <c r="BE606">
        <v>0</v>
      </c>
      <c r="BF606">
        <v>0</v>
      </c>
      <c r="BG606">
        <v>0</v>
      </c>
      <c r="BH606">
        <v>2</v>
      </c>
      <c r="BI606">
        <v>46.6</v>
      </c>
      <c r="BJ606">
        <v>59.9</v>
      </c>
      <c r="BK606">
        <v>60</v>
      </c>
      <c r="BL606">
        <v>338.13</v>
      </c>
      <c r="BM606">
        <v>50.72</v>
      </c>
      <c r="BN606">
        <v>388.85</v>
      </c>
      <c r="BO606">
        <v>388.85</v>
      </c>
      <c r="BQ606" t="s">
        <v>733</v>
      </c>
      <c r="BR606" t="s">
        <v>733</v>
      </c>
      <c r="BS606" s="3">
        <v>44596</v>
      </c>
      <c r="BT606" s="4">
        <v>0.49861111111111112</v>
      </c>
      <c r="BU606" t="s">
        <v>1534</v>
      </c>
      <c r="BV606" t="s">
        <v>101</v>
      </c>
      <c r="BY606">
        <v>299282.43</v>
      </c>
      <c r="BZ606" t="s">
        <v>137</v>
      </c>
      <c r="CA606" t="s">
        <v>1507</v>
      </c>
      <c r="CC606" t="s">
        <v>402</v>
      </c>
      <c r="CD606">
        <v>699</v>
      </c>
      <c r="CE606" t="s">
        <v>130</v>
      </c>
      <c r="CF606" s="3">
        <v>44596</v>
      </c>
      <c r="CI606">
        <v>1</v>
      </c>
      <c r="CJ606">
        <v>1</v>
      </c>
      <c r="CK606">
        <v>41</v>
      </c>
      <c r="CL606" t="s">
        <v>84</v>
      </c>
    </row>
    <row r="607" spans="1:90" x14ac:dyDescent="0.25">
      <c r="A607" t="s">
        <v>1417</v>
      </c>
      <c r="B607" t="s">
        <v>1400</v>
      </c>
      <c r="C607" t="s">
        <v>74</v>
      </c>
      <c r="E607" t="str">
        <f>"009941189453"</f>
        <v>009941189453</v>
      </c>
      <c r="F607" s="3">
        <v>44594</v>
      </c>
      <c r="G607">
        <v>202208</v>
      </c>
      <c r="H607" t="s">
        <v>75</v>
      </c>
      <c r="I607" t="s">
        <v>76</v>
      </c>
      <c r="J607" t="s">
        <v>1401</v>
      </c>
      <c r="K607" t="s">
        <v>78</v>
      </c>
      <c r="L607" t="s">
        <v>1436</v>
      </c>
      <c r="M607" t="s">
        <v>1437</v>
      </c>
      <c r="N607" t="s">
        <v>1658</v>
      </c>
      <c r="O607" t="s">
        <v>80</v>
      </c>
      <c r="P607" t="str">
        <f>"                              "</f>
        <v xml:space="preserve">                              </v>
      </c>
      <c r="Q607">
        <v>0</v>
      </c>
      <c r="R607">
        <v>0</v>
      </c>
      <c r="S607">
        <v>0</v>
      </c>
      <c r="T607">
        <v>0</v>
      </c>
      <c r="U607">
        <v>0</v>
      </c>
      <c r="V607">
        <v>0</v>
      </c>
      <c r="W607">
        <v>0</v>
      </c>
      <c r="X607">
        <v>0</v>
      </c>
      <c r="Y607">
        <v>0</v>
      </c>
      <c r="Z607">
        <v>0</v>
      </c>
      <c r="AA607">
        <v>0</v>
      </c>
      <c r="AB607">
        <v>0</v>
      </c>
      <c r="AC607">
        <v>0</v>
      </c>
      <c r="AD607">
        <v>0</v>
      </c>
      <c r="AE607">
        <v>0</v>
      </c>
      <c r="AF607">
        <v>0</v>
      </c>
      <c r="AG607">
        <v>0</v>
      </c>
      <c r="AH607">
        <v>0</v>
      </c>
      <c r="AI607">
        <v>0</v>
      </c>
      <c r="AJ607">
        <v>0</v>
      </c>
      <c r="AK607">
        <v>29.33</v>
      </c>
      <c r="AL607">
        <v>0</v>
      </c>
      <c r="AM607">
        <v>0</v>
      </c>
      <c r="AN607">
        <v>0</v>
      </c>
      <c r="AO607">
        <v>0</v>
      </c>
      <c r="AP607">
        <v>0</v>
      </c>
      <c r="AQ607">
        <v>0</v>
      </c>
      <c r="AR607">
        <v>0</v>
      </c>
      <c r="AS607">
        <v>0</v>
      </c>
      <c r="AT607">
        <v>0</v>
      </c>
      <c r="AU607">
        <v>0</v>
      </c>
      <c r="AV607">
        <v>0</v>
      </c>
      <c r="AW607">
        <v>0</v>
      </c>
      <c r="AX607">
        <v>0</v>
      </c>
      <c r="AY607">
        <v>0</v>
      </c>
      <c r="AZ607">
        <v>0</v>
      </c>
      <c r="BA607">
        <v>0</v>
      </c>
      <c r="BB607">
        <v>0</v>
      </c>
      <c r="BC607">
        <v>0</v>
      </c>
      <c r="BD607">
        <v>0</v>
      </c>
      <c r="BE607">
        <v>0</v>
      </c>
      <c r="BF607">
        <v>0</v>
      </c>
      <c r="BG607">
        <v>0</v>
      </c>
      <c r="BH607">
        <v>1</v>
      </c>
      <c r="BI607">
        <v>0.7</v>
      </c>
      <c r="BJ607">
        <v>3.2</v>
      </c>
      <c r="BK607">
        <v>3.5</v>
      </c>
      <c r="BL607">
        <v>105.51</v>
      </c>
      <c r="BM607">
        <v>15.83</v>
      </c>
      <c r="BN607">
        <v>121.34</v>
      </c>
      <c r="BO607">
        <v>121.34</v>
      </c>
      <c r="BQ607" t="s">
        <v>1659</v>
      </c>
      <c r="BR607" t="s">
        <v>1660</v>
      </c>
      <c r="BS607" s="3">
        <v>44595</v>
      </c>
      <c r="BT607" s="4">
        <v>0.4069444444444445</v>
      </c>
      <c r="BU607" t="s">
        <v>1613</v>
      </c>
      <c r="BV607" t="s">
        <v>101</v>
      </c>
      <c r="BY607">
        <v>16226</v>
      </c>
      <c r="BZ607" t="s">
        <v>87</v>
      </c>
      <c r="CA607" t="s">
        <v>1405</v>
      </c>
      <c r="CC607" t="s">
        <v>1437</v>
      </c>
      <c r="CD607">
        <v>2146</v>
      </c>
      <c r="CE607" t="s">
        <v>130</v>
      </c>
      <c r="CF607" s="3">
        <v>44595</v>
      </c>
      <c r="CI607">
        <v>1</v>
      </c>
      <c r="CJ607">
        <v>1</v>
      </c>
      <c r="CK607">
        <v>21</v>
      </c>
      <c r="CL607" t="s">
        <v>84</v>
      </c>
    </row>
    <row r="608" spans="1:90" x14ac:dyDescent="0.25">
      <c r="A608" t="s">
        <v>1417</v>
      </c>
      <c r="B608" t="s">
        <v>1400</v>
      </c>
      <c r="C608" t="s">
        <v>74</v>
      </c>
      <c r="E608" t="str">
        <f>"009942167060"</f>
        <v>009942167060</v>
      </c>
      <c r="F608" s="3">
        <v>44594</v>
      </c>
      <c r="G608">
        <v>202208</v>
      </c>
      <c r="H608" t="s">
        <v>75</v>
      </c>
      <c r="I608" t="s">
        <v>76</v>
      </c>
      <c r="J608" t="s">
        <v>1401</v>
      </c>
      <c r="K608" t="s">
        <v>78</v>
      </c>
      <c r="L608" t="s">
        <v>384</v>
      </c>
      <c r="M608" t="s">
        <v>385</v>
      </c>
      <c r="N608" t="s">
        <v>1661</v>
      </c>
      <c r="O608" t="s">
        <v>80</v>
      </c>
      <c r="P608" t="str">
        <f>"                              "</f>
        <v xml:space="preserve">                              </v>
      </c>
      <c r="Q608">
        <v>0</v>
      </c>
      <c r="R608">
        <v>0</v>
      </c>
      <c r="S608">
        <v>0</v>
      </c>
      <c r="T608">
        <v>0</v>
      </c>
      <c r="U608">
        <v>0</v>
      </c>
      <c r="V608">
        <v>0</v>
      </c>
      <c r="W608">
        <v>0</v>
      </c>
      <c r="X608">
        <v>0</v>
      </c>
      <c r="Y608">
        <v>0</v>
      </c>
      <c r="Z608">
        <v>0</v>
      </c>
      <c r="AA608">
        <v>0</v>
      </c>
      <c r="AB608">
        <v>0</v>
      </c>
      <c r="AC608">
        <v>0</v>
      </c>
      <c r="AD608">
        <v>0</v>
      </c>
      <c r="AE608">
        <v>0</v>
      </c>
      <c r="AF608">
        <v>0</v>
      </c>
      <c r="AG608">
        <v>0</v>
      </c>
      <c r="AH608">
        <v>0</v>
      </c>
      <c r="AI608">
        <v>0</v>
      </c>
      <c r="AJ608">
        <v>0</v>
      </c>
      <c r="AK608">
        <v>16.760000000000002</v>
      </c>
      <c r="AL608">
        <v>0</v>
      </c>
      <c r="AM608">
        <v>0</v>
      </c>
      <c r="AN608">
        <v>0</v>
      </c>
      <c r="AO608">
        <v>0</v>
      </c>
      <c r="AP608">
        <v>0</v>
      </c>
      <c r="AQ608">
        <v>0</v>
      </c>
      <c r="AR608">
        <v>0</v>
      </c>
      <c r="AS608">
        <v>0</v>
      </c>
      <c r="AT608">
        <v>0</v>
      </c>
      <c r="AU608">
        <v>0</v>
      </c>
      <c r="AV608">
        <v>0</v>
      </c>
      <c r="AW608">
        <v>0</v>
      </c>
      <c r="AX608">
        <v>0</v>
      </c>
      <c r="AY608">
        <v>0</v>
      </c>
      <c r="AZ608">
        <v>0</v>
      </c>
      <c r="BA608">
        <v>0</v>
      </c>
      <c r="BB608">
        <v>0</v>
      </c>
      <c r="BC608">
        <v>0</v>
      </c>
      <c r="BD608">
        <v>0</v>
      </c>
      <c r="BE608">
        <v>0</v>
      </c>
      <c r="BF608">
        <v>0</v>
      </c>
      <c r="BG608">
        <v>0</v>
      </c>
      <c r="BH608">
        <v>1</v>
      </c>
      <c r="BI608">
        <v>0.1</v>
      </c>
      <c r="BJ608">
        <v>1.5</v>
      </c>
      <c r="BK608">
        <v>1.5</v>
      </c>
      <c r="BL608">
        <v>60.3</v>
      </c>
      <c r="BM608">
        <v>9.0500000000000007</v>
      </c>
      <c r="BN608">
        <v>69.349999999999994</v>
      </c>
      <c r="BO608">
        <v>69.349999999999994</v>
      </c>
      <c r="BQ608" t="s">
        <v>1473</v>
      </c>
      <c r="BR608" t="s">
        <v>1581</v>
      </c>
      <c r="BS608" s="3">
        <v>44595</v>
      </c>
      <c r="BT608" s="4">
        <v>0.34861111111111115</v>
      </c>
      <c r="BU608" t="s">
        <v>1662</v>
      </c>
      <c r="BV608" t="s">
        <v>101</v>
      </c>
      <c r="BY608">
        <v>7583.88</v>
      </c>
      <c r="BZ608" t="s">
        <v>87</v>
      </c>
      <c r="CA608" t="s">
        <v>1475</v>
      </c>
      <c r="CC608" t="s">
        <v>385</v>
      </c>
      <c r="CD608">
        <v>2194</v>
      </c>
      <c r="CE608" t="s">
        <v>130</v>
      </c>
      <c r="CF608" s="3">
        <v>44595</v>
      </c>
      <c r="CI608">
        <v>1</v>
      </c>
      <c r="CJ608">
        <v>1</v>
      </c>
      <c r="CK608">
        <v>21</v>
      </c>
      <c r="CL608" t="s">
        <v>84</v>
      </c>
    </row>
    <row r="609" spans="1:90" x14ac:dyDescent="0.25">
      <c r="A609" t="s">
        <v>1417</v>
      </c>
      <c r="B609" t="s">
        <v>1400</v>
      </c>
      <c r="C609" t="s">
        <v>74</v>
      </c>
      <c r="E609" t="str">
        <f>"009941567806"</f>
        <v>009941567806</v>
      </c>
      <c r="F609" s="3">
        <v>44594</v>
      </c>
      <c r="G609">
        <v>202208</v>
      </c>
      <c r="H609" t="s">
        <v>1436</v>
      </c>
      <c r="I609" t="s">
        <v>1437</v>
      </c>
      <c r="J609" t="s">
        <v>1401</v>
      </c>
      <c r="K609" t="s">
        <v>78</v>
      </c>
      <c r="L609" t="s">
        <v>1249</v>
      </c>
      <c r="M609" t="s">
        <v>1250</v>
      </c>
      <c r="N609" t="s">
        <v>1663</v>
      </c>
      <c r="O609" t="s">
        <v>80</v>
      </c>
      <c r="P609" t="str">
        <f t="shared" ref="P609:P615" si="9">"STORES                        "</f>
        <v xml:space="preserve">STORES                        </v>
      </c>
      <c r="Q609">
        <v>0</v>
      </c>
      <c r="R609">
        <v>0</v>
      </c>
      <c r="S609">
        <v>0</v>
      </c>
      <c r="T609">
        <v>0</v>
      </c>
      <c r="U609">
        <v>0</v>
      </c>
      <c r="V609">
        <v>0</v>
      </c>
      <c r="W609">
        <v>0</v>
      </c>
      <c r="X609">
        <v>0</v>
      </c>
      <c r="Y609">
        <v>0</v>
      </c>
      <c r="Z609">
        <v>0</v>
      </c>
      <c r="AA609">
        <v>0</v>
      </c>
      <c r="AB609">
        <v>0</v>
      </c>
      <c r="AC609">
        <v>0</v>
      </c>
      <c r="AD609">
        <v>0</v>
      </c>
      <c r="AE609">
        <v>0</v>
      </c>
      <c r="AF609">
        <v>0</v>
      </c>
      <c r="AG609">
        <v>0</v>
      </c>
      <c r="AH609">
        <v>0</v>
      </c>
      <c r="AI609">
        <v>0</v>
      </c>
      <c r="AJ609">
        <v>0</v>
      </c>
      <c r="AK609">
        <v>39.81</v>
      </c>
      <c r="AL609">
        <v>0</v>
      </c>
      <c r="AM609">
        <v>0</v>
      </c>
      <c r="AN609">
        <v>0</v>
      </c>
      <c r="AO609">
        <v>0</v>
      </c>
      <c r="AP609">
        <v>0</v>
      </c>
      <c r="AQ609">
        <v>0</v>
      </c>
      <c r="AR609">
        <v>0</v>
      </c>
      <c r="AS609">
        <v>0</v>
      </c>
      <c r="AT609">
        <v>0</v>
      </c>
      <c r="AU609">
        <v>0</v>
      </c>
      <c r="AV609">
        <v>0</v>
      </c>
      <c r="AW609">
        <v>0</v>
      </c>
      <c r="AX609">
        <v>0</v>
      </c>
      <c r="AY609">
        <v>0</v>
      </c>
      <c r="AZ609">
        <v>0</v>
      </c>
      <c r="BA609">
        <v>0</v>
      </c>
      <c r="BB609">
        <v>0</v>
      </c>
      <c r="BC609">
        <v>0</v>
      </c>
      <c r="BD609">
        <v>0</v>
      </c>
      <c r="BE609">
        <v>0</v>
      </c>
      <c r="BF609">
        <v>0</v>
      </c>
      <c r="BG609">
        <v>0</v>
      </c>
      <c r="BH609">
        <v>1</v>
      </c>
      <c r="BI609">
        <v>1.8</v>
      </c>
      <c r="BJ609">
        <v>2.2000000000000002</v>
      </c>
      <c r="BK609">
        <v>2.5</v>
      </c>
      <c r="BL609">
        <v>143.22</v>
      </c>
      <c r="BM609">
        <v>21.48</v>
      </c>
      <c r="BN609">
        <v>164.7</v>
      </c>
      <c r="BO609">
        <v>164.7</v>
      </c>
      <c r="BQ609" t="s">
        <v>1664</v>
      </c>
      <c r="BR609" t="s">
        <v>1453</v>
      </c>
      <c r="BS609" s="3">
        <v>44595</v>
      </c>
      <c r="BT609" s="4">
        <v>0.53263888888888888</v>
      </c>
      <c r="BU609" t="s">
        <v>1665</v>
      </c>
      <c r="BV609" t="s">
        <v>101</v>
      </c>
      <c r="BY609">
        <v>11071.08</v>
      </c>
      <c r="BZ609" t="s">
        <v>87</v>
      </c>
      <c r="CA609" t="s">
        <v>1666</v>
      </c>
      <c r="CC609" t="s">
        <v>1250</v>
      </c>
      <c r="CD609">
        <v>4240</v>
      </c>
      <c r="CE609" t="s">
        <v>130</v>
      </c>
      <c r="CF609" s="3">
        <v>44596</v>
      </c>
      <c r="CI609">
        <v>2</v>
      </c>
      <c r="CJ609">
        <v>1</v>
      </c>
      <c r="CK609">
        <v>23</v>
      </c>
      <c r="CL609" t="s">
        <v>84</v>
      </c>
    </row>
    <row r="610" spans="1:90" x14ac:dyDescent="0.25">
      <c r="A610" t="s">
        <v>1417</v>
      </c>
      <c r="B610" t="s">
        <v>1400</v>
      </c>
      <c r="C610" t="s">
        <v>74</v>
      </c>
      <c r="E610" t="str">
        <f>"009940956768"</f>
        <v>009940956768</v>
      </c>
      <c r="F610" s="3">
        <v>44594</v>
      </c>
      <c r="G610">
        <v>202208</v>
      </c>
      <c r="H610" t="s">
        <v>1436</v>
      </c>
      <c r="I610" t="s">
        <v>1437</v>
      </c>
      <c r="J610" t="s">
        <v>1401</v>
      </c>
      <c r="K610" t="s">
        <v>78</v>
      </c>
      <c r="L610" t="s">
        <v>441</v>
      </c>
      <c r="M610" t="s">
        <v>442</v>
      </c>
      <c r="N610" t="s">
        <v>1667</v>
      </c>
      <c r="O610" t="s">
        <v>125</v>
      </c>
      <c r="P610" t="str">
        <f t="shared" si="9"/>
        <v xml:space="preserve">STORES                        </v>
      </c>
      <c r="Q610">
        <v>0</v>
      </c>
      <c r="R610">
        <v>0</v>
      </c>
      <c r="S610">
        <v>0</v>
      </c>
      <c r="T610">
        <v>0</v>
      </c>
      <c r="U610">
        <v>0</v>
      </c>
      <c r="V610">
        <v>0</v>
      </c>
      <c r="W610">
        <v>0</v>
      </c>
      <c r="X610">
        <v>0</v>
      </c>
      <c r="Y610">
        <v>0</v>
      </c>
      <c r="Z610">
        <v>0</v>
      </c>
      <c r="AA610">
        <v>0</v>
      </c>
      <c r="AB610">
        <v>0</v>
      </c>
      <c r="AC610">
        <v>0</v>
      </c>
      <c r="AD610">
        <v>0</v>
      </c>
      <c r="AE610">
        <v>0</v>
      </c>
      <c r="AF610">
        <v>0</v>
      </c>
      <c r="AG610">
        <v>0</v>
      </c>
      <c r="AH610">
        <v>0</v>
      </c>
      <c r="AI610">
        <v>0</v>
      </c>
      <c r="AJ610">
        <v>0</v>
      </c>
      <c r="AK610">
        <v>45.72</v>
      </c>
      <c r="AL610">
        <v>0</v>
      </c>
      <c r="AM610">
        <v>0</v>
      </c>
      <c r="AN610">
        <v>0</v>
      </c>
      <c r="AO610">
        <v>0</v>
      </c>
      <c r="AP610">
        <v>0</v>
      </c>
      <c r="AQ610">
        <v>0</v>
      </c>
      <c r="AR610">
        <v>0</v>
      </c>
      <c r="AS610">
        <v>0</v>
      </c>
      <c r="AT610">
        <v>0</v>
      </c>
      <c r="AU610">
        <v>0</v>
      </c>
      <c r="AV610">
        <v>0</v>
      </c>
      <c r="AW610">
        <v>0</v>
      </c>
      <c r="AX610">
        <v>0</v>
      </c>
      <c r="AY610">
        <v>0</v>
      </c>
      <c r="AZ610">
        <v>0</v>
      </c>
      <c r="BA610">
        <v>0</v>
      </c>
      <c r="BB610">
        <v>0</v>
      </c>
      <c r="BC610">
        <v>0</v>
      </c>
      <c r="BD610">
        <v>0</v>
      </c>
      <c r="BE610">
        <v>0</v>
      </c>
      <c r="BF610">
        <v>0</v>
      </c>
      <c r="BG610">
        <v>0</v>
      </c>
      <c r="BH610">
        <v>2</v>
      </c>
      <c r="BI610">
        <v>5.2</v>
      </c>
      <c r="BJ610">
        <v>9</v>
      </c>
      <c r="BK610">
        <v>9</v>
      </c>
      <c r="BL610">
        <v>169.72</v>
      </c>
      <c r="BM610">
        <v>25.46</v>
      </c>
      <c r="BN610">
        <v>195.18</v>
      </c>
      <c r="BO610">
        <v>195.18</v>
      </c>
      <c r="BQ610" t="s">
        <v>1668</v>
      </c>
      <c r="BR610" t="s">
        <v>1453</v>
      </c>
      <c r="BS610" s="3">
        <v>44595</v>
      </c>
      <c r="BT610" s="4">
        <v>0.33055555555555555</v>
      </c>
      <c r="BU610" t="s">
        <v>1669</v>
      </c>
      <c r="BV610" t="s">
        <v>101</v>
      </c>
      <c r="BY610">
        <v>44975.87</v>
      </c>
      <c r="BZ610" t="s">
        <v>137</v>
      </c>
      <c r="CA610" t="s">
        <v>1496</v>
      </c>
      <c r="CC610" t="s">
        <v>442</v>
      </c>
      <c r="CD610">
        <v>1034</v>
      </c>
      <c r="CE610" t="s">
        <v>130</v>
      </c>
      <c r="CF610" s="3">
        <v>44595</v>
      </c>
      <c r="CI610">
        <v>1</v>
      </c>
      <c r="CJ610">
        <v>1</v>
      </c>
      <c r="CK610">
        <v>43</v>
      </c>
      <c r="CL610" t="s">
        <v>84</v>
      </c>
    </row>
    <row r="611" spans="1:90" x14ac:dyDescent="0.25">
      <c r="A611" t="s">
        <v>1417</v>
      </c>
      <c r="B611" t="s">
        <v>1400</v>
      </c>
      <c r="C611" t="s">
        <v>74</v>
      </c>
      <c r="E611" t="str">
        <f>"009941209233"</f>
        <v>009941209233</v>
      </c>
      <c r="F611" s="3">
        <v>44594</v>
      </c>
      <c r="G611">
        <v>202208</v>
      </c>
      <c r="H611" t="s">
        <v>1436</v>
      </c>
      <c r="I611" t="s">
        <v>1437</v>
      </c>
      <c r="J611" t="s">
        <v>1401</v>
      </c>
      <c r="K611" t="s">
        <v>78</v>
      </c>
      <c r="L611" t="s">
        <v>761</v>
      </c>
      <c r="M611" t="s">
        <v>762</v>
      </c>
      <c r="N611" t="s">
        <v>1670</v>
      </c>
      <c r="O611" t="s">
        <v>80</v>
      </c>
      <c r="P611" t="str">
        <f t="shared" si="9"/>
        <v xml:space="preserve">STORES                        </v>
      </c>
      <c r="Q611">
        <v>0</v>
      </c>
      <c r="R611">
        <v>0</v>
      </c>
      <c r="S611">
        <v>0</v>
      </c>
      <c r="T611">
        <v>0</v>
      </c>
      <c r="U611">
        <v>0</v>
      </c>
      <c r="V611">
        <v>0</v>
      </c>
      <c r="W611">
        <v>0</v>
      </c>
      <c r="X611">
        <v>0</v>
      </c>
      <c r="Y611">
        <v>0</v>
      </c>
      <c r="Z611">
        <v>0</v>
      </c>
      <c r="AA611">
        <v>0</v>
      </c>
      <c r="AB611">
        <v>0</v>
      </c>
      <c r="AC611">
        <v>0</v>
      </c>
      <c r="AD611">
        <v>0</v>
      </c>
      <c r="AE611">
        <v>0</v>
      </c>
      <c r="AF611">
        <v>0</v>
      </c>
      <c r="AG611">
        <v>0</v>
      </c>
      <c r="AH611">
        <v>0</v>
      </c>
      <c r="AI611">
        <v>0</v>
      </c>
      <c r="AJ611">
        <v>0</v>
      </c>
      <c r="AK611">
        <v>16.760000000000002</v>
      </c>
      <c r="AL611">
        <v>0</v>
      </c>
      <c r="AM611">
        <v>0</v>
      </c>
      <c r="AN611">
        <v>0</v>
      </c>
      <c r="AO611">
        <v>0</v>
      </c>
      <c r="AP611">
        <v>0</v>
      </c>
      <c r="AQ611">
        <v>0</v>
      </c>
      <c r="AR611">
        <v>0</v>
      </c>
      <c r="AS611">
        <v>0</v>
      </c>
      <c r="AT611">
        <v>0</v>
      </c>
      <c r="AU611">
        <v>0</v>
      </c>
      <c r="AV611">
        <v>0</v>
      </c>
      <c r="AW611">
        <v>0</v>
      </c>
      <c r="AX611">
        <v>0</v>
      </c>
      <c r="AY611">
        <v>0</v>
      </c>
      <c r="AZ611">
        <v>0</v>
      </c>
      <c r="BA611">
        <v>0</v>
      </c>
      <c r="BB611">
        <v>0</v>
      </c>
      <c r="BC611">
        <v>0</v>
      </c>
      <c r="BD611">
        <v>0</v>
      </c>
      <c r="BE611">
        <v>0</v>
      </c>
      <c r="BF611">
        <v>0</v>
      </c>
      <c r="BG611">
        <v>0</v>
      </c>
      <c r="BH611">
        <v>1</v>
      </c>
      <c r="BI611">
        <v>1</v>
      </c>
      <c r="BJ611">
        <v>0.2</v>
      </c>
      <c r="BK611">
        <v>1</v>
      </c>
      <c r="BL611">
        <v>60.3</v>
      </c>
      <c r="BM611">
        <v>9.0500000000000007</v>
      </c>
      <c r="BN611">
        <v>69.349999999999994</v>
      </c>
      <c r="BO611">
        <v>69.349999999999994</v>
      </c>
      <c r="BQ611" t="s">
        <v>1671</v>
      </c>
      <c r="BR611" t="s">
        <v>1453</v>
      </c>
      <c r="BS611" s="3">
        <v>44595</v>
      </c>
      <c r="BT611" s="4">
        <v>0.45416666666666666</v>
      </c>
      <c r="BU611" t="s">
        <v>1630</v>
      </c>
      <c r="BV611" t="s">
        <v>84</v>
      </c>
      <c r="BW611" t="s">
        <v>964</v>
      </c>
      <c r="BX611" t="s">
        <v>899</v>
      </c>
      <c r="BY611">
        <v>1200</v>
      </c>
      <c r="BZ611" t="s">
        <v>87</v>
      </c>
      <c r="CA611" t="s">
        <v>767</v>
      </c>
      <c r="CC611" t="s">
        <v>762</v>
      </c>
      <c r="CD611">
        <v>9300</v>
      </c>
      <c r="CE611" t="s">
        <v>130</v>
      </c>
      <c r="CF611" s="3">
        <v>44596</v>
      </c>
      <c r="CI611">
        <v>1</v>
      </c>
      <c r="CJ611">
        <v>1</v>
      </c>
      <c r="CK611">
        <v>21</v>
      </c>
      <c r="CL611" t="s">
        <v>84</v>
      </c>
    </row>
    <row r="612" spans="1:90" x14ac:dyDescent="0.25">
      <c r="A612" t="s">
        <v>1417</v>
      </c>
      <c r="B612" t="s">
        <v>1400</v>
      </c>
      <c r="C612" t="s">
        <v>74</v>
      </c>
      <c r="E612" t="str">
        <f>"009940956766"</f>
        <v>009940956766</v>
      </c>
      <c r="F612" s="3">
        <v>44595</v>
      </c>
      <c r="G612">
        <v>202208</v>
      </c>
      <c r="H612" t="s">
        <v>1436</v>
      </c>
      <c r="I612" t="s">
        <v>1437</v>
      </c>
      <c r="J612" t="s">
        <v>1401</v>
      </c>
      <c r="K612" t="s">
        <v>78</v>
      </c>
      <c r="L612" t="s">
        <v>441</v>
      </c>
      <c r="M612" t="s">
        <v>442</v>
      </c>
      <c r="N612" t="s">
        <v>1401</v>
      </c>
      <c r="O612" t="s">
        <v>125</v>
      </c>
      <c r="P612" t="str">
        <f t="shared" si="9"/>
        <v xml:space="preserve">STORES                        </v>
      </c>
      <c r="Q612">
        <v>0</v>
      </c>
      <c r="R612">
        <v>0</v>
      </c>
      <c r="S612">
        <v>0</v>
      </c>
      <c r="T612">
        <v>0</v>
      </c>
      <c r="U612">
        <v>0</v>
      </c>
      <c r="V612">
        <v>0</v>
      </c>
      <c r="W612">
        <v>0</v>
      </c>
      <c r="X612">
        <v>0</v>
      </c>
      <c r="Y612">
        <v>0</v>
      </c>
      <c r="Z612">
        <v>0</v>
      </c>
      <c r="AA612">
        <v>0</v>
      </c>
      <c r="AB612">
        <v>0</v>
      </c>
      <c r="AC612">
        <v>0</v>
      </c>
      <c r="AD612">
        <v>0</v>
      </c>
      <c r="AE612">
        <v>0</v>
      </c>
      <c r="AF612">
        <v>0</v>
      </c>
      <c r="AG612">
        <v>0</v>
      </c>
      <c r="AH612">
        <v>0</v>
      </c>
      <c r="AI612">
        <v>0</v>
      </c>
      <c r="AJ612">
        <v>0</v>
      </c>
      <c r="AK612">
        <v>97.13</v>
      </c>
      <c r="AL612">
        <v>0</v>
      </c>
      <c r="AM612">
        <v>0</v>
      </c>
      <c r="AN612">
        <v>0</v>
      </c>
      <c r="AO612">
        <v>0</v>
      </c>
      <c r="AP612">
        <v>0</v>
      </c>
      <c r="AQ612">
        <v>0</v>
      </c>
      <c r="AR612">
        <v>0</v>
      </c>
      <c r="AS612">
        <v>0</v>
      </c>
      <c r="AT612">
        <v>0</v>
      </c>
      <c r="AU612">
        <v>0</v>
      </c>
      <c r="AV612">
        <v>0</v>
      </c>
      <c r="AW612">
        <v>0</v>
      </c>
      <c r="AX612">
        <v>0</v>
      </c>
      <c r="AY612">
        <v>0</v>
      </c>
      <c r="AZ612">
        <v>0</v>
      </c>
      <c r="BA612">
        <v>0</v>
      </c>
      <c r="BB612">
        <v>0</v>
      </c>
      <c r="BC612">
        <v>0</v>
      </c>
      <c r="BD612">
        <v>0</v>
      </c>
      <c r="BE612">
        <v>0</v>
      </c>
      <c r="BF612">
        <v>0</v>
      </c>
      <c r="BG612">
        <v>0</v>
      </c>
      <c r="BH612">
        <v>1</v>
      </c>
      <c r="BI612">
        <v>25</v>
      </c>
      <c r="BJ612">
        <v>36.700000000000003</v>
      </c>
      <c r="BK612">
        <v>37</v>
      </c>
      <c r="BL612">
        <v>354.67</v>
      </c>
      <c r="BM612">
        <v>53.2</v>
      </c>
      <c r="BN612">
        <v>407.87</v>
      </c>
      <c r="BO612">
        <v>407.87</v>
      </c>
      <c r="BQ612" t="s">
        <v>733</v>
      </c>
      <c r="BR612" t="s">
        <v>1443</v>
      </c>
      <c r="BS612" s="3">
        <v>44596</v>
      </c>
      <c r="BT612" s="4">
        <v>0.38750000000000001</v>
      </c>
      <c r="BU612" t="s">
        <v>1608</v>
      </c>
      <c r="BV612" t="s">
        <v>101</v>
      </c>
      <c r="BY612">
        <v>183600</v>
      </c>
      <c r="BZ612" t="s">
        <v>137</v>
      </c>
      <c r="CA612" t="s">
        <v>1496</v>
      </c>
      <c r="CC612" t="s">
        <v>442</v>
      </c>
      <c r="CD612">
        <v>1034</v>
      </c>
      <c r="CE612" t="s">
        <v>130</v>
      </c>
      <c r="CF612" s="3">
        <v>44599</v>
      </c>
      <c r="CI612">
        <v>1</v>
      </c>
      <c r="CJ612">
        <v>1</v>
      </c>
      <c r="CK612">
        <v>43</v>
      </c>
      <c r="CL612" t="s">
        <v>84</v>
      </c>
    </row>
    <row r="613" spans="1:90" x14ac:dyDescent="0.25">
      <c r="A613" t="s">
        <v>1417</v>
      </c>
      <c r="B613" t="s">
        <v>1400</v>
      </c>
      <c r="C613" t="s">
        <v>74</v>
      </c>
      <c r="E613" t="str">
        <f>"009941916032"</f>
        <v>009941916032</v>
      </c>
      <c r="F613" s="3">
        <v>44594</v>
      </c>
      <c r="G613">
        <v>202208</v>
      </c>
      <c r="H613" t="s">
        <v>1436</v>
      </c>
      <c r="I613" t="s">
        <v>1437</v>
      </c>
      <c r="J613" t="s">
        <v>1401</v>
      </c>
      <c r="K613" t="s">
        <v>78</v>
      </c>
      <c r="L613" t="s">
        <v>1407</v>
      </c>
      <c r="M613" t="s">
        <v>1408</v>
      </c>
      <c r="N613" t="s">
        <v>1672</v>
      </c>
      <c r="O613" t="s">
        <v>80</v>
      </c>
      <c r="P613" t="str">
        <f t="shared" si="9"/>
        <v xml:space="preserve">STORES                        </v>
      </c>
      <c r="Q613">
        <v>0</v>
      </c>
      <c r="R613">
        <v>0</v>
      </c>
      <c r="S613">
        <v>0</v>
      </c>
      <c r="T613">
        <v>0</v>
      </c>
      <c r="U613">
        <v>0</v>
      </c>
      <c r="V613">
        <v>0</v>
      </c>
      <c r="W613">
        <v>0</v>
      </c>
      <c r="X613">
        <v>0</v>
      </c>
      <c r="Y613">
        <v>0</v>
      </c>
      <c r="Z613">
        <v>0</v>
      </c>
      <c r="AA613">
        <v>0</v>
      </c>
      <c r="AB613">
        <v>0</v>
      </c>
      <c r="AC613">
        <v>0</v>
      </c>
      <c r="AD613">
        <v>0</v>
      </c>
      <c r="AE613">
        <v>0</v>
      </c>
      <c r="AF613">
        <v>0</v>
      </c>
      <c r="AG613">
        <v>0</v>
      </c>
      <c r="AH613">
        <v>0</v>
      </c>
      <c r="AI613">
        <v>0</v>
      </c>
      <c r="AJ613">
        <v>0</v>
      </c>
      <c r="AK613">
        <v>32.479999999999997</v>
      </c>
      <c r="AL613">
        <v>0</v>
      </c>
      <c r="AM613">
        <v>0</v>
      </c>
      <c r="AN613">
        <v>0</v>
      </c>
      <c r="AO613">
        <v>0</v>
      </c>
      <c r="AP613">
        <v>0</v>
      </c>
      <c r="AQ613">
        <v>0</v>
      </c>
      <c r="AR613">
        <v>0</v>
      </c>
      <c r="AS613">
        <v>0</v>
      </c>
      <c r="AT613">
        <v>0</v>
      </c>
      <c r="AU613">
        <v>0</v>
      </c>
      <c r="AV613">
        <v>0</v>
      </c>
      <c r="AW613">
        <v>0</v>
      </c>
      <c r="AX613">
        <v>0</v>
      </c>
      <c r="AY613">
        <v>0</v>
      </c>
      <c r="AZ613">
        <v>0</v>
      </c>
      <c r="BA613">
        <v>0</v>
      </c>
      <c r="BB613">
        <v>0</v>
      </c>
      <c r="BC613">
        <v>0</v>
      </c>
      <c r="BD613">
        <v>0</v>
      </c>
      <c r="BE613">
        <v>0</v>
      </c>
      <c r="BF613">
        <v>0</v>
      </c>
      <c r="BG613">
        <v>0</v>
      </c>
      <c r="BH613">
        <v>1</v>
      </c>
      <c r="BI613">
        <v>0.2</v>
      </c>
      <c r="BJ613">
        <v>1.5</v>
      </c>
      <c r="BK613">
        <v>1.5</v>
      </c>
      <c r="BL613">
        <v>116.84</v>
      </c>
      <c r="BM613">
        <v>17.53</v>
      </c>
      <c r="BN613">
        <v>134.37</v>
      </c>
      <c r="BO613">
        <v>134.37</v>
      </c>
      <c r="BQ613" t="s">
        <v>1673</v>
      </c>
      <c r="BR613" t="s">
        <v>1453</v>
      </c>
      <c r="BS613" s="3">
        <v>44599</v>
      </c>
      <c r="BT613" s="4">
        <v>0.36874999999999997</v>
      </c>
      <c r="BU613" t="s">
        <v>1410</v>
      </c>
      <c r="BV613" t="s">
        <v>84</v>
      </c>
      <c r="BW613" t="s">
        <v>239</v>
      </c>
      <c r="BX613" t="s">
        <v>1674</v>
      </c>
      <c r="BY613">
        <v>7592.97</v>
      </c>
      <c r="BZ613" t="s">
        <v>87</v>
      </c>
      <c r="CC613" t="s">
        <v>1408</v>
      </c>
      <c r="CD613">
        <v>2940</v>
      </c>
      <c r="CE613" t="s">
        <v>130</v>
      </c>
      <c r="CF613" s="3">
        <v>44599</v>
      </c>
      <c r="CI613">
        <v>1</v>
      </c>
      <c r="CJ613">
        <v>3</v>
      </c>
      <c r="CK613">
        <v>23</v>
      </c>
      <c r="CL613" t="s">
        <v>84</v>
      </c>
    </row>
    <row r="614" spans="1:90" x14ac:dyDescent="0.25">
      <c r="A614" t="s">
        <v>1417</v>
      </c>
      <c r="B614" t="s">
        <v>1400</v>
      </c>
      <c r="C614" t="s">
        <v>74</v>
      </c>
      <c r="E614" t="str">
        <f>"009941209234"</f>
        <v>009941209234</v>
      </c>
      <c r="F614" s="3">
        <v>44595</v>
      </c>
      <c r="G614">
        <v>202208</v>
      </c>
      <c r="H614" t="s">
        <v>1436</v>
      </c>
      <c r="I614" t="s">
        <v>1437</v>
      </c>
      <c r="J614" t="s">
        <v>1401</v>
      </c>
      <c r="K614" t="s">
        <v>78</v>
      </c>
      <c r="L614" t="s">
        <v>761</v>
      </c>
      <c r="M614" t="s">
        <v>762</v>
      </c>
      <c r="N614" t="s">
        <v>1401</v>
      </c>
      <c r="O614" t="s">
        <v>125</v>
      </c>
      <c r="P614" t="str">
        <f t="shared" si="9"/>
        <v xml:space="preserve">STORES                        </v>
      </c>
      <c r="Q614">
        <v>0</v>
      </c>
      <c r="R614">
        <v>0</v>
      </c>
      <c r="S614">
        <v>0</v>
      </c>
      <c r="T614">
        <v>0</v>
      </c>
      <c r="U614">
        <v>0</v>
      </c>
      <c r="V614">
        <v>0</v>
      </c>
      <c r="W614">
        <v>0</v>
      </c>
      <c r="X614">
        <v>0</v>
      </c>
      <c r="Y614">
        <v>0</v>
      </c>
      <c r="Z614">
        <v>0</v>
      </c>
      <c r="AA614">
        <v>0</v>
      </c>
      <c r="AB614">
        <v>0</v>
      </c>
      <c r="AC614">
        <v>0</v>
      </c>
      <c r="AD614">
        <v>0</v>
      </c>
      <c r="AE614">
        <v>0</v>
      </c>
      <c r="AF614">
        <v>0</v>
      </c>
      <c r="AG614">
        <v>0</v>
      </c>
      <c r="AH614">
        <v>0</v>
      </c>
      <c r="AI614">
        <v>0</v>
      </c>
      <c r="AJ614">
        <v>0</v>
      </c>
      <c r="AK614">
        <v>124.6</v>
      </c>
      <c r="AL614">
        <v>0</v>
      </c>
      <c r="AM614">
        <v>0</v>
      </c>
      <c r="AN614">
        <v>0</v>
      </c>
      <c r="AO614">
        <v>0</v>
      </c>
      <c r="AP614">
        <v>0</v>
      </c>
      <c r="AQ614">
        <v>0</v>
      </c>
      <c r="AR614">
        <v>0</v>
      </c>
      <c r="AS614">
        <v>0</v>
      </c>
      <c r="AT614">
        <v>0</v>
      </c>
      <c r="AU614">
        <v>0</v>
      </c>
      <c r="AV614">
        <v>0</v>
      </c>
      <c r="AW614">
        <v>0</v>
      </c>
      <c r="AX614">
        <v>0</v>
      </c>
      <c r="AY614">
        <v>0</v>
      </c>
      <c r="AZ614">
        <v>0</v>
      </c>
      <c r="BA614">
        <v>0</v>
      </c>
      <c r="BB614">
        <v>0</v>
      </c>
      <c r="BC614">
        <v>0</v>
      </c>
      <c r="BD614">
        <v>0</v>
      </c>
      <c r="BE614">
        <v>0</v>
      </c>
      <c r="BF614">
        <v>0</v>
      </c>
      <c r="BG614">
        <v>0</v>
      </c>
      <c r="BH614">
        <v>2</v>
      </c>
      <c r="BI614">
        <v>53</v>
      </c>
      <c r="BJ614">
        <v>83.4</v>
      </c>
      <c r="BK614">
        <v>84</v>
      </c>
      <c r="BL614">
        <v>453.48</v>
      </c>
      <c r="BM614">
        <v>68.02</v>
      </c>
      <c r="BN614">
        <v>521.5</v>
      </c>
      <c r="BO614">
        <v>521.5</v>
      </c>
      <c r="BQ614" t="s">
        <v>733</v>
      </c>
      <c r="BR614" t="s">
        <v>733</v>
      </c>
      <c r="BS614" s="3">
        <v>44596</v>
      </c>
      <c r="BT614" s="4">
        <v>0.45833333333333331</v>
      </c>
      <c r="BU614" t="s">
        <v>1502</v>
      </c>
      <c r="BV614" t="s">
        <v>101</v>
      </c>
      <c r="BY614">
        <v>416988</v>
      </c>
      <c r="BZ614" t="s">
        <v>137</v>
      </c>
      <c r="CA614" t="s">
        <v>767</v>
      </c>
      <c r="CC614" t="s">
        <v>762</v>
      </c>
      <c r="CD614">
        <v>9300</v>
      </c>
      <c r="CE614" t="s">
        <v>130</v>
      </c>
      <c r="CF614" s="3">
        <v>44599</v>
      </c>
      <c r="CI614">
        <v>1</v>
      </c>
      <c r="CJ614">
        <v>1</v>
      </c>
      <c r="CK614">
        <v>41</v>
      </c>
      <c r="CL614" t="s">
        <v>84</v>
      </c>
    </row>
    <row r="615" spans="1:90" x14ac:dyDescent="0.25">
      <c r="A615" t="s">
        <v>1417</v>
      </c>
      <c r="B615" t="s">
        <v>1400</v>
      </c>
      <c r="C615" t="s">
        <v>74</v>
      </c>
      <c r="E615" t="str">
        <f>"009941915431"</f>
        <v>009941915431</v>
      </c>
      <c r="F615" s="3">
        <v>44595</v>
      </c>
      <c r="G615">
        <v>202208</v>
      </c>
      <c r="H615" t="s">
        <v>1436</v>
      </c>
      <c r="I615" t="s">
        <v>1437</v>
      </c>
      <c r="J615" t="s">
        <v>1401</v>
      </c>
      <c r="K615" t="s">
        <v>78</v>
      </c>
      <c r="L615" t="s">
        <v>282</v>
      </c>
      <c r="M615" t="s">
        <v>283</v>
      </c>
      <c r="N615" t="s">
        <v>1401</v>
      </c>
      <c r="O615" t="s">
        <v>125</v>
      </c>
      <c r="P615" t="str">
        <f t="shared" si="9"/>
        <v xml:space="preserve">STORES                        </v>
      </c>
      <c r="Q615">
        <v>0</v>
      </c>
      <c r="R615">
        <v>0</v>
      </c>
      <c r="S615">
        <v>0</v>
      </c>
      <c r="T615">
        <v>0</v>
      </c>
      <c r="U615">
        <v>0</v>
      </c>
      <c r="V615">
        <v>0</v>
      </c>
      <c r="W615">
        <v>0</v>
      </c>
      <c r="X615">
        <v>0</v>
      </c>
      <c r="Y615">
        <v>0</v>
      </c>
      <c r="Z615">
        <v>0</v>
      </c>
      <c r="AA615">
        <v>0</v>
      </c>
      <c r="AB615">
        <v>0</v>
      </c>
      <c r="AC615">
        <v>0</v>
      </c>
      <c r="AD615">
        <v>0</v>
      </c>
      <c r="AE615">
        <v>0</v>
      </c>
      <c r="AF615">
        <v>0</v>
      </c>
      <c r="AG615">
        <v>0</v>
      </c>
      <c r="AH615">
        <v>0</v>
      </c>
      <c r="AI615">
        <v>0</v>
      </c>
      <c r="AJ615">
        <v>0</v>
      </c>
      <c r="AK615">
        <v>45.72</v>
      </c>
      <c r="AL615">
        <v>0</v>
      </c>
      <c r="AM615">
        <v>0</v>
      </c>
      <c r="AN615">
        <v>0</v>
      </c>
      <c r="AO615">
        <v>0</v>
      </c>
      <c r="AP615">
        <v>0</v>
      </c>
      <c r="AQ615">
        <v>0</v>
      </c>
      <c r="AR615">
        <v>0</v>
      </c>
      <c r="AS615">
        <v>0</v>
      </c>
      <c r="AT615">
        <v>0</v>
      </c>
      <c r="AU615">
        <v>0</v>
      </c>
      <c r="AV615">
        <v>0</v>
      </c>
      <c r="AW615">
        <v>0</v>
      </c>
      <c r="AX615">
        <v>0</v>
      </c>
      <c r="AY615">
        <v>0</v>
      </c>
      <c r="AZ615">
        <v>0</v>
      </c>
      <c r="BA615">
        <v>0</v>
      </c>
      <c r="BB615">
        <v>0</v>
      </c>
      <c r="BC615">
        <v>0</v>
      </c>
      <c r="BD615">
        <v>0</v>
      </c>
      <c r="BE615">
        <v>0</v>
      </c>
      <c r="BF615">
        <v>0</v>
      </c>
      <c r="BG615">
        <v>0</v>
      </c>
      <c r="BH615">
        <v>1</v>
      </c>
      <c r="BI615">
        <v>4.8</v>
      </c>
      <c r="BJ615">
        <v>2.2000000000000002</v>
      </c>
      <c r="BK615">
        <v>5</v>
      </c>
      <c r="BL615">
        <v>169.72</v>
      </c>
      <c r="BM615">
        <v>25.46</v>
      </c>
      <c r="BN615">
        <v>195.18</v>
      </c>
      <c r="BO615">
        <v>195.18</v>
      </c>
      <c r="BQ615" t="s">
        <v>733</v>
      </c>
      <c r="BR615" t="s">
        <v>733</v>
      </c>
      <c r="BS615" s="3">
        <v>44596</v>
      </c>
      <c r="BT615" s="4">
        <v>0.3743055555555555</v>
      </c>
      <c r="BU615" t="s">
        <v>1522</v>
      </c>
      <c r="BV615" t="s">
        <v>101</v>
      </c>
      <c r="BY615">
        <v>10843.22</v>
      </c>
      <c r="BZ615" t="s">
        <v>137</v>
      </c>
      <c r="CA615" t="s">
        <v>287</v>
      </c>
      <c r="CC615" t="s">
        <v>283</v>
      </c>
      <c r="CD615">
        <v>300</v>
      </c>
      <c r="CE615" t="s">
        <v>130</v>
      </c>
      <c r="CF615" s="3">
        <v>44596</v>
      </c>
      <c r="CI615">
        <v>1</v>
      </c>
      <c r="CJ615">
        <v>1</v>
      </c>
      <c r="CK615">
        <v>43</v>
      </c>
      <c r="CL615" t="s">
        <v>84</v>
      </c>
    </row>
    <row r="616" spans="1:90" x14ac:dyDescent="0.25">
      <c r="A616" t="s">
        <v>1417</v>
      </c>
      <c r="B616" t="s">
        <v>1400</v>
      </c>
      <c r="C616" t="s">
        <v>74</v>
      </c>
      <c r="E616" t="str">
        <f>"009936115817"</f>
        <v>009936115817</v>
      </c>
      <c r="F616" s="3">
        <v>44593</v>
      </c>
      <c r="G616">
        <v>202208</v>
      </c>
      <c r="H616" t="s">
        <v>1436</v>
      </c>
      <c r="I616" t="s">
        <v>1437</v>
      </c>
      <c r="J616" t="s">
        <v>1401</v>
      </c>
      <c r="K616" t="s">
        <v>78</v>
      </c>
      <c r="L616" t="s">
        <v>123</v>
      </c>
      <c r="M616" t="s">
        <v>124</v>
      </c>
      <c r="N616" t="s">
        <v>1401</v>
      </c>
      <c r="O616" t="s">
        <v>80</v>
      </c>
      <c r="P616" t="str">
        <f>"NA                            "</f>
        <v xml:space="preserve">NA                            </v>
      </c>
      <c r="Q616">
        <v>0</v>
      </c>
      <c r="R616">
        <v>0</v>
      </c>
      <c r="S616">
        <v>0</v>
      </c>
      <c r="T616">
        <v>0</v>
      </c>
      <c r="U616">
        <v>0</v>
      </c>
      <c r="V616">
        <v>0</v>
      </c>
      <c r="W616">
        <v>0</v>
      </c>
      <c r="X616">
        <v>0</v>
      </c>
      <c r="Y616">
        <v>0</v>
      </c>
      <c r="Z616">
        <v>0</v>
      </c>
      <c r="AA616">
        <v>0</v>
      </c>
      <c r="AB616">
        <v>0</v>
      </c>
      <c r="AC616">
        <v>0</v>
      </c>
      <c r="AD616">
        <v>0</v>
      </c>
      <c r="AE616">
        <v>0</v>
      </c>
      <c r="AF616">
        <v>0</v>
      </c>
      <c r="AG616">
        <v>0</v>
      </c>
      <c r="AH616">
        <v>0</v>
      </c>
      <c r="AI616">
        <v>0</v>
      </c>
      <c r="AJ616">
        <v>0</v>
      </c>
      <c r="AK616">
        <v>15.46</v>
      </c>
      <c r="AL616">
        <v>0</v>
      </c>
      <c r="AM616">
        <v>0</v>
      </c>
      <c r="AN616">
        <v>0</v>
      </c>
      <c r="AO616">
        <v>0</v>
      </c>
      <c r="AP616">
        <v>0</v>
      </c>
      <c r="AQ616">
        <v>0</v>
      </c>
      <c r="AR616">
        <v>0</v>
      </c>
      <c r="AS616">
        <v>0</v>
      </c>
      <c r="AT616">
        <v>0</v>
      </c>
      <c r="AU616">
        <v>0</v>
      </c>
      <c r="AV616">
        <v>0</v>
      </c>
      <c r="AW616">
        <v>0</v>
      </c>
      <c r="AX616">
        <v>0</v>
      </c>
      <c r="AY616">
        <v>0</v>
      </c>
      <c r="AZ616">
        <v>0</v>
      </c>
      <c r="BA616">
        <v>0</v>
      </c>
      <c r="BB616">
        <v>0</v>
      </c>
      <c r="BC616">
        <v>0</v>
      </c>
      <c r="BD616">
        <v>0</v>
      </c>
      <c r="BE616">
        <v>0</v>
      </c>
      <c r="BF616">
        <v>0</v>
      </c>
      <c r="BG616">
        <v>0</v>
      </c>
      <c r="BH616">
        <v>1</v>
      </c>
      <c r="BI616">
        <v>0.2</v>
      </c>
      <c r="BJ616">
        <v>1.1000000000000001</v>
      </c>
      <c r="BK616">
        <v>1.5</v>
      </c>
      <c r="BL616">
        <v>59</v>
      </c>
      <c r="BM616">
        <v>8.85</v>
      </c>
      <c r="BN616">
        <v>67.849999999999994</v>
      </c>
      <c r="BO616">
        <v>67.849999999999994</v>
      </c>
      <c r="BQ616" t="s">
        <v>733</v>
      </c>
      <c r="BR616" t="s">
        <v>1443</v>
      </c>
      <c r="BS616" s="3">
        <v>44594</v>
      </c>
      <c r="BT616" s="4">
        <v>0.52222222222222225</v>
      </c>
      <c r="BU616" t="s">
        <v>1444</v>
      </c>
      <c r="BV616" t="s">
        <v>84</v>
      </c>
      <c r="BW616" t="s">
        <v>85</v>
      </c>
      <c r="BX616" t="s">
        <v>1571</v>
      </c>
      <c r="BY616">
        <v>5370.75</v>
      </c>
      <c r="BZ616" t="s">
        <v>87</v>
      </c>
      <c r="CA616" t="s">
        <v>1445</v>
      </c>
      <c r="CC616" t="s">
        <v>124</v>
      </c>
      <c r="CD616">
        <v>6045</v>
      </c>
      <c r="CE616" t="s">
        <v>130</v>
      </c>
      <c r="CF616" s="3">
        <v>44595</v>
      </c>
      <c r="CI616">
        <v>1</v>
      </c>
      <c r="CJ616">
        <v>1</v>
      </c>
      <c r="CK616">
        <v>21</v>
      </c>
      <c r="CL616" t="s">
        <v>84</v>
      </c>
    </row>
    <row r="617" spans="1:90" x14ac:dyDescent="0.25">
      <c r="A617" t="s">
        <v>1417</v>
      </c>
      <c r="B617" t="s">
        <v>1400</v>
      </c>
      <c r="C617" t="s">
        <v>74</v>
      </c>
      <c r="E617" t="str">
        <f>"009941994661"</f>
        <v>009941994661</v>
      </c>
      <c r="F617" s="3">
        <v>44593</v>
      </c>
      <c r="G617">
        <v>202208</v>
      </c>
      <c r="H617" t="s">
        <v>761</v>
      </c>
      <c r="I617" t="s">
        <v>762</v>
      </c>
      <c r="J617" t="s">
        <v>1401</v>
      </c>
      <c r="K617" t="s">
        <v>78</v>
      </c>
      <c r="L617" t="s">
        <v>153</v>
      </c>
      <c r="M617" t="s">
        <v>154</v>
      </c>
      <c r="N617" t="s">
        <v>1401</v>
      </c>
      <c r="O617" t="s">
        <v>125</v>
      </c>
      <c r="P617" t="str">
        <f>"                              "</f>
        <v xml:space="preserve">                              </v>
      </c>
      <c r="Q617">
        <v>0</v>
      </c>
      <c r="R617">
        <v>0</v>
      </c>
      <c r="S617">
        <v>0</v>
      </c>
      <c r="T617">
        <v>0</v>
      </c>
      <c r="U617">
        <v>0</v>
      </c>
      <c r="V617">
        <v>0</v>
      </c>
      <c r="W617">
        <v>0</v>
      </c>
      <c r="X617">
        <v>0</v>
      </c>
      <c r="Y617">
        <v>0</v>
      </c>
      <c r="Z617">
        <v>0</v>
      </c>
      <c r="AA617">
        <v>0</v>
      </c>
      <c r="AB617">
        <v>0</v>
      </c>
      <c r="AC617">
        <v>0</v>
      </c>
      <c r="AD617">
        <v>0</v>
      </c>
      <c r="AE617">
        <v>0</v>
      </c>
      <c r="AF617">
        <v>0</v>
      </c>
      <c r="AG617">
        <v>0</v>
      </c>
      <c r="AH617">
        <v>0</v>
      </c>
      <c r="AI617">
        <v>0</v>
      </c>
      <c r="AJ617">
        <v>0</v>
      </c>
      <c r="AK617">
        <v>158</v>
      </c>
      <c r="AL617">
        <v>0</v>
      </c>
      <c r="AM617">
        <v>0</v>
      </c>
      <c r="AN617">
        <v>0</v>
      </c>
      <c r="AO617">
        <v>0</v>
      </c>
      <c r="AP617">
        <v>0</v>
      </c>
      <c r="AQ617">
        <v>0</v>
      </c>
      <c r="AR617">
        <v>0</v>
      </c>
      <c r="AS617">
        <v>0</v>
      </c>
      <c r="AT617">
        <v>0</v>
      </c>
      <c r="AU617">
        <v>0</v>
      </c>
      <c r="AV617">
        <v>0</v>
      </c>
      <c r="AW617">
        <v>0</v>
      </c>
      <c r="AX617">
        <v>0</v>
      </c>
      <c r="AY617">
        <v>0</v>
      </c>
      <c r="AZ617">
        <v>0</v>
      </c>
      <c r="BA617">
        <v>0</v>
      </c>
      <c r="BB617">
        <v>0</v>
      </c>
      <c r="BC617">
        <v>0</v>
      </c>
      <c r="BD617">
        <v>0</v>
      </c>
      <c r="BE617">
        <v>0</v>
      </c>
      <c r="BF617">
        <v>0</v>
      </c>
      <c r="BG617">
        <v>0</v>
      </c>
      <c r="BH617">
        <v>1</v>
      </c>
      <c r="BI617">
        <v>15</v>
      </c>
      <c r="BJ617">
        <v>118.1</v>
      </c>
      <c r="BK617">
        <v>119</v>
      </c>
      <c r="BL617">
        <v>608.33000000000004</v>
      </c>
      <c r="BM617">
        <v>91.25</v>
      </c>
      <c r="BN617">
        <v>699.58</v>
      </c>
      <c r="BO617">
        <v>699.58</v>
      </c>
      <c r="BQ617" t="s">
        <v>1481</v>
      </c>
      <c r="BR617" t="s">
        <v>1482</v>
      </c>
      <c r="BS617" s="3">
        <v>44594</v>
      </c>
      <c r="BT617" s="4">
        <v>0.36388888888888887</v>
      </c>
      <c r="BU617" t="s">
        <v>1675</v>
      </c>
      <c r="BV617" t="s">
        <v>101</v>
      </c>
      <c r="BY617">
        <v>590625</v>
      </c>
      <c r="BZ617" t="s">
        <v>137</v>
      </c>
      <c r="CA617" t="s">
        <v>928</v>
      </c>
      <c r="CC617" t="s">
        <v>154</v>
      </c>
      <c r="CD617">
        <v>2196</v>
      </c>
      <c r="CE617" t="s">
        <v>130</v>
      </c>
      <c r="CF617" s="3">
        <v>44594</v>
      </c>
      <c r="CI617">
        <v>1</v>
      </c>
      <c r="CJ617">
        <v>1</v>
      </c>
      <c r="CK617">
        <v>41</v>
      </c>
      <c r="CL617" t="s">
        <v>84</v>
      </c>
    </row>
    <row r="618" spans="1:90" x14ac:dyDescent="0.25">
      <c r="A618" t="s">
        <v>1417</v>
      </c>
      <c r="B618" t="s">
        <v>1400</v>
      </c>
      <c r="C618" t="s">
        <v>74</v>
      </c>
      <c r="E618" t="str">
        <f>"009941209333"</f>
        <v>009941209333</v>
      </c>
      <c r="F618" s="3">
        <v>44593</v>
      </c>
      <c r="G618">
        <v>202208</v>
      </c>
      <c r="H618" t="s">
        <v>1436</v>
      </c>
      <c r="I618" t="s">
        <v>1437</v>
      </c>
      <c r="J618" t="s">
        <v>1401</v>
      </c>
      <c r="K618" t="s">
        <v>78</v>
      </c>
      <c r="L618" t="s">
        <v>401</v>
      </c>
      <c r="M618" t="s">
        <v>402</v>
      </c>
      <c r="N618" t="s">
        <v>1401</v>
      </c>
      <c r="O618" t="s">
        <v>125</v>
      </c>
      <c r="P618" t="str">
        <f>"STORES                        "</f>
        <v xml:space="preserve">STORES                        </v>
      </c>
      <c r="Q618">
        <v>0</v>
      </c>
      <c r="R618">
        <v>0</v>
      </c>
      <c r="S618">
        <v>0</v>
      </c>
      <c r="T618">
        <v>0</v>
      </c>
      <c r="U618">
        <v>0</v>
      </c>
      <c r="V618">
        <v>0</v>
      </c>
      <c r="W618">
        <v>0</v>
      </c>
      <c r="X618">
        <v>0</v>
      </c>
      <c r="Y618">
        <v>0</v>
      </c>
      <c r="Z618">
        <v>0</v>
      </c>
      <c r="AA618">
        <v>0</v>
      </c>
      <c r="AB618">
        <v>0</v>
      </c>
      <c r="AC618">
        <v>0</v>
      </c>
      <c r="AD618">
        <v>0</v>
      </c>
      <c r="AE618">
        <v>0</v>
      </c>
      <c r="AF618">
        <v>0</v>
      </c>
      <c r="AG618">
        <v>0</v>
      </c>
      <c r="AH618">
        <v>0</v>
      </c>
      <c r="AI618">
        <v>0</v>
      </c>
      <c r="AJ618">
        <v>0</v>
      </c>
      <c r="AK618">
        <v>135.83000000000001</v>
      </c>
      <c r="AL618">
        <v>0</v>
      </c>
      <c r="AM618">
        <v>0</v>
      </c>
      <c r="AN618">
        <v>0</v>
      </c>
      <c r="AO618">
        <v>0</v>
      </c>
      <c r="AP618">
        <v>0</v>
      </c>
      <c r="AQ618">
        <v>0</v>
      </c>
      <c r="AR618">
        <v>0</v>
      </c>
      <c r="AS618">
        <v>0</v>
      </c>
      <c r="AT618">
        <v>0</v>
      </c>
      <c r="AU618">
        <v>0</v>
      </c>
      <c r="AV618">
        <v>0</v>
      </c>
      <c r="AW618">
        <v>0</v>
      </c>
      <c r="AX618">
        <v>0</v>
      </c>
      <c r="AY618">
        <v>0</v>
      </c>
      <c r="AZ618">
        <v>0</v>
      </c>
      <c r="BA618">
        <v>0</v>
      </c>
      <c r="BB618">
        <v>0</v>
      </c>
      <c r="BC618">
        <v>0</v>
      </c>
      <c r="BD618">
        <v>0</v>
      </c>
      <c r="BE618">
        <v>0</v>
      </c>
      <c r="BF618">
        <v>0</v>
      </c>
      <c r="BG618">
        <v>0</v>
      </c>
      <c r="BH618">
        <v>5</v>
      </c>
      <c r="BI618">
        <v>54.3</v>
      </c>
      <c r="BJ618">
        <v>101</v>
      </c>
      <c r="BK618">
        <v>101</v>
      </c>
      <c r="BL618">
        <v>523.70000000000005</v>
      </c>
      <c r="BM618">
        <v>78.56</v>
      </c>
      <c r="BN618">
        <v>602.26</v>
      </c>
      <c r="BO618">
        <v>602.26</v>
      </c>
      <c r="BQ618" t="s">
        <v>733</v>
      </c>
      <c r="BR618" t="s">
        <v>1443</v>
      </c>
      <c r="BS618" s="3">
        <v>44594</v>
      </c>
      <c r="BT618" s="4">
        <v>0.4680555555555555</v>
      </c>
      <c r="BU618" t="s">
        <v>1676</v>
      </c>
      <c r="BV618" t="s">
        <v>101</v>
      </c>
      <c r="BY618">
        <v>505005.42</v>
      </c>
      <c r="BZ618" t="s">
        <v>137</v>
      </c>
      <c r="CA618" t="s">
        <v>1507</v>
      </c>
      <c r="CC618" t="s">
        <v>402</v>
      </c>
      <c r="CD618">
        <v>699</v>
      </c>
      <c r="CE618" t="s">
        <v>130</v>
      </c>
      <c r="CF618" s="3">
        <v>44594</v>
      </c>
      <c r="CI618">
        <v>1</v>
      </c>
      <c r="CJ618">
        <v>1</v>
      </c>
      <c r="CK618">
        <v>41</v>
      </c>
      <c r="CL618" t="s">
        <v>84</v>
      </c>
    </row>
    <row r="619" spans="1:90" x14ac:dyDescent="0.25">
      <c r="A619" t="s">
        <v>1417</v>
      </c>
      <c r="B619" t="s">
        <v>1400</v>
      </c>
      <c r="C619" t="s">
        <v>74</v>
      </c>
      <c r="E619" t="str">
        <f>"009941332602"</f>
        <v>009941332602</v>
      </c>
      <c r="F619" s="3">
        <v>44593</v>
      </c>
      <c r="G619">
        <v>202208</v>
      </c>
      <c r="H619" t="s">
        <v>1436</v>
      </c>
      <c r="I619" t="s">
        <v>1437</v>
      </c>
      <c r="J619" t="s">
        <v>1401</v>
      </c>
      <c r="K619" t="s">
        <v>78</v>
      </c>
      <c r="L619" t="s">
        <v>282</v>
      </c>
      <c r="M619" t="s">
        <v>283</v>
      </c>
      <c r="N619" t="s">
        <v>1401</v>
      </c>
      <c r="O619" t="s">
        <v>125</v>
      </c>
      <c r="P619" t="str">
        <f>"STORES                        "</f>
        <v xml:space="preserve">STORES                        </v>
      </c>
      <c r="Q619">
        <v>0</v>
      </c>
      <c r="R619">
        <v>0</v>
      </c>
      <c r="S619">
        <v>0</v>
      </c>
      <c r="T619">
        <v>0</v>
      </c>
      <c r="U619">
        <v>0</v>
      </c>
      <c r="V619">
        <v>0</v>
      </c>
      <c r="W619">
        <v>0</v>
      </c>
      <c r="X619">
        <v>0</v>
      </c>
      <c r="Y619">
        <v>0</v>
      </c>
      <c r="Z619">
        <v>0</v>
      </c>
      <c r="AA619">
        <v>0</v>
      </c>
      <c r="AB619">
        <v>0</v>
      </c>
      <c r="AC619">
        <v>0</v>
      </c>
      <c r="AD619">
        <v>0</v>
      </c>
      <c r="AE619">
        <v>0</v>
      </c>
      <c r="AF619">
        <v>0</v>
      </c>
      <c r="AG619">
        <v>0</v>
      </c>
      <c r="AH619">
        <v>0</v>
      </c>
      <c r="AI619">
        <v>0</v>
      </c>
      <c r="AJ619">
        <v>0</v>
      </c>
      <c r="AK619">
        <v>65.86</v>
      </c>
      <c r="AL619">
        <v>0</v>
      </c>
      <c r="AM619">
        <v>0</v>
      </c>
      <c r="AN619">
        <v>0</v>
      </c>
      <c r="AO619">
        <v>0</v>
      </c>
      <c r="AP619">
        <v>0</v>
      </c>
      <c r="AQ619">
        <v>0</v>
      </c>
      <c r="AR619">
        <v>0</v>
      </c>
      <c r="AS619">
        <v>0</v>
      </c>
      <c r="AT619">
        <v>0</v>
      </c>
      <c r="AU619">
        <v>0</v>
      </c>
      <c r="AV619">
        <v>0</v>
      </c>
      <c r="AW619">
        <v>0</v>
      </c>
      <c r="AX619">
        <v>0</v>
      </c>
      <c r="AY619">
        <v>0</v>
      </c>
      <c r="AZ619">
        <v>0</v>
      </c>
      <c r="BA619">
        <v>0</v>
      </c>
      <c r="BB619">
        <v>0</v>
      </c>
      <c r="BC619">
        <v>0</v>
      </c>
      <c r="BD619">
        <v>0</v>
      </c>
      <c r="BE619">
        <v>0</v>
      </c>
      <c r="BF619">
        <v>0</v>
      </c>
      <c r="BG619">
        <v>0</v>
      </c>
      <c r="BH619">
        <v>3</v>
      </c>
      <c r="BI619">
        <v>25.6</v>
      </c>
      <c r="BJ619">
        <v>13.5</v>
      </c>
      <c r="BK619">
        <v>26</v>
      </c>
      <c r="BL619">
        <v>256.63</v>
      </c>
      <c r="BM619">
        <v>38.49</v>
      </c>
      <c r="BN619">
        <v>295.12</v>
      </c>
      <c r="BO619">
        <v>295.12</v>
      </c>
      <c r="BQ619" t="s">
        <v>1528</v>
      </c>
      <c r="BR619" t="s">
        <v>733</v>
      </c>
      <c r="BS619" s="3">
        <v>44594</v>
      </c>
      <c r="BT619" s="4">
        <v>0.58194444444444449</v>
      </c>
      <c r="BU619" t="s">
        <v>1522</v>
      </c>
      <c r="BV619" t="s">
        <v>101</v>
      </c>
      <c r="BY619">
        <v>67478.460000000006</v>
      </c>
      <c r="BZ619" t="s">
        <v>137</v>
      </c>
      <c r="CA619" t="s">
        <v>287</v>
      </c>
      <c r="CC619" t="s">
        <v>283</v>
      </c>
      <c r="CD619">
        <v>300</v>
      </c>
      <c r="CE619" t="s">
        <v>130</v>
      </c>
      <c r="CF619" s="3">
        <v>44594</v>
      </c>
      <c r="CI619">
        <v>1</v>
      </c>
      <c r="CJ619">
        <v>1</v>
      </c>
      <c r="CK619">
        <v>43</v>
      </c>
      <c r="CL619" t="s">
        <v>84</v>
      </c>
    </row>
    <row r="620" spans="1:90" x14ac:dyDescent="0.25">
      <c r="A620" t="s">
        <v>1417</v>
      </c>
      <c r="B620" t="s">
        <v>1400</v>
      </c>
      <c r="C620" t="s">
        <v>74</v>
      </c>
      <c r="E620" t="str">
        <f>"009941567771"</f>
        <v>009941567771</v>
      </c>
      <c r="F620" s="3">
        <v>44593</v>
      </c>
      <c r="G620">
        <v>202208</v>
      </c>
      <c r="H620" t="s">
        <v>1436</v>
      </c>
      <c r="I620" t="s">
        <v>1437</v>
      </c>
      <c r="J620" t="s">
        <v>1401</v>
      </c>
      <c r="K620" t="s">
        <v>78</v>
      </c>
      <c r="L620" t="s">
        <v>1599</v>
      </c>
      <c r="M620" t="s">
        <v>1600</v>
      </c>
      <c r="N620" t="s">
        <v>1401</v>
      </c>
      <c r="O620" t="s">
        <v>125</v>
      </c>
      <c r="P620" t="str">
        <f>"STORES                        "</f>
        <v xml:space="preserve">STORES                        </v>
      </c>
      <c r="Q620">
        <v>0</v>
      </c>
      <c r="R620">
        <v>0</v>
      </c>
      <c r="S620">
        <v>0</v>
      </c>
      <c r="T620">
        <v>0</v>
      </c>
      <c r="U620">
        <v>0</v>
      </c>
      <c r="V620">
        <v>0</v>
      </c>
      <c r="W620">
        <v>0</v>
      </c>
      <c r="X620">
        <v>0</v>
      </c>
      <c r="Y620">
        <v>0</v>
      </c>
      <c r="Z620">
        <v>0</v>
      </c>
      <c r="AA620">
        <v>0</v>
      </c>
      <c r="AB620">
        <v>0</v>
      </c>
      <c r="AC620">
        <v>0</v>
      </c>
      <c r="AD620">
        <v>0</v>
      </c>
      <c r="AE620">
        <v>0</v>
      </c>
      <c r="AF620">
        <v>0</v>
      </c>
      <c r="AG620">
        <v>0</v>
      </c>
      <c r="AH620">
        <v>0</v>
      </c>
      <c r="AI620">
        <v>0</v>
      </c>
      <c r="AJ620">
        <v>0</v>
      </c>
      <c r="AK620">
        <v>89.56</v>
      </c>
      <c r="AL620">
        <v>0</v>
      </c>
      <c r="AM620">
        <v>0</v>
      </c>
      <c r="AN620">
        <v>0</v>
      </c>
      <c r="AO620">
        <v>0</v>
      </c>
      <c r="AP620">
        <v>0</v>
      </c>
      <c r="AQ620">
        <v>0</v>
      </c>
      <c r="AR620">
        <v>0</v>
      </c>
      <c r="AS620">
        <v>0</v>
      </c>
      <c r="AT620">
        <v>0</v>
      </c>
      <c r="AU620">
        <v>0</v>
      </c>
      <c r="AV620">
        <v>0</v>
      </c>
      <c r="AW620">
        <v>0</v>
      </c>
      <c r="AX620">
        <v>0</v>
      </c>
      <c r="AY620">
        <v>0</v>
      </c>
      <c r="AZ620">
        <v>0</v>
      </c>
      <c r="BA620">
        <v>0</v>
      </c>
      <c r="BB620">
        <v>0</v>
      </c>
      <c r="BC620">
        <v>0</v>
      </c>
      <c r="BD620">
        <v>0</v>
      </c>
      <c r="BE620">
        <v>0</v>
      </c>
      <c r="BF620">
        <v>0</v>
      </c>
      <c r="BG620">
        <v>0</v>
      </c>
      <c r="BH620">
        <v>3</v>
      </c>
      <c r="BI620">
        <v>32</v>
      </c>
      <c r="BJ620">
        <v>36.9</v>
      </c>
      <c r="BK620">
        <v>37</v>
      </c>
      <c r="BL620">
        <v>347.1</v>
      </c>
      <c r="BM620">
        <v>52.07</v>
      </c>
      <c r="BN620">
        <v>399.17</v>
      </c>
      <c r="BO620">
        <v>399.17</v>
      </c>
      <c r="BQ620" t="s">
        <v>1677</v>
      </c>
      <c r="BR620" t="s">
        <v>1443</v>
      </c>
      <c r="BS620" s="3">
        <v>44594</v>
      </c>
      <c r="BT620" s="4">
        <v>0.56111111111111112</v>
      </c>
      <c r="BU620" t="s">
        <v>1678</v>
      </c>
      <c r="BV620" t="s">
        <v>101</v>
      </c>
      <c r="BY620">
        <v>121856.16</v>
      </c>
      <c r="BZ620" t="s">
        <v>137</v>
      </c>
      <c r="CA620" t="s">
        <v>1679</v>
      </c>
      <c r="CC620" t="s">
        <v>1600</v>
      </c>
      <c r="CD620">
        <v>1150</v>
      </c>
      <c r="CE620" t="s">
        <v>130</v>
      </c>
      <c r="CF620" s="3">
        <v>44594</v>
      </c>
      <c r="CI620">
        <v>2</v>
      </c>
      <c r="CJ620">
        <v>1</v>
      </c>
      <c r="CK620">
        <v>43</v>
      </c>
      <c r="CL620" t="s">
        <v>84</v>
      </c>
    </row>
    <row r="621" spans="1:90" x14ac:dyDescent="0.25">
      <c r="A621" t="s">
        <v>1417</v>
      </c>
      <c r="B621" t="s">
        <v>1400</v>
      </c>
      <c r="C621" t="s">
        <v>74</v>
      </c>
      <c r="E621" t="str">
        <f>"009941718153"</f>
        <v>009941718153</v>
      </c>
      <c r="F621" s="3">
        <v>44595</v>
      </c>
      <c r="G621">
        <v>202208</v>
      </c>
      <c r="H621" t="s">
        <v>1447</v>
      </c>
      <c r="I621" t="s">
        <v>1448</v>
      </c>
      <c r="J621" t="s">
        <v>1449</v>
      </c>
      <c r="K621" t="s">
        <v>78</v>
      </c>
      <c r="L621" t="s">
        <v>153</v>
      </c>
      <c r="M621" t="s">
        <v>154</v>
      </c>
      <c r="N621" t="s">
        <v>1680</v>
      </c>
      <c r="O621" t="s">
        <v>125</v>
      </c>
      <c r="P621" t="str">
        <f>"                              "</f>
        <v xml:space="preserve">                              </v>
      </c>
      <c r="Q621">
        <v>0</v>
      </c>
      <c r="R621">
        <v>0</v>
      </c>
      <c r="S621">
        <v>0</v>
      </c>
      <c r="T621">
        <v>0</v>
      </c>
      <c r="U621">
        <v>0</v>
      </c>
      <c r="V621">
        <v>0</v>
      </c>
      <c r="W621">
        <v>0</v>
      </c>
      <c r="X621">
        <v>0</v>
      </c>
      <c r="Y621">
        <v>15</v>
      </c>
      <c r="Z621">
        <v>0</v>
      </c>
      <c r="AA621">
        <v>0</v>
      </c>
      <c r="AB621">
        <v>0</v>
      </c>
      <c r="AC621">
        <v>0</v>
      </c>
      <c r="AD621">
        <v>0</v>
      </c>
      <c r="AE621">
        <v>0</v>
      </c>
      <c r="AF621">
        <v>0</v>
      </c>
      <c r="AG621">
        <v>0</v>
      </c>
      <c r="AH621">
        <v>0</v>
      </c>
      <c r="AI621">
        <v>0</v>
      </c>
      <c r="AJ621">
        <v>0</v>
      </c>
      <c r="AK621">
        <v>108.82</v>
      </c>
      <c r="AL621">
        <v>0</v>
      </c>
      <c r="AM621">
        <v>0</v>
      </c>
      <c r="AN621">
        <v>0</v>
      </c>
      <c r="AO621">
        <v>0</v>
      </c>
      <c r="AP621">
        <v>0</v>
      </c>
      <c r="AQ621">
        <v>0</v>
      </c>
      <c r="AR621">
        <v>0</v>
      </c>
      <c r="AS621">
        <v>0</v>
      </c>
      <c r="AT621">
        <v>0</v>
      </c>
      <c r="AU621">
        <v>0</v>
      </c>
      <c r="AV621">
        <v>0</v>
      </c>
      <c r="AW621">
        <v>0</v>
      </c>
      <c r="AX621">
        <v>0</v>
      </c>
      <c r="AY621">
        <v>0</v>
      </c>
      <c r="AZ621">
        <v>0</v>
      </c>
      <c r="BA621">
        <v>0</v>
      </c>
      <c r="BB621">
        <v>0</v>
      </c>
      <c r="BC621">
        <v>0</v>
      </c>
      <c r="BD621">
        <v>0</v>
      </c>
      <c r="BE621">
        <v>0</v>
      </c>
      <c r="BF621">
        <v>0</v>
      </c>
      <c r="BG621">
        <v>0</v>
      </c>
      <c r="BH621">
        <v>4</v>
      </c>
      <c r="BI621">
        <v>28</v>
      </c>
      <c r="BJ621">
        <v>42</v>
      </c>
      <c r="BK621">
        <v>42</v>
      </c>
      <c r="BL621">
        <v>411.71</v>
      </c>
      <c r="BM621">
        <v>61.76</v>
      </c>
      <c r="BN621">
        <v>473.47</v>
      </c>
      <c r="BO621">
        <v>473.47</v>
      </c>
      <c r="BR621" t="s">
        <v>1450</v>
      </c>
      <c r="BS621" s="3">
        <v>44599</v>
      </c>
      <c r="BT621" s="4">
        <v>0.51736111111111105</v>
      </c>
      <c r="BU621" t="s">
        <v>575</v>
      </c>
      <c r="BV621" t="s">
        <v>84</v>
      </c>
      <c r="BW621" t="s">
        <v>801</v>
      </c>
      <c r="BX621" t="s">
        <v>787</v>
      </c>
      <c r="BY621">
        <v>209752.7</v>
      </c>
      <c r="BZ621" t="s">
        <v>545</v>
      </c>
      <c r="CA621" t="s">
        <v>928</v>
      </c>
      <c r="CC621" t="s">
        <v>154</v>
      </c>
      <c r="CD621">
        <v>2196</v>
      </c>
      <c r="CE621">
        <v>1</v>
      </c>
      <c r="CF621" s="3">
        <v>44600</v>
      </c>
      <c r="CI621">
        <v>1</v>
      </c>
      <c r="CJ621">
        <v>2</v>
      </c>
      <c r="CK621">
        <v>43</v>
      </c>
      <c r="CL621" t="s">
        <v>84</v>
      </c>
    </row>
    <row r="622" spans="1:90" x14ac:dyDescent="0.25">
      <c r="A622" t="s">
        <v>1417</v>
      </c>
      <c r="B622" t="s">
        <v>1400</v>
      </c>
      <c r="C622" t="s">
        <v>74</v>
      </c>
      <c r="E622" t="str">
        <f>"009941916036"</f>
        <v>009941916036</v>
      </c>
      <c r="F622" s="3">
        <v>44594</v>
      </c>
      <c r="G622">
        <v>202208</v>
      </c>
      <c r="H622" t="s">
        <v>1436</v>
      </c>
      <c r="I622" t="s">
        <v>1437</v>
      </c>
      <c r="J622" t="s">
        <v>1401</v>
      </c>
      <c r="K622" t="s">
        <v>78</v>
      </c>
      <c r="L622" t="s">
        <v>1599</v>
      </c>
      <c r="M622" t="s">
        <v>1600</v>
      </c>
      <c r="N622" t="s">
        <v>1681</v>
      </c>
      <c r="O622" t="s">
        <v>80</v>
      </c>
      <c r="P622" t="str">
        <f>"STORES                        "</f>
        <v xml:space="preserve">STORES                        </v>
      </c>
      <c r="Q622">
        <v>0</v>
      </c>
      <c r="R622">
        <v>0</v>
      </c>
      <c r="S622">
        <v>0</v>
      </c>
      <c r="T622">
        <v>0</v>
      </c>
      <c r="U622">
        <v>0</v>
      </c>
      <c r="V622">
        <v>0</v>
      </c>
      <c r="W622">
        <v>0</v>
      </c>
      <c r="X622">
        <v>0</v>
      </c>
      <c r="Y622">
        <v>0</v>
      </c>
      <c r="Z622">
        <v>0</v>
      </c>
      <c r="AA622">
        <v>0</v>
      </c>
      <c r="AB622">
        <v>0</v>
      </c>
      <c r="AC622">
        <v>0</v>
      </c>
      <c r="AD622">
        <v>0</v>
      </c>
      <c r="AE622">
        <v>0</v>
      </c>
      <c r="AF622">
        <v>0</v>
      </c>
      <c r="AG622">
        <v>0</v>
      </c>
      <c r="AH622">
        <v>0</v>
      </c>
      <c r="AI622">
        <v>0</v>
      </c>
      <c r="AJ622">
        <v>0</v>
      </c>
      <c r="AK622">
        <v>32.479999999999997</v>
      </c>
      <c r="AL622">
        <v>0</v>
      </c>
      <c r="AM622">
        <v>0</v>
      </c>
      <c r="AN622">
        <v>0</v>
      </c>
      <c r="AO622">
        <v>0</v>
      </c>
      <c r="AP622">
        <v>0</v>
      </c>
      <c r="AQ622">
        <v>0</v>
      </c>
      <c r="AR622">
        <v>0</v>
      </c>
      <c r="AS622">
        <v>0</v>
      </c>
      <c r="AT622">
        <v>0</v>
      </c>
      <c r="AU622">
        <v>0</v>
      </c>
      <c r="AV622">
        <v>0</v>
      </c>
      <c r="AW622">
        <v>0</v>
      </c>
      <c r="AX622">
        <v>0</v>
      </c>
      <c r="AY622">
        <v>0</v>
      </c>
      <c r="AZ622">
        <v>0</v>
      </c>
      <c r="BA622">
        <v>0</v>
      </c>
      <c r="BB622">
        <v>0</v>
      </c>
      <c r="BC622">
        <v>0</v>
      </c>
      <c r="BD622">
        <v>0</v>
      </c>
      <c r="BE622">
        <v>0</v>
      </c>
      <c r="BF622">
        <v>0</v>
      </c>
      <c r="BG622">
        <v>0</v>
      </c>
      <c r="BH622">
        <v>1</v>
      </c>
      <c r="BI622">
        <v>1</v>
      </c>
      <c r="BJ622">
        <v>0.2</v>
      </c>
      <c r="BK622">
        <v>1</v>
      </c>
      <c r="BL622">
        <v>116.84</v>
      </c>
      <c r="BM622">
        <v>17.53</v>
      </c>
      <c r="BN622">
        <v>134.37</v>
      </c>
      <c r="BO622">
        <v>134.37</v>
      </c>
      <c r="BQ622" t="s">
        <v>1682</v>
      </c>
      <c r="BR622" t="s">
        <v>1453</v>
      </c>
      <c r="BS622" s="3">
        <v>44595</v>
      </c>
      <c r="BT622" s="4">
        <v>0.65972222222222221</v>
      </c>
      <c r="BU622" t="s">
        <v>1683</v>
      </c>
      <c r="BV622" t="s">
        <v>101</v>
      </c>
      <c r="BY622">
        <v>1200</v>
      </c>
      <c r="BZ622" t="s">
        <v>87</v>
      </c>
      <c r="CA622" t="s">
        <v>1679</v>
      </c>
      <c r="CC622" t="s">
        <v>1600</v>
      </c>
      <c r="CD622">
        <v>1150</v>
      </c>
      <c r="CE622" t="s">
        <v>130</v>
      </c>
      <c r="CF622" s="3">
        <v>44595</v>
      </c>
      <c r="CI622">
        <v>2</v>
      </c>
      <c r="CJ622">
        <v>1</v>
      </c>
      <c r="CK622">
        <v>23</v>
      </c>
      <c r="CL622" t="s">
        <v>84</v>
      </c>
    </row>
    <row r="623" spans="1:90" x14ac:dyDescent="0.25">
      <c r="A623" t="s">
        <v>1417</v>
      </c>
      <c r="B623" t="s">
        <v>1400</v>
      </c>
      <c r="C623" t="s">
        <v>74</v>
      </c>
      <c r="E623" t="str">
        <f>"009942086270"</f>
        <v>009942086270</v>
      </c>
      <c r="F623" s="3">
        <v>44593</v>
      </c>
      <c r="G623">
        <v>202208</v>
      </c>
      <c r="H623" t="s">
        <v>123</v>
      </c>
      <c r="I623" t="s">
        <v>124</v>
      </c>
      <c r="J623" t="s">
        <v>1426</v>
      </c>
      <c r="K623" t="s">
        <v>78</v>
      </c>
      <c r="L623" t="s">
        <v>790</v>
      </c>
      <c r="M623" t="s">
        <v>791</v>
      </c>
      <c r="N623" t="s">
        <v>1401</v>
      </c>
      <c r="O623" t="s">
        <v>125</v>
      </c>
      <c r="P623" t="str">
        <f>"                              "</f>
        <v xml:space="preserve">                              </v>
      </c>
      <c r="Q623">
        <v>0</v>
      </c>
      <c r="R623">
        <v>0</v>
      </c>
      <c r="S623">
        <v>0</v>
      </c>
      <c r="T623">
        <v>0</v>
      </c>
      <c r="U623">
        <v>0</v>
      </c>
      <c r="V623">
        <v>0</v>
      </c>
      <c r="W623">
        <v>0</v>
      </c>
      <c r="X623">
        <v>0</v>
      </c>
      <c r="Y623">
        <v>0</v>
      </c>
      <c r="Z623">
        <v>0</v>
      </c>
      <c r="AA623">
        <v>0</v>
      </c>
      <c r="AB623">
        <v>0</v>
      </c>
      <c r="AC623">
        <v>0</v>
      </c>
      <c r="AD623">
        <v>0</v>
      </c>
      <c r="AE623">
        <v>0</v>
      </c>
      <c r="AF623">
        <v>0</v>
      </c>
      <c r="AG623">
        <v>0</v>
      </c>
      <c r="AH623">
        <v>0</v>
      </c>
      <c r="AI623">
        <v>0</v>
      </c>
      <c r="AJ623">
        <v>0</v>
      </c>
      <c r="AK623">
        <v>210.23</v>
      </c>
      <c r="AL623">
        <v>0</v>
      </c>
      <c r="AM623">
        <v>0</v>
      </c>
      <c r="AN623">
        <v>0</v>
      </c>
      <c r="AO623">
        <v>0</v>
      </c>
      <c r="AP623">
        <v>0</v>
      </c>
      <c r="AQ623">
        <v>0</v>
      </c>
      <c r="AR623">
        <v>0</v>
      </c>
      <c r="AS623">
        <v>0</v>
      </c>
      <c r="AT623">
        <v>0</v>
      </c>
      <c r="AU623">
        <v>0</v>
      </c>
      <c r="AV623">
        <v>0</v>
      </c>
      <c r="AW623">
        <v>0</v>
      </c>
      <c r="AX623">
        <v>0</v>
      </c>
      <c r="AY623">
        <v>0</v>
      </c>
      <c r="AZ623">
        <v>0</v>
      </c>
      <c r="BA623">
        <v>0</v>
      </c>
      <c r="BB623">
        <v>0</v>
      </c>
      <c r="BC623">
        <v>0</v>
      </c>
      <c r="BD623">
        <v>0</v>
      </c>
      <c r="BE623">
        <v>0</v>
      </c>
      <c r="BF623">
        <v>0</v>
      </c>
      <c r="BG623">
        <v>0</v>
      </c>
      <c r="BH623">
        <v>3</v>
      </c>
      <c r="BI623">
        <v>68</v>
      </c>
      <c r="BJ623">
        <v>92.8</v>
      </c>
      <c r="BK623">
        <v>93</v>
      </c>
      <c r="BL623">
        <v>807.69</v>
      </c>
      <c r="BM623">
        <v>121.15</v>
      </c>
      <c r="BN623">
        <v>928.84</v>
      </c>
      <c r="BO623">
        <v>928.84</v>
      </c>
      <c r="BQ623" t="s">
        <v>1540</v>
      </c>
      <c r="BR623" t="s">
        <v>1429</v>
      </c>
      <c r="BS623" s="3">
        <v>44596</v>
      </c>
      <c r="BT623" s="4">
        <v>0.35416666666666669</v>
      </c>
      <c r="BU623" t="s">
        <v>1684</v>
      </c>
      <c r="BV623" t="s">
        <v>84</v>
      </c>
      <c r="BW623" t="s">
        <v>239</v>
      </c>
      <c r="BX623" t="s">
        <v>1685</v>
      </c>
      <c r="BY623">
        <v>265890</v>
      </c>
      <c r="BZ623" t="s">
        <v>137</v>
      </c>
      <c r="CC623" t="s">
        <v>791</v>
      </c>
      <c r="CD623">
        <v>5099</v>
      </c>
      <c r="CE623" t="s">
        <v>130</v>
      </c>
      <c r="CF623" s="3">
        <v>44599</v>
      </c>
      <c r="CI623">
        <v>2</v>
      </c>
      <c r="CJ623">
        <v>3</v>
      </c>
      <c r="CK623">
        <v>43</v>
      </c>
      <c r="CL623" t="s">
        <v>84</v>
      </c>
    </row>
    <row r="624" spans="1:90" x14ac:dyDescent="0.25">
      <c r="A624" t="s">
        <v>1417</v>
      </c>
      <c r="B624" t="s">
        <v>1400</v>
      </c>
      <c r="C624" t="s">
        <v>74</v>
      </c>
      <c r="E624" t="str">
        <f>"009939616546"</f>
        <v>009939616546</v>
      </c>
      <c r="F624" s="3">
        <v>44594</v>
      </c>
      <c r="G624">
        <v>202208</v>
      </c>
      <c r="H624" t="s">
        <v>1436</v>
      </c>
      <c r="I624" t="s">
        <v>1437</v>
      </c>
      <c r="J624" t="s">
        <v>1401</v>
      </c>
      <c r="K624" t="s">
        <v>78</v>
      </c>
      <c r="L624" t="s">
        <v>971</v>
      </c>
      <c r="M624" t="s">
        <v>972</v>
      </c>
      <c r="N624" t="s">
        <v>1686</v>
      </c>
      <c r="O624" t="s">
        <v>125</v>
      </c>
      <c r="P624" t="str">
        <f>"STORES                        "</f>
        <v xml:space="preserve">STORES                        </v>
      </c>
      <c r="Q624">
        <v>0</v>
      </c>
      <c r="R624">
        <v>0</v>
      </c>
      <c r="S624">
        <v>0</v>
      </c>
      <c r="T624">
        <v>0</v>
      </c>
      <c r="U624">
        <v>0</v>
      </c>
      <c r="V624">
        <v>0</v>
      </c>
      <c r="W624">
        <v>0</v>
      </c>
      <c r="X624">
        <v>0</v>
      </c>
      <c r="Y624">
        <v>0</v>
      </c>
      <c r="Z624">
        <v>0</v>
      </c>
      <c r="AA624">
        <v>0</v>
      </c>
      <c r="AB624">
        <v>0</v>
      </c>
      <c r="AC624">
        <v>0</v>
      </c>
      <c r="AD624">
        <v>0</v>
      </c>
      <c r="AE624">
        <v>0</v>
      </c>
      <c r="AF624">
        <v>0</v>
      </c>
      <c r="AG624">
        <v>0</v>
      </c>
      <c r="AH624">
        <v>0</v>
      </c>
      <c r="AI624">
        <v>0</v>
      </c>
      <c r="AJ624">
        <v>0</v>
      </c>
      <c r="AK624">
        <v>45.72</v>
      </c>
      <c r="AL624">
        <v>0</v>
      </c>
      <c r="AM624">
        <v>0</v>
      </c>
      <c r="AN624">
        <v>0</v>
      </c>
      <c r="AO624">
        <v>0</v>
      </c>
      <c r="AP624">
        <v>0</v>
      </c>
      <c r="AQ624">
        <v>0</v>
      </c>
      <c r="AR624">
        <v>0</v>
      </c>
      <c r="AS624">
        <v>0</v>
      </c>
      <c r="AT624">
        <v>0</v>
      </c>
      <c r="AU624">
        <v>0</v>
      </c>
      <c r="AV624">
        <v>0</v>
      </c>
      <c r="AW624">
        <v>0</v>
      </c>
      <c r="AX624">
        <v>0</v>
      </c>
      <c r="AY624">
        <v>0</v>
      </c>
      <c r="AZ624">
        <v>0</v>
      </c>
      <c r="BA624">
        <v>0</v>
      </c>
      <c r="BB624">
        <v>0</v>
      </c>
      <c r="BC624">
        <v>0</v>
      </c>
      <c r="BD624">
        <v>0</v>
      </c>
      <c r="BE624">
        <v>0</v>
      </c>
      <c r="BF624">
        <v>0</v>
      </c>
      <c r="BG624">
        <v>0</v>
      </c>
      <c r="BH624">
        <v>1</v>
      </c>
      <c r="BI624">
        <v>5.9</v>
      </c>
      <c r="BJ624">
        <v>7.9</v>
      </c>
      <c r="BK624">
        <v>8</v>
      </c>
      <c r="BL624">
        <v>169.72</v>
      </c>
      <c r="BM624">
        <v>25.46</v>
      </c>
      <c r="BN624">
        <v>195.18</v>
      </c>
      <c r="BO624">
        <v>195.18</v>
      </c>
      <c r="BQ624" t="s">
        <v>1687</v>
      </c>
      <c r="BR624" t="s">
        <v>1453</v>
      </c>
      <c r="BS624" s="3">
        <v>44596</v>
      </c>
      <c r="BT624" s="4">
        <v>0.52777777777777779</v>
      </c>
      <c r="BU624" t="s">
        <v>1688</v>
      </c>
      <c r="BV624" t="s">
        <v>101</v>
      </c>
      <c r="BY624">
        <v>39573.96</v>
      </c>
      <c r="BZ624" t="s">
        <v>137</v>
      </c>
      <c r="CC624" t="s">
        <v>972</v>
      </c>
      <c r="CD624">
        <v>5319</v>
      </c>
      <c r="CE624" t="s">
        <v>130</v>
      </c>
      <c r="CF624" s="3">
        <v>44600</v>
      </c>
      <c r="CI624">
        <v>6</v>
      </c>
      <c r="CJ624">
        <v>2</v>
      </c>
      <c r="CK624">
        <v>43</v>
      </c>
      <c r="CL624" t="s">
        <v>84</v>
      </c>
    </row>
    <row r="625" spans="1:90" x14ac:dyDescent="0.25">
      <c r="A625" t="s">
        <v>1399</v>
      </c>
      <c r="B625" t="s">
        <v>1400</v>
      </c>
      <c r="C625" t="s">
        <v>74</v>
      </c>
      <c r="E625" t="str">
        <f>"009940901414"</f>
        <v>009940901414</v>
      </c>
      <c r="F625" s="3">
        <v>44593</v>
      </c>
      <c r="G625">
        <v>202208</v>
      </c>
      <c r="H625" t="s">
        <v>401</v>
      </c>
      <c r="I625" t="s">
        <v>402</v>
      </c>
      <c r="J625" t="s">
        <v>1401</v>
      </c>
      <c r="K625" t="s">
        <v>78</v>
      </c>
      <c r="L625" t="s">
        <v>1599</v>
      </c>
      <c r="M625" t="s">
        <v>1600</v>
      </c>
      <c r="N625" t="s">
        <v>1689</v>
      </c>
      <c r="O625" t="s">
        <v>125</v>
      </c>
      <c r="P625" t="str">
        <f>"                              "</f>
        <v xml:space="preserve">                              </v>
      </c>
      <c r="Q625">
        <v>0</v>
      </c>
      <c r="R625">
        <v>0</v>
      </c>
      <c r="S625">
        <v>0</v>
      </c>
      <c r="T625">
        <v>0</v>
      </c>
      <c r="U625">
        <v>0</v>
      </c>
      <c r="V625">
        <v>0</v>
      </c>
      <c r="W625">
        <v>0</v>
      </c>
      <c r="X625">
        <v>0</v>
      </c>
      <c r="Y625">
        <v>0</v>
      </c>
      <c r="Z625">
        <v>0</v>
      </c>
      <c r="AA625">
        <v>0</v>
      </c>
      <c r="AB625">
        <v>0</v>
      </c>
      <c r="AC625">
        <v>0</v>
      </c>
      <c r="AD625">
        <v>0</v>
      </c>
      <c r="AE625">
        <v>0</v>
      </c>
      <c r="AF625">
        <v>0</v>
      </c>
      <c r="AG625">
        <v>0</v>
      </c>
      <c r="AH625">
        <v>0</v>
      </c>
      <c r="AI625">
        <v>0</v>
      </c>
      <c r="AJ625">
        <v>0</v>
      </c>
      <c r="AK625">
        <v>55.35</v>
      </c>
      <c r="AL625">
        <v>0</v>
      </c>
      <c r="AM625">
        <v>0</v>
      </c>
      <c r="AN625">
        <v>0</v>
      </c>
      <c r="AO625">
        <v>0</v>
      </c>
      <c r="AP625">
        <v>0</v>
      </c>
      <c r="AQ625">
        <v>0</v>
      </c>
      <c r="AR625">
        <v>0</v>
      </c>
      <c r="AS625">
        <v>0</v>
      </c>
      <c r="AT625">
        <v>0</v>
      </c>
      <c r="AU625">
        <v>0</v>
      </c>
      <c r="AV625">
        <v>0</v>
      </c>
      <c r="AW625">
        <v>0</v>
      </c>
      <c r="AX625">
        <v>0</v>
      </c>
      <c r="AY625">
        <v>0</v>
      </c>
      <c r="AZ625">
        <v>0</v>
      </c>
      <c r="BA625">
        <v>0</v>
      </c>
      <c r="BB625">
        <v>0</v>
      </c>
      <c r="BC625">
        <v>0</v>
      </c>
      <c r="BD625">
        <v>0</v>
      </c>
      <c r="BE625">
        <v>0</v>
      </c>
      <c r="BF625">
        <v>0</v>
      </c>
      <c r="BG625">
        <v>0</v>
      </c>
      <c r="BH625">
        <v>1</v>
      </c>
      <c r="BI625">
        <v>25</v>
      </c>
      <c r="BJ625">
        <v>41</v>
      </c>
      <c r="BK625">
        <v>41</v>
      </c>
      <c r="BL625">
        <v>216.51</v>
      </c>
      <c r="BM625">
        <v>32.479999999999997</v>
      </c>
      <c r="BN625">
        <v>248.99</v>
      </c>
      <c r="BO625">
        <v>248.99</v>
      </c>
      <c r="BQ625" t="s">
        <v>1690</v>
      </c>
      <c r="BS625" s="3">
        <v>44594</v>
      </c>
      <c r="BT625" s="4">
        <v>0.56041666666666667</v>
      </c>
      <c r="BU625" t="s">
        <v>1678</v>
      </c>
      <c r="BV625" t="s">
        <v>101</v>
      </c>
      <c r="BY625">
        <v>204800</v>
      </c>
      <c r="BZ625" t="s">
        <v>137</v>
      </c>
      <c r="CA625" t="s">
        <v>1679</v>
      </c>
      <c r="CC625" t="s">
        <v>1600</v>
      </c>
      <c r="CD625">
        <v>1150</v>
      </c>
      <c r="CE625" t="s">
        <v>130</v>
      </c>
      <c r="CF625" s="3">
        <v>44594</v>
      </c>
      <c r="CI625">
        <v>2</v>
      </c>
      <c r="CJ625">
        <v>1</v>
      </c>
      <c r="CK625">
        <v>44</v>
      </c>
      <c r="CL625" t="s">
        <v>84</v>
      </c>
    </row>
    <row r="626" spans="1:90" x14ac:dyDescent="0.25">
      <c r="A626" t="s">
        <v>1417</v>
      </c>
      <c r="B626" t="s">
        <v>1400</v>
      </c>
      <c r="C626" t="s">
        <v>74</v>
      </c>
      <c r="E626" t="str">
        <f>"009941916035"</f>
        <v>009941916035</v>
      </c>
      <c r="F626" s="3">
        <v>44594</v>
      </c>
      <c r="G626">
        <v>202208</v>
      </c>
      <c r="H626" t="s">
        <v>1436</v>
      </c>
      <c r="I626" t="s">
        <v>1437</v>
      </c>
      <c r="J626" t="s">
        <v>1401</v>
      </c>
      <c r="K626" t="s">
        <v>78</v>
      </c>
      <c r="L626" t="s">
        <v>481</v>
      </c>
      <c r="M626" t="s">
        <v>482</v>
      </c>
      <c r="N626" t="s">
        <v>1691</v>
      </c>
      <c r="O626" t="s">
        <v>125</v>
      </c>
      <c r="P626" t="str">
        <f>"STORES                        "</f>
        <v xml:space="preserve">STORES                        </v>
      </c>
      <c r="Q626">
        <v>0</v>
      </c>
      <c r="R626">
        <v>0</v>
      </c>
      <c r="S626">
        <v>0</v>
      </c>
      <c r="T626">
        <v>0</v>
      </c>
      <c r="U626">
        <v>0</v>
      </c>
      <c r="V626">
        <v>0</v>
      </c>
      <c r="W626">
        <v>0</v>
      </c>
      <c r="X626">
        <v>0</v>
      </c>
      <c r="Y626">
        <v>0</v>
      </c>
      <c r="Z626">
        <v>0</v>
      </c>
      <c r="AA626">
        <v>0</v>
      </c>
      <c r="AB626">
        <v>0</v>
      </c>
      <c r="AC626">
        <v>0</v>
      </c>
      <c r="AD626">
        <v>0</v>
      </c>
      <c r="AE626">
        <v>0</v>
      </c>
      <c r="AF626">
        <v>0</v>
      </c>
      <c r="AG626">
        <v>0</v>
      </c>
      <c r="AH626">
        <v>0</v>
      </c>
      <c r="AI626">
        <v>0</v>
      </c>
      <c r="AJ626">
        <v>0</v>
      </c>
      <c r="AK626">
        <v>45.72</v>
      </c>
      <c r="AL626">
        <v>0</v>
      </c>
      <c r="AM626">
        <v>0</v>
      </c>
      <c r="AN626">
        <v>0</v>
      </c>
      <c r="AO626">
        <v>0</v>
      </c>
      <c r="AP626">
        <v>0</v>
      </c>
      <c r="AQ626">
        <v>0</v>
      </c>
      <c r="AR626">
        <v>0</v>
      </c>
      <c r="AS626">
        <v>0</v>
      </c>
      <c r="AT626">
        <v>0</v>
      </c>
      <c r="AU626">
        <v>0</v>
      </c>
      <c r="AV626">
        <v>0</v>
      </c>
      <c r="AW626">
        <v>0</v>
      </c>
      <c r="AX626">
        <v>0</v>
      </c>
      <c r="AY626">
        <v>0</v>
      </c>
      <c r="AZ626">
        <v>0</v>
      </c>
      <c r="BA626">
        <v>0</v>
      </c>
      <c r="BB626">
        <v>0</v>
      </c>
      <c r="BC626">
        <v>0</v>
      </c>
      <c r="BD626">
        <v>0</v>
      </c>
      <c r="BE626">
        <v>0</v>
      </c>
      <c r="BF626">
        <v>0</v>
      </c>
      <c r="BG626">
        <v>0</v>
      </c>
      <c r="BH626">
        <v>1</v>
      </c>
      <c r="BI626">
        <v>1.3</v>
      </c>
      <c r="BJ626">
        <v>2.1</v>
      </c>
      <c r="BK626">
        <v>3</v>
      </c>
      <c r="BL626">
        <v>169.72</v>
      </c>
      <c r="BM626">
        <v>25.46</v>
      </c>
      <c r="BN626">
        <v>195.18</v>
      </c>
      <c r="BO626">
        <v>195.18</v>
      </c>
      <c r="BQ626" t="s">
        <v>1692</v>
      </c>
      <c r="BR626" t="s">
        <v>1453</v>
      </c>
      <c r="BS626" s="3">
        <v>44595</v>
      </c>
      <c r="BT626" s="4">
        <v>0.33333333333333331</v>
      </c>
      <c r="BU626" t="s">
        <v>1610</v>
      </c>
      <c r="BV626" t="s">
        <v>101</v>
      </c>
      <c r="BY626">
        <v>10682.56</v>
      </c>
      <c r="BZ626" t="s">
        <v>137</v>
      </c>
      <c r="CC626" t="s">
        <v>482</v>
      </c>
      <c r="CD626">
        <v>9700</v>
      </c>
      <c r="CE626" t="s">
        <v>130</v>
      </c>
      <c r="CF626" s="3">
        <v>44596</v>
      </c>
      <c r="CI626">
        <v>1</v>
      </c>
      <c r="CJ626">
        <v>1</v>
      </c>
      <c r="CK626">
        <v>43</v>
      </c>
      <c r="CL626" t="s">
        <v>84</v>
      </c>
    </row>
    <row r="627" spans="1:90" x14ac:dyDescent="0.25">
      <c r="A627" t="s">
        <v>1417</v>
      </c>
      <c r="B627" t="s">
        <v>1400</v>
      </c>
      <c r="C627" t="s">
        <v>74</v>
      </c>
      <c r="E627" t="str">
        <f>"009941247502"</f>
        <v>009941247502</v>
      </c>
      <c r="F627" s="3">
        <v>44593</v>
      </c>
      <c r="G627">
        <v>202208</v>
      </c>
      <c r="H627" t="s">
        <v>481</v>
      </c>
      <c r="I627" t="s">
        <v>482</v>
      </c>
      <c r="J627" t="s">
        <v>1401</v>
      </c>
      <c r="K627" t="s">
        <v>78</v>
      </c>
      <c r="L627" t="s">
        <v>1436</v>
      </c>
      <c r="M627" t="s">
        <v>1437</v>
      </c>
      <c r="N627" t="s">
        <v>1401</v>
      </c>
      <c r="O627" t="s">
        <v>125</v>
      </c>
      <c r="P627" t="str">
        <f>"                              "</f>
        <v xml:space="preserve">                              </v>
      </c>
      <c r="Q627">
        <v>0</v>
      </c>
      <c r="R627">
        <v>0</v>
      </c>
      <c r="S627">
        <v>0</v>
      </c>
      <c r="T627">
        <v>0</v>
      </c>
      <c r="U627">
        <v>0</v>
      </c>
      <c r="V627">
        <v>0</v>
      </c>
      <c r="W627">
        <v>0</v>
      </c>
      <c r="X627">
        <v>0</v>
      </c>
      <c r="Y627">
        <v>0</v>
      </c>
      <c r="Z627">
        <v>0</v>
      </c>
      <c r="AA627">
        <v>0</v>
      </c>
      <c r="AB627">
        <v>0</v>
      </c>
      <c r="AC627">
        <v>0</v>
      </c>
      <c r="AD627">
        <v>0</v>
      </c>
      <c r="AE627">
        <v>0</v>
      </c>
      <c r="AF627">
        <v>0</v>
      </c>
      <c r="AG627">
        <v>0</v>
      </c>
      <c r="AH627">
        <v>0</v>
      </c>
      <c r="AI627">
        <v>0</v>
      </c>
      <c r="AJ627">
        <v>0</v>
      </c>
      <c r="AK627">
        <v>59.4</v>
      </c>
      <c r="AL627">
        <v>0</v>
      </c>
      <c r="AM627">
        <v>0</v>
      </c>
      <c r="AN627">
        <v>0</v>
      </c>
      <c r="AO627">
        <v>0</v>
      </c>
      <c r="AP627">
        <v>0</v>
      </c>
      <c r="AQ627">
        <v>0</v>
      </c>
      <c r="AR627">
        <v>0</v>
      </c>
      <c r="AS627">
        <v>0</v>
      </c>
      <c r="AT627">
        <v>0</v>
      </c>
      <c r="AU627">
        <v>0</v>
      </c>
      <c r="AV627">
        <v>0</v>
      </c>
      <c r="AW627">
        <v>0</v>
      </c>
      <c r="AX627">
        <v>0</v>
      </c>
      <c r="AY627">
        <v>0</v>
      </c>
      <c r="AZ627">
        <v>0</v>
      </c>
      <c r="BA627">
        <v>0</v>
      </c>
      <c r="BB627">
        <v>0</v>
      </c>
      <c r="BC627">
        <v>0</v>
      </c>
      <c r="BD627">
        <v>0</v>
      </c>
      <c r="BE627">
        <v>0</v>
      </c>
      <c r="BF627">
        <v>0</v>
      </c>
      <c r="BG627">
        <v>0</v>
      </c>
      <c r="BH627">
        <v>1</v>
      </c>
      <c r="BI627">
        <v>16</v>
      </c>
      <c r="BJ627">
        <v>23</v>
      </c>
      <c r="BK627">
        <v>23</v>
      </c>
      <c r="BL627">
        <v>231.96</v>
      </c>
      <c r="BM627">
        <v>34.79</v>
      </c>
      <c r="BN627">
        <v>266.75</v>
      </c>
      <c r="BO627">
        <v>266.75</v>
      </c>
      <c r="BQ627" t="s">
        <v>1617</v>
      </c>
      <c r="BR627" t="s">
        <v>1693</v>
      </c>
      <c r="BS627" s="3">
        <v>44594</v>
      </c>
      <c r="BT627" s="4">
        <v>0.36180555555555555</v>
      </c>
      <c r="BU627" t="s">
        <v>1675</v>
      </c>
      <c r="BV627" t="s">
        <v>101</v>
      </c>
      <c r="BY627">
        <v>115010</v>
      </c>
      <c r="BZ627" t="s">
        <v>137</v>
      </c>
      <c r="CA627" t="s">
        <v>928</v>
      </c>
      <c r="CC627" t="s">
        <v>1437</v>
      </c>
      <c r="CD627">
        <v>2146</v>
      </c>
      <c r="CE627" t="s">
        <v>130</v>
      </c>
      <c r="CF627" s="3">
        <v>44594</v>
      </c>
      <c r="CI627">
        <v>1</v>
      </c>
      <c r="CJ627">
        <v>1</v>
      </c>
      <c r="CK627">
        <v>43</v>
      </c>
      <c r="CL627" t="s">
        <v>84</v>
      </c>
    </row>
    <row r="628" spans="1:90" x14ac:dyDescent="0.25">
      <c r="A628" t="s">
        <v>1417</v>
      </c>
      <c r="B628" t="s">
        <v>1400</v>
      </c>
      <c r="C628" t="s">
        <v>74</v>
      </c>
      <c r="E628" t="str">
        <f>"009941915131"</f>
        <v>009941915131</v>
      </c>
      <c r="F628" s="3">
        <v>44593</v>
      </c>
      <c r="G628">
        <v>202208</v>
      </c>
      <c r="H628" t="s">
        <v>1436</v>
      </c>
      <c r="I628" t="s">
        <v>1437</v>
      </c>
      <c r="J628" t="s">
        <v>1401</v>
      </c>
      <c r="K628" t="s">
        <v>78</v>
      </c>
      <c r="L628" t="s">
        <v>131</v>
      </c>
      <c r="M628" t="s">
        <v>132</v>
      </c>
      <c r="N628" t="s">
        <v>1401</v>
      </c>
      <c r="O628" t="s">
        <v>125</v>
      </c>
      <c r="P628" t="str">
        <f>"STORES                        "</f>
        <v xml:space="preserve">STORES                        </v>
      </c>
      <c r="Q628">
        <v>0</v>
      </c>
      <c r="R628">
        <v>0</v>
      </c>
      <c r="S628">
        <v>0</v>
      </c>
      <c r="T628">
        <v>0</v>
      </c>
      <c r="U628">
        <v>0</v>
      </c>
      <c r="V628">
        <v>0</v>
      </c>
      <c r="W628">
        <v>0</v>
      </c>
      <c r="X628">
        <v>0</v>
      </c>
      <c r="Y628">
        <v>0</v>
      </c>
      <c r="Z628">
        <v>0</v>
      </c>
      <c r="AA628">
        <v>0</v>
      </c>
      <c r="AB628">
        <v>0</v>
      </c>
      <c r="AC628">
        <v>0</v>
      </c>
      <c r="AD628">
        <v>0</v>
      </c>
      <c r="AE628">
        <v>0</v>
      </c>
      <c r="AF628">
        <v>0</v>
      </c>
      <c r="AG628">
        <v>0</v>
      </c>
      <c r="AH628">
        <v>0</v>
      </c>
      <c r="AI628">
        <v>0</v>
      </c>
      <c r="AJ628">
        <v>0</v>
      </c>
      <c r="AK628">
        <v>45.91</v>
      </c>
      <c r="AL628">
        <v>0</v>
      </c>
      <c r="AM628">
        <v>0</v>
      </c>
      <c r="AN628">
        <v>0</v>
      </c>
      <c r="AO628">
        <v>0</v>
      </c>
      <c r="AP628">
        <v>0</v>
      </c>
      <c r="AQ628">
        <v>0</v>
      </c>
      <c r="AR628">
        <v>0</v>
      </c>
      <c r="AS628">
        <v>0</v>
      </c>
      <c r="AT628">
        <v>0</v>
      </c>
      <c r="AU628">
        <v>0</v>
      </c>
      <c r="AV628">
        <v>0</v>
      </c>
      <c r="AW628">
        <v>0</v>
      </c>
      <c r="AX628">
        <v>0</v>
      </c>
      <c r="AY628">
        <v>0</v>
      </c>
      <c r="AZ628">
        <v>0</v>
      </c>
      <c r="BA628">
        <v>0</v>
      </c>
      <c r="BB628">
        <v>0</v>
      </c>
      <c r="BC628">
        <v>0</v>
      </c>
      <c r="BD628">
        <v>0</v>
      </c>
      <c r="BE628">
        <v>0</v>
      </c>
      <c r="BF628">
        <v>0</v>
      </c>
      <c r="BG628">
        <v>0</v>
      </c>
      <c r="BH628">
        <v>1</v>
      </c>
      <c r="BI628">
        <v>22.6</v>
      </c>
      <c r="BJ628">
        <v>27.2</v>
      </c>
      <c r="BK628">
        <v>28</v>
      </c>
      <c r="BL628">
        <v>180.47</v>
      </c>
      <c r="BM628">
        <v>27.07</v>
      </c>
      <c r="BN628">
        <v>207.54</v>
      </c>
      <c r="BO628">
        <v>207.54</v>
      </c>
      <c r="BQ628" t="s">
        <v>733</v>
      </c>
      <c r="BR628" t="s">
        <v>733</v>
      </c>
      <c r="BS628" s="3">
        <v>44594</v>
      </c>
      <c r="BT628" s="4">
        <v>0.4201388888888889</v>
      </c>
      <c r="BU628" t="s">
        <v>1491</v>
      </c>
      <c r="BV628" t="s">
        <v>101</v>
      </c>
      <c r="BY628">
        <v>135801.74</v>
      </c>
      <c r="BZ628" t="s">
        <v>137</v>
      </c>
      <c r="CA628" t="s">
        <v>1575</v>
      </c>
      <c r="CC628" t="s">
        <v>132</v>
      </c>
      <c r="CD628">
        <v>4091</v>
      </c>
      <c r="CE628" t="s">
        <v>130</v>
      </c>
      <c r="CF628" s="3">
        <v>44595</v>
      </c>
      <c r="CI628">
        <v>1</v>
      </c>
      <c r="CJ628">
        <v>1</v>
      </c>
      <c r="CK628">
        <v>41</v>
      </c>
      <c r="CL628" t="s">
        <v>84</v>
      </c>
    </row>
    <row r="629" spans="1:90" x14ac:dyDescent="0.25">
      <c r="A629" t="s">
        <v>1399</v>
      </c>
      <c r="B629" t="s">
        <v>1400</v>
      </c>
      <c r="C629" t="s">
        <v>74</v>
      </c>
      <c r="E629" t="str">
        <f>"009940901459"</f>
        <v>009940901459</v>
      </c>
      <c r="F629" s="3">
        <v>44593</v>
      </c>
      <c r="G629">
        <v>202208</v>
      </c>
      <c r="H629" t="s">
        <v>401</v>
      </c>
      <c r="I629" t="s">
        <v>402</v>
      </c>
      <c r="J629" t="s">
        <v>1401</v>
      </c>
      <c r="K629" t="s">
        <v>78</v>
      </c>
      <c r="L629" t="s">
        <v>1436</v>
      </c>
      <c r="M629" t="s">
        <v>1437</v>
      </c>
      <c r="N629" t="s">
        <v>1694</v>
      </c>
      <c r="O629" t="s">
        <v>125</v>
      </c>
      <c r="P629" t="str">
        <f>"                              "</f>
        <v xml:space="preserve">                              </v>
      </c>
      <c r="Q629">
        <v>0</v>
      </c>
      <c r="R629">
        <v>0</v>
      </c>
      <c r="S629">
        <v>0</v>
      </c>
      <c r="T629">
        <v>0</v>
      </c>
      <c r="U629">
        <v>0</v>
      </c>
      <c r="V629">
        <v>0</v>
      </c>
      <c r="W629">
        <v>0</v>
      </c>
      <c r="X629">
        <v>0</v>
      </c>
      <c r="Y629">
        <v>0</v>
      </c>
      <c r="Z629">
        <v>0</v>
      </c>
      <c r="AA629">
        <v>0</v>
      </c>
      <c r="AB629">
        <v>0</v>
      </c>
      <c r="AC629">
        <v>0</v>
      </c>
      <c r="AD629">
        <v>0</v>
      </c>
      <c r="AE629">
        <v>0</v>
      </c>
      <c r="AF629">
        <v>0</v>
      </c>
      <c r="AG629">
        <v>0</v>
      </c>
      <c r="AH629">
        <v>0</v>
      </c>
      <c r="AI629">
        <v>0</v>
      </c>
      <c r="AJ629">
        <v>0</v>
      </c>
      <c r="AK629">
        <v>61.92</v>
      </c>
      <c r="AL629">
        <v>0</v>
      </c>
      <c r="AM629">
        <v>0</v>
      </c>
      <c r="AN629">
        <v>0</v>
      </c>
      <c r="AO629">
        <v>0</v>
      </c>
      <c r="AP629">
        <v>0</v>
      </c>
      <c r="AQ629">
        <v>0</v>
      </c>
      <c r="AR629">
        <v>0</v>
      </c>
      <c r="AS629">
        <v>0</v>
      </c>
      <c r="AT629">
        <v>0</v>
      </c>
      <c r="AU629">
        <v>0</v>
      </c>
      <c r="AV629">
        <v>0</v>
      </c>
      <c r="AW629">
        <v>0</v>
      </c>
      <c r="AX629">
        <v>0</v>
      </c>
      <c r="AY629">
        <v>0</v>
      </c>
      <c r="AZ629">
        <v>0</v>
      </c>
      <c r="BA629">
        <v>0</v>
      </c>
      <c r="BB629">
        <v>0</v>
      </c>
      <c r="BC629">
        <v>0</v>
      </c>
      <c r="BD629">
        <v>0</v>
      </c>
      <c r="BE629">
        <v>0</v>
      </c>
      <c r="BF629">
        <v>0</v>
      </c>
      <c r="BG629">
        <v>0</v>
      </c>
      <c r="BH629">
        <v>1</v>
      </c>
      <c r="BI629">
        <v>25</v>
      </c>
      <c r="BJ629">
        <v>41</v>
      </c>
      <c r="BK629">
        <v>41</v>
      </c>
      <c r="BL629">
        <v>241.59</v>
      </c>
      <c r="BM629">
        <v>36.24</v>
      </c>
      <c r="BN629">
        <v>277.83</v>
      </c>
      <c r="BO629">
        <v>277.83</v>
      </c>
      <c r="BQ629" t="s">
        <v>1481</v>
      </c>
      <c r="BR629" t="s">
        <v>1695</v>
      </c>
      <c r="BS629" s="3">
        <v>44594</v>
      </c>
      <c r="BT629" s="4">
        <v>0.36458333333333331</v>
      </c>
      <c r="BU629" t="s">
        <v>1675</v>
      </c>
      <c r="BV629" t="s">
        <v>101</v>
      </c>
      <c r="BY629">
        <v>204800</v>
      </c>
      <c r="BZ629" t="s">
        <v>137</v>
      </c>
      <c r="CA629" t="s">
        <v>928</v>
      </c>
      <c r="CC629" t="s">
        <v>1437</v>
      </c>
      <c r="CD629">
        <v>2146</v>
      </c>
      <c r="CE629" t="s">
        <v>130</v>
      </c>
      <c r="CF629" s="3">
        <v>44594</v>
      </c>
      <c r="CI629">
        <v>1</v>
      </c>
      <c r="CJ629">
        <v>1</v>
      </c>
      <c r="CK629">
        <v>41</v>
      </c>
      <c r="CL629" t="s">
        <v>84</v>
      </c>
    </row>
    <row r="630" spans="1:90" x14ac:dyDescent="0.25">
      <c r="A630" t="s">
        <v>1417</v>
      </c>
      <c r="B630" t="s">
        <v>1400</v>
      </c>
      <c r="C630" t="s">
        <v>74</v>
      </c>
      <c r="E630" t="str">
        <f>"009941915002"</f>
        <v>009941915002</v>
      </c>
      <c r="F630" s="3">
        <v>44593</v>
      </c>
      <c r="G630">
        <v>202208</v>
      </c>
      <c r="H630" t="s">
        <v>1436</v>
      </c>
      <c r="I630" t="s">
        <v>1437</v>
      </c>
      <c r="J630" t="s">
        <v>1401</v>
      </c>
      <c r="K630" t="s">
        <v>78</v>
      </c>
      <c r="L630" t="s">
        <v>496</v>
      </c>
      <c r="M630" t="s">
        <v>497</v>
      </c>
      <c r="N630" t="s">
        <v>1605</v>
      </c>
      <c r="O630" t="s">
        <v>125</v>
      </c>
      <c r="P630" t="str">
        <f>"STORES                        "</f>
        <v xml:space="preserve">STORES                        </v>
      </c>
      <c r="Q630">
        <v>0</v>
      </c>
      <c r="R630">
        <v>0</v>
      </c>
      <c r="S630">
        <v>0</v>
      </c>
      <c r="T630">
        <v>0</v>
      </c>
      <c r="U630">
        <v>0</v>
      </c>
      <c r="V630">
        <v>0</v>
      </c>
      <c r="W630">
        <v>0</v>
      </c>
      <c r="X630">
        <v>0</v>
      </c>
      <c r="Y630">
        <v>0</v>
      </c>
      <c r="Z630">
        <v>0</v>
      </c>
      <c r="AA630">
        <v>0</v>
      </c>
      <c r="AB630">
        <v>0</v>
      </c>
      <c r="AC630">
        <v>0</v>
      </c>
      <c r="AD630">
        <v>0</v>
      </c>
      <c r="AE630">
        <v>0</v>
      </c>
      <c r="AF630">
        <v>0</v>
      </c>
      <c r="AG630">
        <v>0</v>
      </c>
      <c r="AH630">
        <v>0</v>
      </c>
      <c r="AI630">
        <v>0</v>
      </c>
      <c r="AJ630">
        <v>0</v>
      </c>
      <c r="AK630">
        <v>29.89</v>
      </c>
      <c r="AL630">
        <v>0</v>
      </c>
      <c r="AM630">
        <v>0</v>
      </c>
      <c r="AN630">
        <v>0</v>
      </c>
      <c r="AO630">
        <v>0</v>
      </c>
      <c r="AP630">
        <v>0</v>
      </c>
      <c r="AQ630">
        <v>0</v>
      </c>
      <c r="AR630">
        <v>0</v>
      </c>
      <c r="AS630">
        <v>0</v>
      </c>
      <c r="AT630">
        <v>0</v>
      </c>
      <c r="AU630">
        <v>0</v>
      </c>
      <c r="AV630">
        <v>0</v>
      </c>
      <c r="AW630">
        <v>0</v>
      </c>
      <c r="AX630">
        <v>0</v>
      </c>
      <c r="AY630">
        <v>0</v>
      </c>
      <c r="AZ630">
        <v>0</v>
      </c>
      <c r="BA630">
        <v>0</v>
      </c>
      <c r="BB630">
        <v>0</v>
      </c>
      <c r="BC630">
        <v>0</v>
      </c>
      <c r="BD630">
        <v>0</v>
      </c>
      <c r="BE630">
        <v>0</v>
      </c>
      <c r="BF630">
        <v>0</v>
      </c>
      <c r="BG630">
        <v>0</v>
      </c>
      <c r="BH630">
        <v>1</v>
      </c>
      <c r="BI630">
        <v>7.7</v>
      </c>
      <c r="BJ630">
        <v>10.9</v>
      </c>
      <c r="BK630">
        <v>11</v>
      </c>
      <c r="BL630">
        <v>119.34</v>
      </c>
      <c r="BM630">
        <v>17.899999999999999</v>
      </c>
      <c r="BN630">
        <v>137.24</v>
      </c>
      <c r="BO630">
        <v>137.24</v>
      </c>
      <c r="BQ630" t="s">
        <v>733</v>
      </c>
      <c r="BR630" t="s">
        <v>1443</v>
      </c>
      <c r="BS630" s="3">
        <v>44595</v>
      </c>
      <c r="BT630" s="4">
        <v>0.53541666666666665</v>
      </c>
      <c r="BU630" t="s">
        <v>1696</v>
      </c>
      <c r="BV630" t="s">
        <v>101</v>
      </c>
      <c r="BY630">
        <v>54515.92</v>
      </c>
      <c r="BZ630" t="s">
        <v>137</v>
      </c>
      <c r="CC630" t="s">
        <v>497</v>
      </c>
      <c r="CD630">
        <v>6536</v>
      </c>
      <c r="CE630" t="s">
        <v>130</v>
      </c>
      <c r="CF630" s="3">
        <v>44595</v>
      </c>
      <c r="CI630">
        <v>2</v>
      </c>
      <c r="CJ630">
        <v>2</v>
      </c>
      <c r="CK630">
        <v>41</v>
      </c>
      <c r="CL630" t="s">
        <v>84</v>
      </c>
    </row>
    <row r="631" spans="1:90" x14ac:dyDescent="0.25">
      <c r="A631" t="s">
        <v>1417</v>
      </c>
      <c r="B631" t="s">
        <v>1400</v>
      </c>
      <c r="C631" t="s">
        <v>74</v>
      </c>
      <c r="E631" t="str">
        <f>"009941050347"</f>
        <v>009941050347</v>
      </c>
      <c r="F631" s="3">
        <v>44593</v>
      </c>
      <c r="G631">
        <v>202208</v>
      </c>
      <c r="H631" t="s">
        <v>131</v>
      </c>
      <c r="I631" t="s">
        <v>132</v>
      </c>
      <c r="J631" t="s">
        <v>1406</v>
      </c>
      <c r="K631" t="s">
        <v>78</v>
      </c>
      <c r="L631" t="s">
        <v>153</v>
      </c>
      <c r="M631" t="s">
        <v>154</v>
      </c>
      <c r="N631" t="s">
        <v>1697</v>
      </c>
      <c r="O631" t="s">
        <v>125</v>
      </c>
      <c r="P631" t="str">
        <f>"                              "</f>
        <v xml:space="preserve">                              </v>
      </c>
      <c r="Q631">
        <v>0</v>
      </c>
      <c r="R631">
        <v>0</v>
      </c>
      <c r="S631">
        <v>0</v>
      </c>
      <c r="T631">
        <v>0</v>
      </c>
      <c r="U631">
        <v>0</v>
      </c>
      <c r="V631">
        <v>0</v>
      </c>
      <c r="W631">
        <v>0</v>
      </c>
      <c r="X631">
        <v>0</v>
      </c>
      <c r="Y631">
        <v>0</v>
      </c>
      <c r="Z631">
        <v>0</v>
      </c>
      <c r="AA631">
        <v>0</v>
      </c>
      <c r="AB631">
        <v>0</v>
      </c>
      <c r="AC631">
        <v>0</v>
      </c>
      <c r="AD631">
        <v>0</v>
      </c>
      <c r="AE631">
        <v>0</v>
      </c>
      <c r="AF631">
        <v>0</v>
      </c>
      <c r="AG631">
        <v>0</v>
      </c>
      <c r="AH631">
        <v>0</v>
      </c>
      <c r="AI631">
        <v>0</v>
      </c>
      <c r="AJ631">
        <v>0</v>
      </c>
      <c r="AK631">
        <v>29.89</v>
      </c>
      <c r="AL631">
        <v>0</v>
      </c>
      <c r="AM631">
        <v>0</v>
      </c>
      <c r="AN631">
        <v>0</v>
      </c>
      <c r="AO631">
        <v>0</v>
      </c>
      <c r="AP631">
        <v>0</v>
      </c>
      <c r="AQ631">
        <v>0</v>
      </c>
      <c r="AR631">
        <v>0</v>
      </c>
      <c r="AS631">
        <v>0</v>
      </c>
      <c r="AT631">
        <v>0</v>
      </c>
      <c r="AU631">
        <v>0</v>
      </c>
      <c r="AV631">
        <v>0</v>
      </c>
      <c r="AW631">
        <v>0</v>
      </c>
      <c r="AX631">
        <v>0</v>
      </c>
      <c r="AY631">
        <v>0</v>
      </c>
      <c r="AZ631">
        <v>0</v>
      </c>
      <c r="BA631">
        <v>0</v>
      </c>
      <c r="BB631">
        <v>0</v>
      </c>
      <c r="BC631">
        <v>0</v>
      </c>
      <c r="BD631">
        <v>0</v>
      </c>
      <c r="BE631">
        <v>0</v>
      </c>
      <c r="BF631">
        <v>0</v>
      </c>
      <c r="BG631">
        <v>0</v>
      </c>
      <c r="BH631">
        <v>1</v>
      </c>
      <c r="BI631">
        <v>6.8</v>
      </c>
      <c r="BJ631">
        <v>4.5</v>
      </c>
      <c r="BK631">
        <v>7</v>
      </c>
      <c r="BL631">
        <v>119.34</v>
      </c>
      <c r="BM631">
        <v>17.899999999999999</v>
      </c>
      <c r="BN631">
        <v>137.24</v>
      </c>
      <c r="BO631">
        <v>137.24</v>
      </c>
      <c r="BQ631" t="s">
        <v>1698</v>
      </c>
      <c r="BR631" t="s">
        <v>1699</v>
      </c>
      <c r="BS631" s="3">
        <v>44594</v>
      </c>
      <c r="BT631" s="4">
        <v>0.36319444444444443</v>
      </c>
      <c r="BU631" t="s">
        <v>1675</v>
      </c>
      <c r="BV631" t="s">
        <v>101</v>
      </c>
      <c r="BY631">
        <v>22572</v>
      </c>
      <c r="BZ631" t="s">
        <v>137</v>
      </c>
      <c r="CA631" t="s">
        <v>928</v>
      </c>
      <c r="CC631" t="s">
        <v>154</v>
      </c>
      <c r="CD631">
        <v>2090</v>
      </c>
      <c r="CE631" t="s">
        <v>130</v>
      </c>
      <c r="CF631" s="3">
        <v>44594</v>
      </c>
      <c r="CI631">
        <v>1</v>
      </c>
      <c r="CJ631">
        <v>1</v>
      </c>
      <c r="CK631">
        <v>41</v>
      </c>
      <c r="CL631" t="s">
        <v>84</v>
      </c>
    </row>
    <row r="632" spans="1:90" x14ac:dyDescent="0.25">
      <c r="A632" t="s">
        <v>1417</v>
      </c>
      <c r="B632" t="s">
        <v>1400</v>
      </c>
      <c r="C632" t="s">
        <v>74</v>
      </c>
      <c r="E632" t="str">
        <f>"009941567805"</f>
        <v>009941567805</v>
      </c>
      <c r="F632" s="3">
        <v>44593</v>
      </c>
      <c r="G632">
        <v>202208</v>
      </c>
      <c r="H632" t="s">
        <v>1436</v>
      </c>
      <c r="I632" t="s">
        <v>1437</v>
      </c>
      <c r="J632" t="s">
        <v>1401</v>
      </c>
      <c r="K632" t="s">
        <v>78</v>
      </c>
      <c r="L632" t="s">
        <v>466</v>
      </c>
      <c r="M632" t="s">
        <v>467</v>
      </c>
      <c r="N632" t="s">
        <v>1401</v>
      </c>
      <c r="O632" t="s">
        <v>80</v>
      </c>
      <c r="P632" t="str">
        <f>"STORES                        "</f>
        <v xml:space="preserve">STORES                        </v>
      </c>
      <c r="Q632">
        <v>0</v>
      </c>
      <c r="R632">
        <v>0</v>
      </c>
      <c r="S632">
        <v>0</v>
      </c>
      <c r="T632">
        <v>0</v>
      </c>
      <c r="U632">
        <v>0</v>
      </c>
      <c r="V632">
        <v>0</v>
      </c>
      <c r="W632">
        <v>0</v>
      </c>
      <c r="X632">
        <v>0</v>
      </c>
      <c r="Y632">
        <v>0</v>
      </c>
      <c r="Z632">
        <v>0</v>
      </c>
      <c r="AA632">
        <v>0</v>
      </c>
      <c r="AB632">
        <v>0</v>
      </c>
      <c r="AC632">
        <v>0</v>
      </c>
      <c r="AD632">
        <v>0</v>
      </c>
      <c r="AE632">
        <v>0</v>
      </c>
      <c r="AF632">
        <v>0</v>
      </c>
      <c r="AG632">
        <v>0</v>
      </c>
      <c r="AH632">
        <v>0</v>
      </c>
      <c r="AI632">
        <v>0</v>
      </c>
      <c r="AJ632">
        <v>0</v>
      </c>
      <c r="AK632">
        <v>29.95</v>
      </c>
      <c r="AL632">
        <v>0</v>
      </c>
      <c r="AM632">
        <v>0</v>
      </c>
      <c r="AN632">
        <v>0</v>
      </c>
      <c r="AO632">
        <v>0</v>
      </c>
      <c r="AP632">
        <v>0</v>
      </c>
      <c r="AQ632">
        <v>0</v>
      </c>
      <c r="AR632">
        <v>0</v>
      </c>
      <c r="AS632">
        <v>0</v>
      </c>
      <c r="AT632">
        <v>0</v>
      </c>
      <c r="AU632">
        <v>0</v>
      </c>
      <c r="AV632">
        <v>0</v>
      </c>
      <c r="AW632">
        <v>0</v>
      </c>
      <c r="AX632">
        <v>0</v>
      </c>
      <c r="AY632">
        <v>0</v>
      </c>
      <c r="AZ632">
        <v>0</v>
      </c>
      <c r="BA632">
        <v>0</v>
      </c>
      <c r="BB632">
        <v>0</v>
      </c>
      <c r="BC632">
        <v>0</v>
      </c>
      <c r="BD632">
        <v>0</v>
      </c>
      <c r="BE632">
        <v>0</v>
      </c>
      <c r="BF632">
        <v>0</v>
      </c>
      <c r="BG632">
        <v>0</v>
      </c>
      <c r="BH632">
        <v>1</v>
      </c>
      <c r="BI632">
        <v>0.2</v>
      </c>
      <c r="BJ632">
        <v>1.9</v>
      </c>
      <c r="BK632">
        <v>2</v>
      </c>
      <c r="BL632">
        <v>114.31</v>
      </c>
      <c r="BM632">
        <v>17.149999999999999</v>
      </c>
      <c r="BN632">
        <v>131.46</v>
      </c>
      <c r="BO632">
        <v>131.46</v>
      </c>
      <c r="BQ632" t="s">
        <v>1493</v>
      </c>
      <c r="BR632" t="s">
        <v>1443</v>
      </c>
      <c r="BS632" s="3">
        <v>44595</v>
      </c>
      <c r="BT632" s="4">
        <v>0.38194444444444442</v>
      </c>
      <c r="BU632" t="s">
        <v>1653</v>
      </c>
      <c r="BV632" t="s">
        <v>84</v>
      </c>
      <c r="BW632" t="s">
        <v>268</v>
      </c>
      <c r="BX632" t="s">
        <v>1101</v>
      </c>
      <c r="BY632">
        <v>9269.32</v>
      </c>
      <c r="BZ632" t="s">
        <v>87</v>
      </c>
      <c r="CC632" t="s">
        <v>467</v>
      </c>
      <c r="CD632">
        <v>3900</v>
      </c>
      <c r="CE632" t="s">
        <v>130</v>
      </c>
      <c r="CF632" s="3">
        <v>44595</v>
      </c>
      <c r="CI632">
        <v>1</v>
      </c>
      <c r="CJ632">
        <v>2</v>
      </c>
      <c r="CK632">
        <v>23</v>
      </c>
      <c r="CL632" t="s">
        <v>84</v>
      </c>
    </row>
    <row r="633" spans="1:90" x14ac:dyDescent="0.25">
      <c r="A633" t="s">
        <v>1417</v>
      </c>
      <c r="B633" t="s">
        <v>1400</v>
      </c>
      <c r="C633" t="s">
        <v>74</v>
      </c>
      <c r="E633" t="str">
        <f>"009941050346"</f>
        <v>009941050346</v>
      </c>
      <c r="F633" s="3">
        <v>44593</v>
      </c>
      <c r="G633">
        <v>202208</v>
      </c>
      <c r="H633" t="s">
        <v>131</v>
      </c>
      <c r="I633" t="s">
        <v>132</v>
      </c>
      <c r="J633" t="s">
        <v>1406</v>
      </c>
      <c r="K633" t="s">
        <v>78</v>
      </c>
      <c r="L633" t="s">
        <v>153</v>
      </c>
      <c r="M633" t="s">
        <v>154</v>
      </c>
      <c r="N633" t="s">
        <v>1433</v>
      </c>
      <c r="O633" t="s">
        <v>80</v>
      </c>
      <c r="P633" t="str">
        <f>"                              "</f>
        <v xml:space="preserve">                              </v>
      </c>
      <c r="Q633">
        <v>0</v>
      </c>
      <c r="R633">
        <v>0</v>
      </c>
      <c r="S633">
        <v>0</v>
      </c>
      <c r="T633">
        <v>0</v>
      </c>
      <c r="U633">
        <v>0</v>
      </c>
      <c r="V633">
        <v>0</v>
      </c>
      <c r="W633">
        <v>0</v>
      </c>
      <c r="X633">
        <v>0</v>
      </c>
      <c r="Y633">
        <v>0</v>
      </c>
      <c r="Z633">
        <v>0</v>
      </c>
      <c r="AA633">
        <v>0</v>
      </c>
      <c r="AB633">
        <v>0</v>
      </c>
      <c r="AC633">
        <v>0</v>
      </c>
      <c r="AD633">
        <v>0</v>
      </c>
      <c r="AE633">
        <v>0</v>
      </c>
      <c r="AF633">
        <v>0</v>
      </c>
      <c r="AG633">
        <v>0</v>
      </c>
      <c r="AH633">
        <v>0</v>
      </c>
      <c r="AI633">
        <v>0</v>
      </c>
      <c r="AJ633">
        <v>0</v>
      </c>
      <c r="AK633">
        <v>19.32</v>
      </c>
      <c r="AL633">
        <v>0</v>
      </c>
      <c r="AM633">
        <v>0</v>
      </c>
      <c r="AN633">
        <v>0</v>
      </c>
      <c r="AO633">
        <v>0</v>
      </c>
      <c r="AP633">
        <v>0</v>
      </c>
      <c r="AQ633">
        <v>0</v>
      </c>
      <c r="AR633">
        <v>0</v>
      </c>
      <c r="AS633">
        <v>0</v>
      </c>
      <c r="AT633">
        <v>0</v>
      </c>
      <c r="AU633">
        <v>0</v>
      </c>
      <c r="AV633">
        <v>0</v>
      </c>
      <c r="AW633">
        <v>0</v>
      </c>
      <c r="AX633">
        <v>0</v>
      </c>
      <c r="AY633">
        <v>0</v>
      </c>
      <c r="AZ633">
        <v>0</v>
      </c>
      <c r="BA633">
        <v>0</v>
      </c>
      <c r="BB633">
        <v>0</v>
      </c>
      <c r="BC633">
        <v>0</v>
      </c>
      <c r="BD633">
        <v>0</v>
      </c>
      <c r="BE633">
        <v>0</v>
      </c>
      <c r="BF633">
        <v>0</v>
      </c>
      <c r="BG633">
        <v>0</v>
      </c>
      <c r="BH633">
        <v>1</v>
      </c>
      <c r="BI633">
        <v>1</v>
      </c>
      <c r="BJ633">
        <v>2.4</v>
      </c>
      <c r="BK633">
        <v>2.5</v>
      </c>
      <c r="BL633">
        <v>73.739999999999995</v>
      </c>
      <c r="BM633">
        <v>11.06</v>
      </c>
      <c r="BN633">
        <v>84.8</v>
      </c>
      <c r="BO633">
        <v>84.8</v>
      </c>
      <c r="BQ633" t="s">
        <v>1700</v>
      </c>
      <c r="BR633" t="s">
        <v>1699</v>
      </c>
      <c r="BS633" s="3">
        <v>44594</v>
      </c>
      <c r="BT633" s="4">
        <v>0.38750000000000001</v>
      </c>
      <c r="BU633" t="s">
        <v>1613</v>
      </c>
      <c r="BV633" t="s">
        <v>101</v>
      </c>
      <c r="BY633">
        <v>12000</v>
      </c>
      <c r="BZ633" t="s">
        <v>87</v>
      </c>
      <c r="CA633" t="s">
        <v>1405</v>
      </c>
      <c r="CC633" t="s">
        <v>154</v>
      </c>
      <c r="CD633">
        <v>2196</v>
      </c>
      <c r="CE633" t="s">
        <v>130</v>
      </c>
      <c r="CF633" s="3">
        <v>44594</v>
      </c>
      <c r="CI633">
        <v>1</v>
      </c>
      <c r="CJ633">
        <v>1</v>
      </c>
      <c r="CK633">
        <v>21</v>
      </c>
      <c r="CL633" t="s">
        <v>84</v>
      </c>
    </row>
    <row r="634" spans="1:90" x14ac:dyDescent="0.25">
      <c r="A634" t="s">
        <v>1417</v>
      </c>
      <c r="B634" t="s">
        <v>1400</v>
      </c>
      <c r="C634" t="s">
        <v>74</v>
      </c>
      <c r="E634" t="str">
        <f>"009941050345"</f>
        <v>009941050345</v>
      </c>
      <c r="F634" s="3">
        <v>44593</v>
      </c>
      <c r="G634">
        <v>202208</v>
      </c>
      <c r="H634" t="s">
        <v>131</v>
      </c>
      <c r="I634" t="s">
        <v>132</v>
      </c>
      <c r="J634" t="s">
        <v>1406</v>
      </c>
      <c r="K634" t="s">
        <v>78</v>
      </c>
      <c r="L634" t="s">
        <v>447</v>
      </c>
      <c r="M634" t="s">
        <v>448</v>
      </c>
      <c r="N634" t="s">
        <v>1701</v>
      </c>
      <c r="O634" t="s">
        <v>80</v>
      </c>
      <c r="P634" t="str">
        <f>"                              "</f>
        <v xml:space="preserve">                              </v>
      </c>
      <c r="Q634">
        <v>0</v>
      </c>
      <c r="R634">
        <v>0</v>
      </c>
      <c r="S634">
        <v>0</v>
      </c>
      <c r="T634">
        <v>0</v>
      </c>
      <c r="U634">
        <v>0</v>
      </c>
      <c r="V634">
        <v>0</v>
      </c>
      <c r="W634">
        <v>0</v>
      </c>
      <c r="X634">
        <v>0</v>
      </c>
      <c r="Y634">
        <v>0</v>
      </c>
      <c r="Z634">
        <v>0</v>
      </c>
      <c r="AA634">
        <v>0</v>
      </c>
      <c r="AB634">
        <v>0</v>
      </c>
      <c r="AC634">
        <v>0</v>
      </c>
      <c r="AD634">
        <v>0</v>
      </c>
      <c r="AE634">
        <v>0</v>
      </c>
      <c r="AF634">
        <v>0</v>
      </c>
      <c r="AG634">
        <v>0</v>
      </c>
      <c r="AH634">
        <v>0</v>
      </c>
      <c r="AI634">
        <v>0</v>
      </c>
      <c r="AJ634">
        <v>0</v>
      </c>
      <c r="AK634">
        <v>15.46</v>
      </c>
      <c r="AL634">
        <v>0</v>
      </c>
      <c r="AM634">
        <v>0</v>
      </c>
      <c r="AN634">
        <v>0</v>
      </c>
      <c r="AO634">
        <v>0</v>
      </c>
      <c r="AP634">
        <v>0</v>
      </c>
      <c r="AQ634">
        <v>0</v>
      </c>
      <c r="AR634">
        <v>0</v>
      </c>
      <c r="AS634">
        <v>0</v>
      </c>
      <c r="AT634">
        <v>0</v>
      </c>
      <c r="AU634">
        <v>0</v>
      </c>
      <c r="AV634">
        <v>0</v>
      </c>
      <c r="AW634">
        <v>0</v>
      </c>
      <c r="AX634">
        <v>0</v>
      </c>
      <c r="AY634">
        <v>0</v>
      </c>
      <c r="AZ634">
        <v>0</v>
      </c>
      <c r="BA634">
        <v>0</v>
      </c>
      <c r="BB634">
        <v>0</v>
      </c>
      <c r="BC634">
        <v>0</v>
      </c>
      <c r="BD634">
        <v>0</v>
      </c>
      <c r="BE634">
        <v>0</v>
      </c>
      <c r="BF634">
        <v>0</v>
      </c>
      <c r="BG634">
        <v>0</v>
      </c>
      <c r="BH634">
        <v>1</v>
      </c>
      <c r="BI634">
        <v>2</v>
      </c>
      <c r="BJ634">
        <v>1</v>
      </c>
      <c r="BK634">
        <v>2</v>
      </c>
      <c r="BL634">
        <v>59</v>
      </c>
      <c r="BM634">
        <v>8.85</v>
      </c>
      <c r="BN634">
        <v>67.849999999999994</v>
      </c>
      <c r="BO634">
        <v>67.849999999999994</v>
      </c>
      <c r="BQ634" t="s">
        <v>1702</v>
      </c>
      <c r="BR634" t="s">
        <v>1699</v>
      </c>
      <c r="BS634" s="3">
        <v>44594</v>
      </c>
      <c r="BT634" s="4">
        <v>0.38958333333333334</v>
      </c>
      <c r="BU634" t="s">
        <v>1703</v>
      </c>
      <c r="BV634" t="s">
        <v>101</v>
      </c>
      <c r="BY634">
        <v>4800</v>
      </c>
      <c r="BZ634" t="s">
        <v>87</v>
      </c>
      <c r="CA634" t="s">
        <v>1704</v>
      </c>
      <c r="CC634" t="s">
        <v>448</v>
      </c>
      <c r="CD634">
        <v>1682</v>
      </c>
      <c r="CE634" t="s">
        <v>130</v>
      </c>
      <c r="CF634" s="3">
        <v>44595</v>
      </c>
      <c r="CI634">
        <v>1</v>
      </c>
      <c r="CJ634">
        <v>1</v>
      </c>
      <c r="CK634">
        <v>21</v>
      </c>
      <c r="CL634" t="s">
        <v>84</v>
      </c>
    </row>
    <row r="635" spans="1:90" x14ac:dyDescent="0.25">
      <c r="A635" t="s">
        <v>1417</v>
      </c>
      <c r="B635" t="s">
        <v>1400</v>
      </c>
      <c r="C635" t="s">
        <v>74</v>
      </c>
      <c r="E635" t="str">
        <f>"080010381700"</f>
        <v>080010381700</v>
      </c>
      <c r="F635" s="3">
        <v>44594</v>
      </c>
      <c r="G635">
        <v>202208</v>
      </c>
      <c r="H635" t="s">
        <v>153</v>
      </c>
      <c r="I635" t="s">
        <v>154</v>
      </c>
      <c r="J635" t="s">
        <v>1402</v>
      </c>
      <c r="K635" t="s">
        <v>78</v>
      </c>
      <c r="L635" t="s">
        <v>384</v>
      </c>
      <c r="M635" t="s">
        <v>385</v>
      </c>
      <c r="N635" t="s">
        <v>1483</v>
      </c>
      <c r="O635" t="s">
        <v>125</v>
      </c>
      <c r="P635" t="str">
        <f>"-                             "</f>
        <v xml:space="preserve">-                             </v>
      </c>
      <c r="Q635">
        <v>0</v>
      </c>
      <c r="R635">
        <v>0</v>
      </c>
      <c r="S635">
        <v>0</v>
      </c>
      <c r="T635">
        <v>0</v>
      </c>
      <c r="U635">
        <v>0</v>
      </c>
      <c r="V635">
        <v>0</v>
      </c>
      <c r="W635">
        <v>0</v>
      </c>
      <c r="X635">
        <v>0</v>
      </c>
      <c r="Y635">
        <v>0</v>
      </c>
      <c r="Z635">
        <v>0</v>
      </c>
      <c r="AA635">
        <v>0</v>
      </c>
      <c r="AB635">
        <v>0</v>
      </c>
      <c r="AC635">
        <v>0</v>
      </c>
      <c r="AD635">
        <v>0</v>
      </c>
      <c r="AE635">
        <v>0</v>
      </c>
      <c r="AF635">
        <v>0</v>
      </c>
      <c r="AG635">
        <v>0</v>
      </c>
      <c r="AH635">
        <v>0</v>
      </c>
      <c r="AI635">
        <v>0</v>
      </c>
      <c r="AJ635">
        <v>0</v>
      </c>
      <c r="AK635">
        <v>25.01</v>
      </c>
      <c r="AL635">
        <v>0</v>
      </c>
      <c r="AM635">
        <v>0</v>
      </c>
      <c r="AN635">
        <v>0</v>
      </c>
      <c r="AO635">
        <v>0</v>
      </c>
      <c r="AP635">
        <v>0</v>
      </c>
      <c r="AQ635">
        <v>0</v>
      </c>
      <c r="AR635">
        <v>0</v>
      </c>
      <c r="AS635">
        <v>0</v>
      </c>
      <c r="AT635">
        <v>0</v>
      </c>
      <c r="AU635">
        <v>0</v>
      </c>
      <c r="AV635">
        <v>0</v>
      </c>
      <c r="AW635">
        <v>0</v>
      </c>
      <c r="AX635">
        <v>0</v>
      </c>
      <c r="AY635">
        <v>0</v>
      </c>
      <c r="AZ635">
        <v>0</v>
      </c>
      <c r="BA635">
        <v>0</v>
      </c>
      <c r="BB635">
        <v>0</v>
      </c>
      <c r="BC635">
        <v>0</v>
      </c>
      <c r="BD635">
        <v>0</v>
      </c>
      <c r="BE635">
        <v>0</v>
      </c>
      <c r="BF635">
        <v>0</v>
      </c>
      <c r="BG635">
        <v>0</v>
      </c>
      <c r="BH635">
        <v>1</v>
      </c>
      <c r="BI635">
        <v>1</v>
      </c>
      <c r="BJ635">
        <v>0.2</v>
      </c>
      <c r="BK635">
        <v>1</v>
      </c>
      <c r="BL635">
        <v>95.23</v>
      </c>
      <c r="BM635">
        <v>14.28</v>
      </c>
      <c r="BN635">
        <v>109.51</v>
      </c>
      <c r="BO635">
        <v>109.51</v>
      </c>
      <c r="BP635" t="s">
        <v>653</v>
      </c>
      <c r="BQ635" t="s">
        <v>1505</v>
      </c>
      <c r="BR635" t="s">
        <v>1705</v>
      </c>
      <c r="BS635" s="3">
        <v>44595</v>
      </c>
      <c r="BT635" s="4">
        <v>0.34861111111111115</v>
      </c>
      <c r="BU635" t="s">
        <v>1662</v>
      </c>
      <c r="BV635" t="s">
        <v>101</v>
      </c>
      <c r="BY635">
        <v>1200</v>
      </c>
      <c r="BZ635" t="s">
        <v>137</v>
      </c>
      <c r="CA635" t="s">
        <v>1475</v>
      </c>
      <c r="CC635" t="s">
        <v>385</v>
      </c>
      <c r="CD635">
        <v>2194</v>
      </c>
      <c r="CE635" t="s">
        <v>1487</v>
      </c>
      <c r="CF635" s="3">
        <v>44595</v>
      </c>
      <c r="CI635">
        <v>1</v>
      </c>
      <c r="CJ635">
        <v>1</v>
      </c>
      <c r="CK635">
        <v>42</v>
      </c>
      <c r="CL635" t="s">
        <v>84</v>
      </c>
    </row>
    <row r="636" spans="1:90" x14ac:dyDescent="0.25">
      <c r="A636" t="s">
        <v>1417</v>
      </c>
      <c r="B636" t="s">
        <v>1400</v>
      </c>
      <c r="C636" t="s">
        <v>74</v>
      </c>
      <c r="E636" t="str">
        <f>"009940956770"</f>
        <v>009940956770</v>
      </c>
      <c r="F636" s="3">
        <v>44594</v>
      </c>
      <c r="G636">
        <v>202208</v>
      </c>
      <c r="H636" t="s">
        <v>1436</v>
      </c>
      <c r="I636" t="s">
        <v>1437</v>
      </c>
      <c r="J636" t="s">
        <v>1401</v>
      </c>
      <c r="K636" t="s">
        <v>78</v>
      </c>
      <c r="L636" t="s">
        <v>441</v>
      </c>
      <c r="M636" t="s">
        <v>442</v>
      </c>
      <c r="N636" t="s">
        <v>1667</v>
      </c>
      <c r="O636" t="s">
        <v>80</v>
      </c>
      <c r="P636" t="str">
        <f>"STORES                        "</f>
        <v xml:space="preserve">STORES                        </v>
      </c>
      <c r="Q636">
        <v>0</v>
      </c>
      <c r="R636">
        <v>0</v>
      </c>
      <c r="S636">
        <v>0</v>
      </c>
      <c r="T636">
        <v>0</v>
      </c>
      <c r="U636">
        <v>0</v>
      </c>
      <c r="V636">
        <v>0</v>
      </c>
      <c r="W636">
        <v>0</v>
      </c>
      <c r="X636">
        <v>0</v>
      </c>
      <c r="Y636">
        <v>0</v>
      </c>
      <c r="Z636">
        <v>0</v>
      </c>
      <c r="AA636">
        <v>0</v>
      </c>
      <c r="AB636">
        <v>0</v>
      </c>
      <c r="AC636">
        <v>0</v>
      </c>
      <c r="AD636">
        <v>0</v>
      </c>
      <c r="AE636">
        <v>0</v>
      </c>
      <c r="AF636">
        <v>0</v>
      </c>
      <c r="AG636">
        <v>0</v>
      </c>
      <c r="AH636">
        <v>0</v>
      </c>
      <c r="AI636">
        <v>0</v>
      </c>
      <c r="AJ636">
        <v>0</v>
      </c>
      <c r="AK636">
        <v>32.479999999999997</v>
      </c>
      <c r="AL636">
        <v>0</v>
      </c>
      <c r="AM636">
        <v>0</v>
      </c>
      <c r="AN636">
        <v>0</v>
      </c>
      <c r="AO636">
        <v>0</v>
      </c>
      <c r="AP636">
        <v>0</v>
      </c>
      <c r="AQ636">
        <v>0</v>
      </c>
      <c r="AR636">
        <v>0</v>
      </c>
      <c r="AS636">
        <v>0</v>
      </c>
      <c r="AT636">
        <v>0</v>
      </c>
      <c r="AU636">
        <v>0</v>
      </c>
      <c r="AV636">
        <v>0</v>
      </c>
      <c r="AW636">
        <v>0</v>
      </c>
      <c r="AX636">
        <v>0</v>
      </c>
      <c r="AY636">
        <v>0</v>
      </c>
      <c r="AZ636">
        <v>0</v>
      </c>
      <c r="BA636">
        <v>0</v>
      </c>
      <c r="BB636">
        <v>0</v>
      </c>
      <c r="BC636">
        <v>0</v>
      </c>
      <c r="BD636">
        <v>0</v>
      </c>
      <c r="BE636">
        <v>0</v>
      </c>
      <c r="BF636">
        <v>0</v>
      </c>
      <c r="BG636">
        <v>0</v>
      </c>
      <c r="BH636">
        <v>1</v>
      </c>
      <c r="BI636">
        <v>1</v>
      </c>
      <c r="BJ636">
        <v>0.2</v>
      </c>
      <c r="BK636">
        <v>1</v>
      </c>
      <c r="BL636">
        <v>116.84</v>
      </c>
      <c r="BM636">
        <v>17.53</v>
      </c>
      <c r="BN636">
        <v>134.37</v>
      </c>
      <c r="BO636">
        <v>134.37</v>
      </c>
      <c r="BQ636" t="s">
        <v>1706</v>
      </c>
      <c r="BR636" t="s">
        <v>1453</v>
      </c>
      <c r="BS636" s="3">
        <v>44595</v>
      </c>
      <c r="BT636" s="4">
        <v>0.33055555555555555</v>
      </c>
      <c r="BU636" t="s">
        <v>1707</v>
      </c>
      <c r="BV636" t="s">
        <v>101</v>
      </c>
      <c r="BY636">
        <v>1200</v>
      </c>
      <c r="BZ636" t="s">
        <v>87</v>
      </c>
      <c r="CA636" t="s">
        <v>1537</v>
      </c>
      <c r="CC636" t="s">
        <v>442</v>
      </c>
      <c r="CD636">
        <v>1034</v>
      </c>
      <c r="CE636" t="s">
        <v>130</v>
      </c>
      <c r="CF636" s="3">
        <v>44595</v>
      </c>
      <c r="CI636">
        <v>1</v>
      </c>
      <c r="CJ636">
        <v>1</v>
      </c>
      <c r="CK636">
        <v>23</v>
      </c>
      <c r="CL636" t="s">
        <v>84</v>
      </c>
    </row>
    <row r="637" spans="1:90" x14ac:dyDescent="0.25">
      <c r="A637" t="s">
        <v>1417</v>
      </c>
      <c r="B637" t="s">
        <v>1400</v>
      </c>
      <c r="C637" t="s">
        <v>74</v>
      </c>
      <c r="E637" t="str">
        <f>"009941916034"</f>
        <v>009941916034</v>
      </c>
      <c r="F637" s="3">
        <v>44594</v>
      </c>
      <c r="G637">
        <v>202208</v>
      </c>
      <c r="H637" t="s">
        <v>1436</v>
      </c>
      <c r="I637" t="s">
        <v>1437</v>
      </c>
      <c r="J637" t="s">
        <v>1401</v>
      </c>
      <c r="K637" t="s">
        <v>78</v>
      </c>
      <c r="L637" t="s">
        <v>466</v>
      </c>
      <c r="M637" t="s">
        <v>467</v>
      </c>
      <c r="N637" t="s">
        <v>1708</v>
      </c>
      <c r="O637" t="s">
        <v>80</v>
      </c>
      <c r="P637" t="str">
        <f>"STORES                        "</f>
        <v xml:space="preserve">STORES                        </v>
      </c>
      <c r="Q637">
        <v>0</v>
      </c>
      <c r="R637">
        <v>0</v>
      </c>
      <c r="S637">
        <v>0</v>
      </c>
      <c r="T637">
        <v>0</v>
      </c>
      <c r="U637">
        <v>0</v>
      </c>
      <c r="V637">
        <v>0</v>
      </c>
      <c r="W637">
        <v>0</v>
      </c>
      <c r="X637">
        <v>0</v>
      </c>
      <c r="Y637">
        <v>0</v>
      </c>
      <c r="Z637">
        <v>0</v>
      </c>
      <c r="AA637">
        <v>0</v>
      </c>
      <c r="AB637">
        <v>0</v>
      </c>
      <c r="AC637">
        <v>0</v>
      </c>
      <c r="AD637">
        <v>0</v>
      </c>
      <c r="AE637">
        <v>0</v>
      </c>
      <c r="AF637">
        <v>0</v>
      </c>
      <c r="AG637">
        <v>0</v>
      </c>
      <c r="AH637">
        <v>0</v>
      </c>
      <c r="AI637">
        <v>0</v>
      </c>
      <c r="AJ637">
        <v>0</v>
      </c>
      <c r="AK637">
        <v>32.479999999999997</v>
      </c>
      <c r="AL637">
        <v>0</v>
      </c>
      <c r="AM637">
        <v>0</v>
      </c>
      <c r="AN637">
        <v>0</v>
      </c>
      <c r="AO637">
        <v>0</v>
      </c>
      <c r="AP637">
        <v>0</v>
      </c>
      <c r="AQ637">
        <v>0</v>
      </c>
      <c r="AR637">
        <v>0</v>
      </c>
      <c r="AS637">
        <v>0</v>
      </c>
      <c r="AT637">
        <v>0</v>
      </c>
      <c r="AU637">
        <v>0</v>
      </c>
      <c r="AV637">
        <v>0</v>
      </c>
      <c r="AW637">
        <v>0</v>
      </c>
      <c r="AX637">
        <v>0</v>
      </c>
      <c r="AY637">
        <v>0</v>
      </c>
      <c r="AZ637">
        <v>0</v>
      </c>
      <c r="BA637">
        <v>0</v>
      </c>
      <c r="BB637">
        <v>0</v>
      </c>
      <c r="BC637">
        <v>0</v>
      </c>
      <c r="BD637">
        <v>0</v>
      </c>
      <c r="BE637">
        <v>0</v>
      </c>
      <c r="BF637">
        <v>0</v>
      </c>
      <c r="BG637">
        <v>0</v>
      </c>
      <c r="BH637">
        <v>1</v>
      </c>
      <c r="BI637">
        <v>1</v>
      </c>
      <c r="BJ637">
        <v>0.2</v>
      </c>
      <c r="BK637">
        <v>1</v>
      </c>
      <c r="BL637">
        <v>116.84</v>
      </c>
      <c r="BM637">
        <v>17.53</v>
      </c>
      <c r="BN637">
        <v>134.37</v>
      </c>
      <c r="BO637">
        <v>134.37</v>
      </c>
      <c r="BQ637">
        <v>661925414</v>
      </c>
      <c r="BR637" t="s">
        <v>1453</v>
      </c>
      <c r="BS637" s="3">
        <v>44596</v>
      </c>
      <c r="BT637" s="4">
        <v>0.32222222222222224</v>
      </c>
      <c r="BU637" t="s">
        <v>1709</v>
      </c>
      <c r="BV637" t="s">
        <v>84</v>
      </c>
      <c r="BW637" t="s">
        <v>727</v>
      </c>
      <c r="BX637" t="s">
        <v>1101</v>
      </c>
      <c r="BY637">
        <v>1200</v>
      </c>
      <c r="BZ637" t="s">
        <v>87</v>
      </c>
      <c r="CC637" t="s">
        <v>467</v>
      </c>
      <c r="CD637">
        <v>3900</v>
      </c>
      <c r="CE637" t="s">
        <v>130</v>
      </c>
      <c r="CF637" s="3">
        <v>44596</v>
      </c>
      <c r="CI637">
        <v>1</v>
      </c>
      <c r="CJ637">
        <v>2</v>
      </c>
      <c r="CK637">
        <v>23</v>
      </c>
      <c r="CL637" t="s">
        <v>84</v>
      </c>
    </row>
    <row r="638" spans="1:90" x14ac:dyDescent="0.25">
      <c r="A638" t="s">
        <v>1417</v>
      </c>
      <c r="B638" t="s">
        <v>1400</v>
      </c>
      <c r="C638" t="s">
        <v>74</v>
      </c>
      <c r="E638" t="str">
        <f>"009941916037"</f>
        <v>009941916037</v>
      </c>
      <c r="F638" s="3">
        <v>44595</v>
      </c>
      <c r="G638">
        <v>202208</v>
      </c>
      <c r="H638" t="s">
        <v>1436</v>
      </c>
      <c r="I638" t="s">
        <v>1437</v>
      </c>
      <c r="J638" t="s">
        <v>1401</v>
      </c>
      <c r="K638" t="s">
        <v>78</v>
      </c>
      <c r="L638" t="s">
        <v>1407</v>
      </c>
      <c r="M638" t="s">
        <v>1408</v>
      </c>
      <c r="N638" t="s">
        <v>1401</v>
      </c>
      <c r="O638" t="s">
        <v>125</v>
      </c>
      <c r="P638" t="str">
        <f>"STORES                        "</f>
        <v xml:space="preserve">STORES                        </v>
      </c>
      <c r="Q638">
        <v>0</v>
      </c>
      <c r="R638">
        <v>0</v>
      </c>
      <c r="S638">
        <v>0</v>
      </c>
      <c r="T638">
        <v>0</v>
      </c>
      <c r="U638">
        <v>0</v>
      </c>
      <c r="V638">
        <v>0</v>
      </c>
      <c r="W638">
        <v>0</v>
      </c>
      <c r="X638">
        <v>0</v>
      </c>
      <c r="Y638">
        <v>0</v>
      </c>
      <c r="Z638">
        <v>0</v>
      </c>
      <c r="AA638">
        <v>0</v>
      </c>
      <c r="AB638">
        <v>0</v>
      </c>
      <c r="AC638">
        <v>0</v>
      </c>
      <c r="AD638">
        <v>0</v>
      </c>
      <c r="AE638">
        <v>0</v>
      </c>
      <c r="AF638">
        <v>0</v>
      </c>
      <c r="AG638">
        <v>0</v>
      </c>
      <c r="AH638">
        <v>0</v>
      </c>
      <c r="AI638">
        <v>0</v>
      </c>
      <c r="AJ638">
        <v>0</v>
      </c>
      <c r="AK638">
        <v>141.53</v>
      </c>
      <c r="AL638">
        <v>0</v>
      </c>
      <c r="AM638">
        <v>0</v>
      </c>
      <c r="AN638">
        <v>0</v>
      </c>
      <c r="AO638">
        <v>0</v>
      </c>
      <c r="AP638">
        <v>0</v>
      </c>
      <c r="AQ638">
        <v>0</v>
      </c>
      <c r="AR638">
        <v>0</v>
      </c>
      <c r="AS638">
        <v>0</v>
      </c>
      <c r="AT638">
        <v>0</v>
      </c>
      <c r="AU638">
        <v>0</v>
      </c>
      <c r="AV638">
        <v>0</v>
      </c>
      <c r="AW638">
        <v>0</v>
      </c>
      <c r="AX638">
        <v>0</v>
      </c>
      <c r="AY638">
        <v>0</v>
      </c>
      <c r="AZ638">
        <v>0</v>
      </c>
      <c r="BA638">
        <v>0</v>
      </c>
      <c r="BB638">
        <v>0</v>
      </c>
      <c r="BC638">
        <v>0</v>
      </c>
      <c r="BD638">
        <v>0</v>
      </c>
      <c r="BE638">
        <v>0</v>
      </c>
      <c r="BF638">
        <v>0</v>
      </c>
      <c r="BG638">
        <v>0</v>
      </c>
      <c r="BH638">
        <v>2</v>
      </c>
      <c r="BI638">
        <v>31.6</v>
      </c>
      <c r="BJ638">
        <v>55.4</v>
      </c>
      <c r="BK638">
        <v>56</v>
      </c>
      <c r="BL638">
        <v>514.4</v>
      </c>
      <c r="BM638">
        <v>77.16</v>
      </c>
      <c r="BN638">
        <v>591.55999999999995</v>
      </c>
      <c r="BO638">
        <v>591.55999999999995</v>
      </c>
      <c r="BQ638" t="s">
        <v>733</v>
      </c>
      <c r="BR638" t="s">
        <v>733</v>
      </c>
      <c r="BS638" s="3">
        <v>44599</v>
      </c>
      <c r="BT638" s="4">
        <v>0.36874999999999997</v>
      </c>
      <c r="BU638" t="s">
        <v>1410</v>
      </c>
      <c r="BV638" t="s">
        <v>84</v>
      </c>
      <c r="BW638" t="s">
        <v>239</v>
      </c>
      <c r="BX638" t="s">
        <v>1674</v>
      </c>
      <c r="BY638">
        <v>276819.40999999997</v>
      </c>
      <c r="BZ638" t="s">
        <v>137</v>
      </c>
      <c r="CC638" t="s">
        <v>1408</v>
      </c>
      <c r="CD638">
        <v>2940</v>
      </c>
      <c r="CE638" t="s">
        <v>130</v>
      </c>
      <c r="CF638" s="3">
        <v>44599</v>
      </c>
      <c r="CI638">
        <v>1</v>
      </c>
      <c r="CJ638">
        <v>2</v>
      </c>
      <c r="CK638">
        <v>43</v>
      </c>
      <c r="CL638" t="s">
        <v>84</v>
      </c>
    </row>
    <row r="639" spans="1:90" x14ac:dyDescent="0.25">
      <c r="A639" t="s">
        <v>1417</v>
      </c>
      <c r="B639" t="s">
        <v>1400</v>
      </c>
      <c r="C639" t="s">
        <v>74</v>
      </c>
      <c r="E639" t="str">
        <f>"009941108090"</f>
        <v>009941108090</v>
      </c>
      <c r="F639" s="3">
        <v>44595</v>
      </c>
      <c r="G639">
        <v>202208</v>
      </c>
      <c r="H639" t="s">
        <v>282</v>
      </c>
      <c r="I639" t="s">
        <v>283</v>
      </c>
      <c r="J639" t="s">
        <v>1401</v>
      </c>
      <c r="K639" t="s">
        <v>78</v>
      </c>
      <c r="L639" t="s">
        <v>153</v>
      </c>
      <c r="M639" t="s">
        <v>154</v>
      </c>
      <c r="N639" t="s">
        <v>1401</v>
      </c>
      <c r="O639" t="s">
        <v>125</v>
      </c>
      <c r="P639" t="str">
        <f>"                              "</f>
        <v xml:space="preserve">                              </v>
      </c>
      <c r="Q639">
        <v>0</v>
      </c>
      <c r="R639">
        <v>0</v>
      </c>
      <c r="S639">
        <v>0</v>
      </c>
      <c r="T639">
        <v>0</v>
      </c>
      <c r="U639">
        <v>0</v>
      </c>
      <c r="V639">
        <v>0</v>
      </c>
      <c r="W639">
        <v>0</v>
      </c>
      <c r="X639">
        <v>0</v>
      </c>
      <c r="Y639">
        <v>0</v>
      </c>
      <c r="Z639">
        <v>0</v>
      </c>
      <c r="AA639">
        <v>0</v>
      </c>
      <c r="AB639">
        <v>0</v>
      </c>
      <c r="AC639">
        <v>0</v>
      </c>
      <c r="AD639">
        <v>0</v>
      </c>
      <c r="AE639">
        <v>0</v>
      </c>
      <c r="AF639">
        <v>0</v>
      </c>
      <c r="AG639">
        <v>0</v>
      </c>
      <c r="AH639">
        <v>0</v>
      </c>
      <c r="AI639">
        <v>0</v>
      </c>
      <c r="AJ639">
        <v>0</v>
      </c>
      <c r="AK639">
        <v>55.07</v>
      </c>
      <c r="AL639">
        <v>0</v>
      </c>
      <c r="AM639">
        <v>0</v>
      </c>
      <c r="AN639">
        <v>0</v>
      </c>
      <c r="AO639">
        <v>0</v>
      </c>
      <c r="AP639">
        <v>0</v>
      </c>
      <c r="AQ639">
        <v>0</v>
      </c>
      <c r="AR639">
        <v>0</v>
      </c>
      <c r="AS639">
        <v>0</v>
      </c>
      <c r="AT639">
        <v>0</v>
      </c>
      <c r="AU639">
        <v>0</v>
      </c>
      <c r="AV639">
        <v>0</v>
      </c>
      <c r="AW639">
        <v>0</v>
      </c>
      <c r="AX639">
        <v>0</v>
      </c>
      <c r="AY639">
        <v>0</v>
      </c>
      <c r="AZ639">
        <v>0</v>
      </c>
      <c r="BA639">
        <v>0</v>
      </c>
      <c r="BB639">
        <v>0</v>
      </c>
      <c r="BC639">
        <v>0</v>
      </c>
      <c r="BD639">
        <v>0</v>
      </c>
      <c r="BE639">
        <v>0</v>
      </c>
      <c r="BF639">
        <v>0</v>
      </c>
      <c r="BG639">
        <v>0</v>
      </c>
      <c r="BH639">
        <v>1</v>
      </c>
      <c r="BI639">
        <v>18.5</v>
      </c>
      <c r="BJ639">
        <v>5.2</v>
      </c>
      <c r="BK639">
        <v>19</v>
      </c>
      <c r="BL639">
        <v>203.35</v>
      </c>
      <c r="BM639">
        <v>30.5</v>
      </c>
      <c r="BN639">
        <v>233.85</v>
      </c>
      <c r="BO639">
        <v>233.85</v>
      </c>
      <c r="BQ639" t="s">
        <v>1710</v>
      </c>
      <c r="BR639" t="s">
        <v>1421</v>
      </c>
      <c r="BS639" s="3">
        <v>44596</v>
      </c>
      <c r="BT639" s="4">
        <v>0.4152777777777778</v>
      </c>
      <c r="BU639" t="s">
        <v>1603</v>
      </c>
      <c r="BV639" t="s">
        <v>101</v>
      </c>
      <c r="BY639">
        <v>26124.560000000001</v>
      </c>
      <c r="BZ639" t="s">
        <v>137</v>
      </c>
      <c r="CA639" t="s">
        <v>928</v>
      </c>
      <c r="CC639" t="s">
        <v>154</v>
      </c>
      <c r="CD639">
        <v>2196</v>
      </c>
      <c r="CE639" t="s">
        <v>1546</v>
      </c>
      <c r="CF639" s="3">
        <v>44597</v>
      </c>
      <c r="CI639">
        <v>1</v>
      </c>
      <c r="CJ639">
        <v>1</v>
      </c>
      <c r="CK639">
        <v>43</v>
      </c>
      <c r="CL639" t="s">
        <v>84</v>
      </c>
    </row>
    <row r="640" spans="1:90" x14ac:dyDescent="0.25">
      <c r="A640" t="s">
        <v>1417</v>
      </c>
      <c r="B640" t="s">
        <v>1400</v>
      </c>
      <c r="C640" t="s">
        <v>74</v>
      </c>
      <c r="E640" t="str">
        <f>"009940956769"</f>
        <v>009940956769</v>
      </c>
      <c r="F640" s="3">
        <v>44594</v>
      </c>
      <c r="G640">
        <v>202208</v>
      </c>
      <c r="H640" t="s">
        <v>1436</v>
      </c>
      <c r="I640" t="s">
        <v>1437</v>
      </c>
      <c r="J640" t="s">
        <v>1401</v>
      </c>
      <c r="K640" t="s">
        <v>78</v>
      </c>
      <c r="L640" t="s">
        <v>441</v>
      </c>
      <c r="M640" t="s">
        <v>442</v>
      </c>
      <c r="N640" t="s">
        <v>1711</v>
      </c>
      <c r="O640" t="s">
        <v>125</v>
      </c>
      <c r="P640" t="str">
        <f>"STORES                        "</f>
        <v xml:space="preserve">STORES                        </v>
      </c>
      <c r="Q640">
        <v>0</v>
      </c>
      <c r="R640">
        <v>0</v>
      </c>
      <c r="S640">
        <v>0</v>
      </c>
      <c r="T640">
        <v>0</v>
      </c>
      <c r="U640">
        <v>0</v>
      </c>
      <c r="V640">
        <v>0</v>
      </c>
      <c r="W640">
        <v>0</v>
      </c>
      <c r="X640">
        <v>0</v>
      </c>
      <c r="Y640">
        <v>0</v>
      </c>
      <c r="Z640">
        <v>0</v>
      </c>
      <c r="AA640">
        <v>0</v>
      </c>
      <c r="AB640">
        <v>0</v>
      </c>
      <c r="AC640">
        <v>0</v>
      </c>
      <c r="AD640">
        <v>0</v>
      </c>
      <c r="AE640">
        <v>0</v>
      </c>
      <c r="AF640">
        <v>0</v>
      </c>
      <c r="AG640">
        <v>0</v>
      </c>
      <c r="AH640">
        <v>0</v>
      </c>
      <c r="AI640">
        <v>0</v>
      </c>
      <c r="AJ640">
        <v>0</v>
      </c>
      <c r="AK640">
        <v>615.92999999999995</v>
      </c>
      <c r="AL640">
        <v>0</v>
      </c>
      <c r="AM640">
        <v>0</v>
      </c>
      <c r="AN640">
        <v>0</v>
      </c>
      <c r="AO640">
        <v>0</v>
      </c>
      <c r="AP640">
        <v>0</v>
      </c>
      <c r="AQ640">
        <v>0</v>
      </c>
      <c r="AR640">
        <v>0</v>
      </c>
      <c r="AS640">
        <v>0</v>
      </c>
      <c r="AT640">
        <v>0</v>
      </c>
      <c r="AU640">
        <v>0</v>
      </c>
      <c r="AV640">
        <v>0</v>
      </c>
      <c r="AW640">
        <v>0</v>
      </c>
      <c r="AX640">
        <v>0</v>
      </c>
      <c r="AY640">
        <v>0</v>
      </c>
      <c r="AZ640">
        <v>0</v>
      </c>
      <c r="BA640">
        <v>0</v>
      </c>
      <c r="BB640">
        <v>0</v>
      </c>
      <c r="BC640">
        <v>0</v>
      </c>
      <c r="BD640">
        <v>0</v>
      </c>
      <c r="BE640">
        <v>0</v>
      </c>
      <c r="BF640">
        <v>0</v>
      </c>
      <c r="BG640">
        <v>0</v>
      </c>
      <c r="BH640">
        <v>1</v>
      </c>
      <c r="BI640">
        <v>140</v>
      </c>
      <c r="BJ640">
        <v>258.89999999999998</v>
      </c>
      <c r="BK640">
        <v>259</v>
      </c>
      <c r="BL640">
        <v>2221.0100000000002</v>
      </c>
      <c r="BM640">
        <v>333.15</v>
      </c>
      <c r="BN640">
        <v>2554.16</v>
      </c>
      <c r="BO640">
        <v>2554.16</v>
      </c>
      <c r="BQ640" t="s">
        <v>1706</v>
      </c>
      <c r="BR640" t="s">
        <v>1453</v>
      </c>
      <c r="BS640" s="3">
        <v>44595</v>
      </c>
      <c r="BT640" s="4">
        <v>0.33749999999999997</v>
      </c>
      <c r="BU640" t="s">
        <v>1669</v>
      </c>
      <c r="BV640" t="s">
        <v>101</v>
      </c>
      <c r="BY640">
        <v>1294560</v>
      </c>
      <c r="BZ640" t="s">
        <v>137</v>
      </c>
      <c r="CA640" t="s">
        <v>1496</v>
      </c>
      <c r="CC640" t="s">
        <v>442</v>
      </c>
      <c r="CD640">
        <v>1034</v>
      </c>
      <c r="CE640" t="s">
        <v>130</v>
      </c>
      <c r="CF640" s="3">
        <v>44595</v>
      </c>
      <c r="CI640">
        <v>1</v>
      </c>
      <c r="CJ640">
        <v>1</v>
      </c>
      <c r="CK640">
        <v>43</v>
      </c>
      <c r="CL640" t="s">
        <v>84</v>
      </c>
    </row>
    <row r="641" spans="1:90" x14ac:dyDescent="0.25">
      <c r="A641" t="s">
        <v>1417</v>
      </c>
      <c r="B641" t="s">
        <v>1400</v>
      </c>
      <c r="C641" t="s">
        <v>74</v>
      </c>
      <c r="E641" t="str">
        <f>"009941916033"</f>
        <v>009941916033</v>
      </c>
      <c r="F641" s="3">
        <v>44594</v>
      </c>
      <c r="G641">
        <v>202208</v>
      </c>
      <c r="H641" t="s">
        <v>1436</v>
      </c>
      <c r="I641" t="s">
        <v>1437</v>
      </c>
      <c r="J641" t="s">
        <v>1401</v>
      </c>
      <c r="K641" t="s">
        <v>78</v>
      </c>
      <c r="L641" t="s">
        <v>1249</v>
      </c>
      <c r="M641" t="s">
        <v>1250</v>
      </c>
      <c r="N641" t="s">
        <v>1712</v>
      </c>
      <c r="O641" t="s">
        <v>80</v>
      </c>
      <c r="P641" t="str">
        <f>"STORES                        "</f>
        <v xml:space="preserve">STORES                        </v>
      </c>
      <c r="Q641">
        <v>0</v>
      </c>
      <c r="R641">
        <v>0</v>
      </c>
      <c r="S641">
        <v>0</v>
      </c>
      <c r="T641">
        <v>0</v>
      </c>
      <c r="U641">
        <v>0</v>
      </c>
      <c r="V641">
        <v>0</v>
      </c>
      <c r="W641">
        <v>0</v>
      </c>
      <c r="X641">
        <v>0</v>
      </c>
      <c r="Y641">
        <v>0</v>
      </c>
      <c r="Z641">
        <v>0</v>
      </c>
      <c r="AA641">
        <v>0</v>
      </c>
      <c r="AB641">
        <v>0</v>
      </c>
      <c r="AC641">
        <v>0</v>
      </c>
      <c r="AD641">
        <v>0</v>
      </c>
      <c r="AE641">
        <v>0</v>
      </c>
      <c r="AF641">
        <v>0</v>
      </c>
      <c r="AG641">
        <v>0</v>
      </c>
      <c r="AH641">
        <v>0</v>
      </c>
      <c r="AI641">
        <v>0</v>
      </c>
      <c r="AJ641">
        <v>0</v>
      </c>
      <c r="AK641">
        <v>32.479999999999997</v>
      </c>
      <c r="AL641">
        <v>0</v>
      </c>
      <c r="AM641">
        <v>0</v>
      </c>
      <c r="AN641">
        <v>0</v>
      </c>
      <c r="AO641">
        <v>0</v>
      </c>
      <c r="AP641">
        <v>0</v>
      </c>
      <c r="AQ641">
        <v>0</v>
      </c>
      <c r="AR641">
        <v>0</v>
      </c>
      <c r="AS641">
        <v>0</v>
      </c>
      <c r="AT641">
        <v>0</v>
      </c>
      <c r="AU641">
        <v>0</v>
      </c>
      <c r="AV641">
        <v>0</v>
      </c>
      <c r="AW641">
        <v>0</v>
      </c>
      <c r="AX641">
        <v>0</v>
      </c>
      <c r="AY641">
        <v>0</v>
      </c>
      <c r="AZ641">
        <v>0</v>
      </c>
      <c r="BA641">
        <v>0</v>
      </c>
      <c r="BB641">
        <v>0</v>
      </c>
      <c r="BC641">
        <v>0</v>
      </c>
      <c r="BD641">
        <v>0</v>
      </c>
      <c r="BE641">
        <v>0</v>
      </c>
      <c r="BF641">
        <v>0</v>
      </c>
      <c r="BG641">
        <v>0</v>
      </c>
      <c r="BH641">
        <v>1</v>
      </c>
      <c r="BI641">
        <v>1</v>
      </c>
      <c r="BJ641">
        <v>0.2</v>
      </c>
      <c r="BK641">
        <v>1</v>
      </c>
      <c r="BL641">
        <v>116.84</v>
      </c>
      <c r="BM641">
        <v>17.53</v>
      </c>
      <c r="BN641">
        <v>134.37</v>
      </c>
      <c r="BO641">
        <v>134.37</v>
      </c>
      <c r="BQ641" t="s">
        <v>1713</v>
      </c>
      <c r="BR641" t="s">
        <v>1714</v>
      </c>
      <c r="BS641" s="3">
        <v>44595</v>
      </c>
      <c r="BT641" s="4">
        <v>0.53263888888888888</v>
      </c>
      <c r="BU641" t="s">
        <v>1665</v>
      </c>
      <c r="BV641" t="s">
        <v>101</v>
      </c>
      <c r="BY641">
        <v>1200</v>
      </c>
      <c r="BZ641" t="s">
        <v>87</v>
      </c>
      <c r="CA641" t="s">
        <v>1666</v>
      </c>
      <c r="CC641" t="s">
        <v>1250</v>
      </c>
      <c r="CD641">
        <v>4240</v>
      </c>
      <c r="CE641" t="s">
        <v>130</v>
      </c>
      <c r="CF641" s="3">
        <v>44596</v>
      </c>
      <c r="CI641">
        <v>2</v>
      </c>
      <c r="CJ641">
        <v>1</v>
      </c>
      <c r="CK641">
        <v>23</v>
      </c>
      <c r="CL641" t="s">
        <v>84</v>
      </c>
    </row>
    <row r="642" spans="1:90" x14ac:dyDescent="0.25">
      <c r="A642" t="s">
        <v>1417</v>
      </c>
      <c r="B642" t="s">
        <v>1400</v>
      </c>
      <c r="C642" t="s">
        <v>74</v>
      </c>
      <c r="E642" t="str">
        <f>"009940746425"</f>
        <v>009940746425</v>
      </c>
      <c r="F642" s="3">
        <v>44594</v>
      </c>
      <c r="G642">
        <v>202208</v>
      </c>
      <c r="H642" t="s">
        <v>75</v>
      </c>
      <c r="I642" t="s">
        <v>76</v>
      </c>
      <c r="J642" t="s">
        <v>1401</v>
      </c>
      <c r="K642" t="s">
        <v>78</v>
      </c>
      <c r="L642" t="s">
        <v>1436</v>
      </c>
      <c r="M642" t="s">
        <v>1437</v>
      </c>
      <c r="N642" t="s">
        <v>1401</v>
      </c>
      <c r="O642" t="s">
        <v>125</v>
      </c>
      <c r="P642" t="str">
        <f t="shared" ref="P642:P651" si="10">"                              "</f>
        <v xml:space="preserve">                              </v>
      </c>
      <c r="Q642">
        <v>0</v>
      </c>
      <c r="R642">
        <v>0</v>
      </c>
      <c r="S642">
        <v>0</v>
      </c>
      <c r="T642">
        <v>0</v>
      </c>
      <c r="U642">
        <v>0</v>
      </c>
      <c r="V642">
        <v>0</v>
      </c>
      <c r="W642">
        <v>0</v>
      </c>
      <c r="X642">
        <v>0</v>
      </c>
      <c r="Y642">
        <v>0</v>
      </c>
      <c r="Z642">
        <v>0</v>
      </c>
      <c r="AA642">
        <v>0</v>
      </c>
      <c r="AB642">
        <v>0</v>
      </c>
      <c r="AC642">
        <v>0</v>
      </c>
      <c r="AD642">
        <v>0</v>
      </c>
      <c r="AE642">
        <v>0</v>
      </c>
      <c r="AF642">
        <v>0</v>
      </c>
      <c r="AG642">
        <v>0</v>
      </c>
      <c r="AH642">
        <v>0</v>
      </c>
      <c r="AI642">
        <v>0</v>
      </c>
      <c r="AJ642">
        <v>0</v>
      </c>
      <c r="AK642">
        <v>99.21</v>
      </c>
      <c r="AL642">
        <v>0</v>
      </c>
      <c r="AM642">
        <v>0</v>
      </c>
      <c r="AN642">
        <v>0</v>
      </c>
      <c r="AO642">
        <v>0</v>
      </c>
      <c r="AP642">
        <v>0</v>
      </c>
      <c r="AQ642">
        <v>0</v>
      </c>
      <c r="AR642">
        <v>0</v>
      </c>
      <c r="AS642">
        <v>0</v>
      </c>
      <c r="AT642">
        <v>0</v>
      </c>
      <c r="AU642">
        <v>0</v>
      </c>
      <c r="AV642">
        <v>0</v>
      </c>
      <c r="AW642">
        <v>0</v>
      </c>
      <c r="AX642">
        <v>0</v>
      </c>
      <c r="AY642">
        <v>0</v>
      </c>
      <c r="AZ642">
        <v>0</v>
      </c>
      <c r="BA642">
        <v>0</v>
      </c>
      <c r="BB642">
        <v>0</v>
      </c>
      <c r="BC642">
        <v>0</v>
      </c>
      <c r="BD642">
        <v>0</v>
      </c>
      <c r="BE642">
        <v>0</v>
      </c>
      <c r="BF642">
        <v>0</v>
      </c>
      <c r="BG642">
        <v>0</v>
      </c>
      <c r="BH642">
        <v>4</v>
      </c>
      <c r="BI642">
        <v>50</v>
      </c>
      <c r="BJ642">
        <v>64.900000000000006</v>
      </c>
      <c r="BK642">
        <v>65</v>
      </c>
      <c r="BL642">
        <v>362.16</v>
      </c>
      <c r="BM642">
        <v>54.32</v>
      </c>
      <c r="BN642">
        <v>416.48</v>
      </c>
      <c r="BO642">
        <v>416.48</v>
      </c>
      <c r="BQ642" t="s">
        <v>1434</v>
      </c>
      <c r="BR642" t="s">
        <v>1581</v>
      </c>
      <c r="BS642" s="3">
        <v>44596</v>
      </c>
      <c r="BT642" s="4">
        <v>0.41597222222222219</v>
      </c>
      <c r="BU642" t="s">
        <v>1603</v>
      </c>
      <c r="BV642" t="s">
        <v>101</v>
      </c>
      <c r="BY642">
        <v>324725.82</v>
      </c>
      <c r="BZ642" t="s">
        <v>137</v>
      </c>
      <c r="CA642" t="s">
        <v>928</v>
      </c>
      <c r="CC642" t="s">
        <v>1437</v>
      </c>
      <c r="CD642">
        <v>2146</v>
      </c>
      <c r="CE642" t="s">
        <v>130</v>
      </c>
      <c r="CF642" s="3">
        <v>44597</v>
      </c>
      <c r="CI642">
        <v>2</v>
      </c>
      <c r="CJ642">
        <v>2</v>
      </c>
      <c r="CK642">
        <v>41</v>
      </c>
      <c r="CL642" t="s">
        <v>84</v>
      </c>
    </row>
    <row r="643" spans="1:90" x14ac:dyDescent="0.25">
      <c r="A643" t="s">
        <v>1399</v>
      </c>
      <c r="B643" t="s">
        <v>1400</v>
      </c>
      <c r="C643" t="s">
        <v>74</v>
      </c>
      <c r="E643" t="str">
        <f>"009940901457"</f>
        <v>009940901457</v>
      </c>
      <c r="F643" s="3">
        <v>44596</v>
      </c>
      <c r="G643">
        <v>202208</v>
      </c>
      <c r="H643" t="s">
        <v>401</v>
      </c>
      <c r="I643" t="s">
        <v>402</v>
      </c>
      <c r="J643" t="s">
        <v>1401</v>
      </c>
      <c r="K643" t="s">
        <v>78</v>
      </c>
      <c r="L643" t="s">
        <v>1436</v>
      </c>
      <c r="M643" t="s">
        <v>1437</v>
      </c>
      <c r="N643" t="s">
        <v>1715</v>
      </c>
      <c r="O643" t="s">
        <v>125</v>
      </c>
      <c r="P643" t="str">
        <f t="shared" si="10"/>
        <v xml:space="preserve">                              </v>
      </c>
      <c r="Q643">
        <v>0</v>
      </c>
      <c r="R643">
        <v>0</v>
      </c>
      <c r="S643">
        <v>0</v>
      </c>
      <c r="T643">
        <v>0</v>
      </c>
      <c r="U643">
        <v>0</v>
      </c>
      <c r="V643">
        <v>0</v>
      </c>
      <c r="W643">
        <v>0</v>
      </c>
      <c r="X643">
        <v>0</v>
      </c>
      <c r="Y643">
        <v>0</v>
      </c>
      <c r="Z643">
        <v>0</v>
      </c>
      <c r="AA643">
        <v>0</v>
      </c>
      <c r="AB643">
        <v>0</v>
      </c>
      <c r="AC643">
        <v>0</v>
      </c>
      <c r="AD643">
        <v>0</v>
      </c>
      <c r="AE643">
        <v>0</v>
      </c>
      <c r="AF643">
        <v>0</v>
      </c>
      <c r="AG643">
        <v>0</v>
      </c>
      <c r="AH643">
        <v>0</v>
      </c>
      <c r="AI643">
        <v>0</v>
      </c>
      <c r="AJ643">
        <v>0</v>
      </c>
      <c r="AK643">
        <v>32.42</v>
      </c>
      <c r="AL643">
        <v>0</v>
      </c>
      <c r="AM643">
        <v>0</v>
      </c>
      <c r="AN643">
        <v>0</v>
      </c>
      <c r="AO643">
        <v>0</v>
      </c>
      <c r="AP643">
        <v>0</v>
      </c>
      <c r="AQ643">
        <v>0</v>
      </c>
      <c r="AR643">
        <v>0</v>
      </c>
      <c r="AS643">
        <v>0</v>
      </c>
      <c r="AT643">
        <v>0</v>
      </c>
      <c r="AU643">
        <v>0</v>
      </c>
      <c r="AV643">
        <v>0</v>
      </c>
      <c r="AW643">
        <v>0</v>
      </c>
      <c r="AX643">
        <v>0</v>
      </c>
      <c r="AY643">
        <v>0</v>
      </c>
      <c r="AZ643">
        <v>0</v>
      </c>
      <c r="BA643">
        <v>0</v>
      </c>
      <c r="BB643">
        <v>0</v>
      </c>
      <c r="BC643">
        <v>0</v>
      </c>
      <c r="BD643">
        <v>0</v>
      </c>
      <c r="BE643">
        <v>0</v>
      </c>
      <c r="BF643">
        <v>0</v>
      </c>
      <c r="BG643">
        <v>0</v>
      </c>
      <c r="BH643">
        <v>1</v>
      </c>
      <c r="BI643">
        <v>1</v>
      </c>
      <c r="BJ643">
        <v>0.2</v>
      </c>
      <c r="BK643">
        <v>1</v>
      </c>
      <c r="BL643">
        <v>121.87</v>
      </c>
      <c r="BM643">
        <v>18.28</v>
      </c>
      <c r="BN643">
        <v>140.15</v>
      </c>
      <c r="BO643">
        <v>140.15</v>
      </c>
      <c r="BQ643" t="s">
        <v>1716</v>
      </c>
      <c r="BR643" t="s">
        <v>1717</v>
      </c>
      <c r="BS643" s="3">
        <v>44599</v>
      </c>
      <c r="BT643" s="4">
        <v>0.40902777777777777</v>
      </c>
      <c r="BU643" t="s">
        <v>1718</v>
      </c>
      <c r="BV643" t="s">
        <v>101</v>
      </c>
      <c r="BY643">
        <v>1200</v>
      </c>
      <c r="BZ643" t="s">
        <v>137</v>
      </c>
      <c r="CA643" t="s">
        <v>1405</v>
      </c>
      <c r="CC643" t="s">
        <v>1437</v>
      </c>
      <c r="CD643">
        <v>2146</v>
      </c>
      <c r="CE643" t="s">
        <v>130</v>
      </c>
      <c r="CF643" s="3">
        <v>44600</v>
      </c>
      <c r="CI643">
        <v>1</v>
      </c>
      <c r="CJ643">
        <v>1</v>
      </c>
      <c r="CK643">
        <v>41</v>
      </c>
      <c r="CL643" t="s">
        <v>84</v>
      </c>
    </row>
    <row r="644" spans="1:90" x14ac:dyDescent="0.25">
      <c r="A644" t="s">
        <v>1399</v>
      </c>
      <c r="B644" t="s">
        <v>1400</v>
      </c>
      <c r="C644" t="s">
        <v>74</v>
      </c>
      <c r="E644" t="str">
        <f>"009940864645"</f>
        <v>009940864645</v>
      </c>
      <c r="F644" s="3">
        <v>44596</v>
      </c>
      <c r="G644">
        <v>202208</v>
      </c>
      <c r="H644" t="s">
        <v>401</v>
      </c>
      <c r="I644" t="s">
        <v>402</v>
      </c>
      <c r="J644" t="s">
        <v>1401</v>
      </c>
      <c r="K644" t="s">
        <v>78</v>
      </c>
      <c r="L644" t="s">
        <v>401</v>
      </c>
      <c r="M644" t="s">
        <v>402</v>
      </c>
      <c r="N644" t="s">
        <v>1401</v>
      </c>
      <c r="O644" t="s">
        <v>125</v>
      </c>
      <c r="P644" t="str">
        <f t="shared" si="10"/>
        <v xml:space="preserve">                              </v>
      </c>
      <c r="Q644">
        <v>0</v>
      </c>
      <c r="R644">
        <v>0</v>
      </c>
      <c r="S644">
        <v>0</v>
      </c>
      <c r="T644">
        <v>0</v>
      </c>
      <c r="U644">
        <v>0</v>
      </c>
      <c r="V644">
        <v>0</v>
      </c>
      <c r="W644">
        <v>0</v>
      </c>
      <c r="X644">
        <v>0</v>
      </c>
      <c r="Y644">
        <v>0</v>
      </c>
      <c r="Z644">
        <v>0</v>
      </c>
      <c r="AA644">
        <v>0</v>
      </c>
      <c r="AB644">
        <v>0</v>
      </c>
      <c r="AC644">
        <v>0</v>
      </c>
      <c r="AD644">
        <v>0</v>
      </c>
      <c r="AE644">
        <v>0</v>
      </c>
      <c r="AF644">
        <v>0</v>
      </c>
      <c r="AG644">
        <v>0</v>
      </c>
      <c r="AH644">
        <v>0</v>
      </c>
      <c r="AI644">
        <v>0</v>
      </c>
      <c r="AJ644">
        <v>0</v>
      </c>
      <c r="AK644">
        <v>66.709999999999994</v>
      </c>
      <c r="AL644">
        <v>0</v>
      </c>
      <c r="AM644">
        <v>0</v>
      </c>
      <c r="AN644">
        <v>0</v>
      </c>
      <c r="AO644">
        <v>0</v>
      </c>
      <c r="AP644">
        <v>0</v>
      </c>
      <c r="AQ644">
        <v>0</v>
      </c>
      <c r="AR644">
        <v>0</v>
      </c>
      <c r="AS644">
        <v>0</v>
      </c>
      <c r="AT644">
        <v>0</v>
      </c>
      <c r="AU644">
        <v>0</v>
      </c>
      <c r="AV644">
        <v>0</v>
      </c>
      <c r="AW644">
        <v>0</v>
      </c>
      <c r="AX644">
        <v>0</v>
      </c>
      <c r="AY644">
        <v>0</v>
      </c>
      <c r="AZ644">
        <v>0</v>
      </c>
      <c r="BA644">
        <v>0</v>
      </c>
      <c r="BB644">
        <v>0</v>
      </c>
      <c r="BC644">
        <v>0</v>
      </c>
      <c r="BD644">
        <v>0</v>
      </c>
      <c r="BE644">
        <v>0</v>
      </c>
      <c r="BF644">
        <v>0</v>
      </c>
      <c r="BG644">
        <v>0</v>
      </c>
      <c r="BH644">
        <v>3</v>
      </c>
      <c r="BI644">
        <v>60</v>
      </c>
      <c r="BJ644">
        <v>71.2</v>
      </c>
      <c r="BK644">
        <v>72</v>
      </c>
      <c r="BL644">
        <v>245.23</v>
      </c>
      <c r="BM644">
        <v>36.78</v>
      </c>
      <c r="BN644">
        <v>282.01</v>
      </c>
      <c r="BO644">
        <v>282.01</v>
      </c>
      <c r="BQ644" t="s">
        <v>1719</v>
      </c>
      <c r="BR644" t="s">
        <v>1720</v>
      </c>
      <c r="BS644" s="3">
        <v>44599</v>
      </c>
      <c r="BT644" s="4">
        <v>0.53333333333333333</v>
      </c>
      <c r="BU644" t="s">
        <v>1506</v>
      </c>
      <c r="BV644" t="s">
        <v>101</v>
      </c>
      <c r="BY644">
        <v>118584</v>
      </c>
      <c r="BZ644" t="s">
        <v>137</v>
      </c>
      <c r="CA644" t="s">
        <v>1721</v>
      </c>
      <c r="CC644" t="s">
        <v>402</v>
      </c>
      <c r="CD644">
        <v>700</v>
      </c>
      <c r="CE644" t="s">
        <v>130</v>
      </c>
      <c r="CF644" s="3">
        <v>44599</v>
      </c>
      <c r="CI644">
        <v>1</v>
      </c>
      <c r="CJ644">
        <v>1</v>
      </c>
      <c r="CK644">
        <v>42</v>
      </c>
      <c r="CL644" t="s">
        <v>84</v>
      </c>
    </row>
    <row r="645" spans="1:90" x14ac:dyDescent="0.25">
      <c r="A645" t="s">
        <v>1399</v>
      </c>
      <c r="B645" t="s">
        <v>1400</v>
      </c>
      <c r="C645" t="s">
        <v>74</v>
      </c>
      <c r="E645" t="str">
        <f>"009940901458"</f>
        <v>009940901458</v>
      </c>
      <c r="F645" s="3">
        <v>44596</v>
      </c>
      <c r="G645">
        <v>202208</v>
      </c>
      <c r="H645" t="s">
        <v>401</v>
      </c>
      <c r="I645" t="s">
        <v>402</v>
      </c>
      <c r="J645" t="s">
        <v>1401</v>
      </c>
      <c r="K645" t="s">
        <v>78</v>
      </c>
      <c r="L645" t="s">
        <v>1599</v>
      </c>
      <c r="M645" t="s">
        <v>1600</v>
      </c>
      <c r="N645" t="s">
        <v>1554</v>
      </c>
      <c r="O645" t="s">
        <v>125</v>
      </c>
      <c r="P645" t="str">
        <f t="shared" si="10"/>
        <v xml:space="preserve">                              </v>
      </c>
      <c r="Q645">
        <v>0</v>
      </c>
      <c r="R645">
        <v>0</v>
      </c>
      <c r="S645">
        <v>0</v>
      </c>
      <c r="T645">
        <v>0</v>
      </c>
      <c r="U645">
        <v>0</v>
      </c>
      <c r="V645">
        <v>0</v>
      </c>
      <c r="W645">
        <v>0</v>
      </c>
      <c r="X645">
        <v>0</v>
      </c>
      <c r="Y645">
        <v>0</v>
      </c>
      <c r="Z645">
        <v>0</v>
      </c>
      <c r="AA645">
        <v>0</v>
      </c>
      <c r="AB645">
        <v>0</v>
      </c>
      <c r="AC645">
        <v>0</v>
      </c>
      <c r="AD645">
        <v>0</v>
      </c>
      <c r="AE645">
        <v>0</v>
      </c>
      <c r="AF645">
        <v>0</v>
      </c>
      <c r="AG645">
        <v>0</v>
      </c>
      <c r="AH645">
        <v>0</v>
      </c>
      <c r="AI645">
        <v>0</v>
      </c>
      <c r="AJ645">
        <v>0</v>
      </c>
      <c r="AK645">
        <v>67.48</v>
      </c>
      <c r="AL645">
        <v>0</v>
      </c>
      <c r="AM645">
        <v>0</v>
      </c>
      <c r="AN645">
        <v>0</v>
      </c>
      <c r="AO645">
        <v>0</v>
      </c>
      <c r="AP645">
        <v>0</v>
      </c>
      <c r="AQ645">
        <v>0</v>
      </c>
      <c r="AR645">
        <v>0</v>
      </c>
      <c r="AS645">
        <v>0</v>
      </c>
      <c r="AT645">
        <v>0</v>
      </c>
      <c r="AU645">
        <v>0</v>
      </c>
      <c r="AV645">
        <v>0</v>
      </c>
      <c r="AW645">
        <v>0</v>
      </c>
      <c r="AX645">
        <v>0</v>
      </c>
      <c r="AY645">
        <v>0</v>
      </c>
      <c r="AZ645">
        <v>0</v>
      </c>
      <c r="BA645">
        <v>0</v>
      </c>
      <c r="BB645">
        <v>0</v>
      </c>
      <c r="BC645">
        <v>0</v>
      </c>
      <c r="BD645">
        <v>0</v>
      </c>
      <c r="BE645">
        <v>0</v>
      </c>
      <c r="BF645">
        <v>0</v>
      </c>
      <c r="BG645">
        <v>0</v>
      </c>
      <c r="BH645">
        <v>2</v>
      </c>
      <c r="BI645">
        <v>49</v>
      </c>
      <c r="BJ645">
        <v>44.8</v>
      </c>
      <c r="BK645">
        <v>49</v>
      </c>
      <c r="BL645">
        <v>248</v>
      </c>
      <c r="BM645">
        <v>37.200000000000003</v>
      </c>
      <c r="BN645">
        <v>285.2</v>
      </c>
      <c r="BO645">
        <v>285.2</v>
      </c>
      <c r="BQ645" t="s">
        <v>1722</v>
      </c>
      <c r="BS645" s="3">
        <v>44599</v>
      </c>
      <c r="BT645" s="4">
        <v>0.70833333333333337</v>
      </c>
      <c r="BU645" t="s">
        <v>1723</v>
      </c>
      <c r="BV645" t="s">
        <v>101</v>
      </c>
      <c r="BY645">
        <v>224160</v>
      </c>
      <c r="BZ645" t="s">
        <v>137</v>
      </c>
      <c r="CA645" t="s">
        <v>1679</v>
      </c>
      <c r="CC645" t="s">
        <v>1600</v>
      </c>
      <c r="CD645">
        <v>1150</v>
      </c>
      <c r="CE645" t="s">
        <v>130</v>
      </c>
      <c r="CF645" s="3">
        <v>44600</v>
      </c>
      <c r="CI645">
        <v>2</v>
      </c>
      <c r="CJ645">
        <v>1</v>
      </c>
      <c r="CK645">
        <v>44</v>
      </c>
      <c r="CL645" t="s">
        <v>84</v>
      </c>
    </row>
    <row r="646" spans="1:90" x14ac:dyDescent="0.25">
      <c r="A646" t="s">
        <v>1417</v>
      </c>
      <c r="B646" t="s">
        <v>1400</v>
      </c>
      <c r="C646" t="s">
        <v>74</v>
      </c>
      <c r="E646" t="str">
        <f>"009938822226"</f>
        <v>009938822226</v>
      </c>
      <c r="F646" s="3">
        <v>44596</v>
      </c>
      <c r="G646">
        <v>202208</v>
      </c>
      <c r="H646" t="s">
        <v>541</v>
      </c>
      <c r="I646" t="s">
        <v>542</v>
      </c>
      <c r="J646" t="s">
        <v>1724</v>
      </c>
      <c r="K646" t="s">
        <v>78</v>
      </c>
      <c r="L646" t="s">
        <v>123</v>
      </c>
      <c r="M646" t="s">
        <v>124</v>
      </c>
      <c r="N646" t="s">
        <v>1725</v>
      </c>
      <c r="O646" t="s">
        <v>80</v>
      </c>
      <c r="P646" t="str">
        <f t="shared" si="10"/>
        <v xml:space="preserve">                              </v>
      </c>
      <c r="Q646">
        <v>0</v>
      </c>
      <c r="R646">
        <v>0</v>
      </c>
      <c r="S646">
        <v>0</v>
      </c>
      <c r="T646">
        <v>0</v>
      </c>
      <c r="U646">
        <v>0</v>
      </c>
      <c r="V646">
        <v>0</v>
      </c>
      <c r="W646">
        <v>0</v>
      </c>
      <c r="X646">
        <v>0</v>
      </c>
      <c r="Y646">
        <v>0</v>
      </c>
      <c r="Z646">
        <v>0</v>
      </c>
      <c r="AA646">
        <v>0</v>
      </c>
      <c r="AB646">
        <v>0</v>
      </c>
      <c r="AC646">
        <v>0</v>
      </c>
      <c r="AD646">
        <v>0</v>
      </c>
      <c r="AE646">
        <v>0</v>
      </c>
      <c r="AF646">
        <v>0</v>
      </c>
      <c r="AG646">
        <v>0</v>
      </c>
      <c r="AH646">
        <v>0</v>
      </c>
      <c r="AI646">
        <v>0</v>
      </c>
      <c r="AJ646">
        <v>0</v>
      </c>
      <c r="AK646">
        <v>41.9</v>
      </c>
      <c r="AL646">
        <v>0</v>
      </c>
      <c r="AM646">
        <v>0</v>
      </c>
      <c r="AN646">
        <v>0</v>
      </c>
      <c r="AO646">
        <v>0</v>
      </c>
      <c r="AP646">
        <v>0</v>
      </c>
      <c r="AQ646">
        <v>0</v>
      </c>
      <c r="AR646">
        <v>0</v>
      </c>
      <c r="AS646">
        <v>0</v>
      </c>
      <c r="AT646">
        <v>0</v>
      </c>
      <c r="AU646">
        <v>0</v>
      </c>
      <c r="AV646">
        <v>0</v>
      </c>
      <c r="AW646">
        <v>0</v>
      </c>
      <c r="AX646">
        <v>0</v>
      </c>
      <c r="AY646">
        <v>0</v>
      </c>
      <c r="AZ646">
        <v>0</v>
      </c>
      <c r="BA646">
        <v>0</v>
      </c>
      <c r="BB646">
        <v>0</v>
      </c>
      <c r="BC646">
        <v>0</v>
      </c>
      <c r="BD646">
        <v>0</v>
      </c>
      <c r="BE646">
        <v>0</v>
      </c>
      <c r="BF646">
        <v>0</v>
      </c>
      <c r="BG646">
        <v>0</v>
      </c>
      <c r="BH646">
        <v>1</v>
      </c>
      <c r="BI646">
        <v>2.2999999999999998</v>
      </c>
      <c r="BJ646">
        <v>4.7</v>
      </c>
      <c r="BK646">
        <v>5</v>
      </c>
      <c r="BL646">
        <v>150.72</v>
      </c>
      <c r="BM646">
        <v>22.61</v>
      </c>
      <c r="BN646">
        <v>173.33</v>
      </c>
      <c r="BO646">
        <v>173.33</v>
      </c>
      <c r="BP646" t="s">
        <v>1726</v>
      </c>
      <c r="BQ646" t="s">
        <v>1727</v>
      </c>
      <c r="BR646" t="s">
        <v>1728</v>
      </c>
      <c r="BS646" s="3">
        <v>44599</v>
      </c>
      <c r="BT646" s="4">
        <v>0.35347222222222219</v>
      </c>
      <c r="BU646" t="s">
        <v>1729</v>
      </c>
      <c r="BV646" t="s">
        <v>101</v>
      </c>
      <c r="BY646">
        <v>23411.040000000001</v>
      </c>
      <c r="BZ646" t="s">
        <v>87</v>
      </c>
      <c r="CC646" t="s">
        <v>124</v>
      </c>
      <c r="CD646">
        <v>6055</v>
      </c>
      <c r="CE646" t="s">
        <v>130</v>
      </c>
      <c r="CF646" s="3">
        <v>44599</v>
      </c>
      <c r="CI646">
        <v>1</v>
      </c>
      <c r="CJ646">
        <v>1</v>
      </c>
      <c r="CK646">
        <v>21</v>
      </c>
      <c r="CL646" t="s">
        <v>84</v>
      </c>
    </row>
    <row r="647" spans="1:90" x14ac:dyDescent="0.25">
      <c r="A647" t="s">
        <v>1417</v>
      </c>
      <c r="B647" t="s">
        <v>1400</v>
      </c>
      <c r="C647" t="s">
        <v>74</v>
      </c>
      <c r="E647" t="str">
        <f>"009938822227"</f>
        <v>009938822227</v>
      </c>
      <c r="F647" s="3">
        <v>44596</v>
      </c>
      <c r="G647">
        <v>202208</v>
      </c>
      <c r="H647" t="s">
        <v>541</v>
      </c>
      <c r="I647" t="s">
        <v>542</v>
      </c>
      <c r="J647" t="s">
        <v>1724</v>
      </c>
      <c r="K647" t="s">
        <v>78</v>
      </c>
      <c r="L647" t="s">
        <v>75</v>
      </c>
      <c r="M647" t="s">
        <v>76</v>
      </c>
      <c r="N647" t="s">
        <v>1725</v>
      </c>
      <c r="O647" t="s">
        <v>80</v>
      </c>
      <c r="P647" t="str">
        <f t="shared" si="10"/>
        <v xml:space="preserve">                              </v>
      </c>
      <c r="Q647">
        <v>0</v>
      </c>
      <c r="R647">
        <v>0</v>
      </c>
      <c r="S647">
        <v>0</v>
      </c>
      <c r="T647">
        <v>0</v>
      </c>
      <c r="U647">
        <v>0</v>
      </c>
      <c r="V647">
        <v>0</v>
      </c>
      <c r="W647">
        <v>0</v>
      </c>
      <c r="X647">
        <v>0</v>
      </c>
      <c r="Y647">
        <v>0</v>
      </c>
      <c r="Z647">
        <v>0</v>
      </c>
      <c r="AA647">
        <v>0</v>
      </c>
      <c r="AB647">
        <v>0</v>
      </c>
      <c r="AC647">
        <v>0</v>
      </c>
      <c r="AD647">
        <v>0</v>
      </c>
      <c r="AE647">
        <v>0</v>
      </c>
      <c r="AF647">
        <v>0</v>
      </c>
      <c r="AG647">
        <v>0</v>
      </c>
      <c r="AH647">
        <v>0</v>
      </c>
      <c r="AI647">
        <v>0</v>
      </c>
      <c r="AJ647">
        <v>0</v>
      </c>
      <c r="AK647">
        <v>37.71</v>
      </c>
      <c r="AL647">
        <v>0</v>
      </c>
      <c r="AM647">
        <v>0</v>
      </c>
      <c r="AN647">
        <v>0</v>
      </c>
      <c r="AO647">
        <v>0</v>
      </c>
      <c r="AP647">
        <v>0</v>
      </c>
      <c r="AQ647">
        <v>0</v>
      </c>
      <c r="AR647">
        <v>0</v>
      </c>
      <c r="AS647">
        <v>0</v>
      </c>
      <c r="AT647">
        <v>0</v>
      </c>
      <c r="AU647">
        <v>0</v>
      </c>
      <c r="AV647">
        <v>0</v>
      </c>
      <c r="AW647">
        <v>0</v>
      </c>
      <c r="AX647">
        <v>0</v>
      </c>
      <c r="AY647">
        <v>0</v>
      </c>
      <c r="AZ647">
        <v>0</v>
      </c>
      <c r="BA647">
        <v>0</v>
      </c>
      <c r="BB647">
        <v>0</v>
      </c>
      <c r="BC647">
        <v>0</v>
      </c>
      <c r="BD647">
        <v>0</v>
      </c>
      <c r="BE647">
        <v>0</v>
      </c>
      <c r="BF647">
        <v>0</v>
      </c>
      <c r="BG647">
        <v>0</v>
      </c>
      <c r="BH647">
        <v>1</v>
      </c>
      <c r="BI647">
        <v>2.2999999999999998</v>
      </c>
      <c r="BJ647">
        <v>4.0999999999999996</v>
      </c>
      <c r="BK647">
        <v>4.5</v>
      </c>
      <c r="BL647">
        <v>135.65</v>
      </c>
      <c r="BM647">
        <v>20.350000000000001</v>
      </c>
      <c r="BN647">
        <v>156</v>
      </c>
      <c r="BO647">
        <v>156</v>
      </c>
      <c r="BP647" t="s">
        <v>1730</v>
      </c>
      <c r="BQ647" t="s">
        <v>1731</v>
      </c>
      <c r="BR647" t="s">
        <v>1732</v>
      </c>
      <c r="BS647" s="3">
        <v>44599</v>
      </c>
      <c r="BT647" s="4">
        <v>0.41736111111111113</v>
      </c>
      <c r="BU647" t="s">
        <v>1733</v>
      </c>
      <c r="BV647" t="s">
        <v>101</v>
      </c>
      <c r="BY647">
        <v>20640.419999999998</v>
      </c>
      <c r="BZ647" t="s">
        <v>87</v>
      </c>
      <c r="CA647" t="s">
        <v>274</v>
      </c>
      <c r="CC647" t="s">
        <v>76</v>
      </c>
      <c r="CD647">
        <v>7460</v>
      </c>
      <c r="CE647" t="s">
        <v>130</v>
      </c>
      <c r="CF647" s="3">
        <v>44600</v>
      </c>
      <c r="CI647">
        <v>1</v>
      </c>
      <c r="CJ647">
        <v>1</v>
      </c>
      <c r="CK647">
        <v>21</v>
      </c>
      <c r="CL647" t="s">
        <v>84</v>
      </c>
    </row>
    <row r="648" spans="1:90" x14ac:dyDescent="0.25">
      <c r="A648" t="s">
        <v>1417</v>
      </c>
      <c r="B648" t="s">
        <v>1400</v>
      </c>
      <c r="C648" t="s">
        <v>74</v>
      </c>
      <c r="E648" t="str">
        <f>"009938822225"</f>
        <v>009938822225</v>
      </c>
      <c r="F648" s="3">
        <v>44596</v>
      </c>
      <c r="G648">
        <v>202208</v>
      </c>
      <c r="H648" t="s">
        <v>541</v>
      </c>
      <c r="I648" t="s">
        <v>542</v>
      </c>
      <c r="J648" t="s">
        <v>1724</v>
      </c>
      <c r="K648" t="s">
        <v>78</v>
      </c>
      <c r="L648" t="s">
        <v>761</v>
      </c>
      <c r="M648" t="s">
        <v>762</v>
      </c>
      <c r="N648" t="s">
        <v>1734</v>
      </c>
      <c r="O648" t="s">
        <v>80</v>
      </c>
      <c r="P648" t="str">
        <f t="shared" si="10"/>
        <v xml:space="preserve">                              </v>
      </c>
      <c r="Q648">
        <v>0</v>
      </c>
      <c r="R648">
        <v>0</v>
      </c>
      <c r="S648">
        <v>0</v>
      </c>
      <c r="T648">
        <v>0</v>
      </c>
      <c r="U648">
        <v>0</v>
      </c>
      <c r="V648">
        <v>0</v>
      </c>
      <c r="W648">
        <v>0</v>
      </c>
      <c r="X648">
        <v>0</v>
      </c>
      <c r="Y648">
        <v>0</v>
      </c>
      <c r="Z648">
        <v>0</v>
      </c>
      <c r="AA648">
        <v>0</v>
      </c>
      <c r="AB648">
        <v>0</v>
      </c>
      <c r="AC648">
        <v>0</v>
      </c>
      <c r="AD648">
        <v>0</v>
      </c>
      <c r="AE648">
        <v>0</v>
      </c>
      <c r="AF648">
        <v>0</v>
      </c>
      <c r="AG648">
        <v>0</v>
      </c>
      <c r="AH648">
        <v>0</v>
      </c>
      <c r="AI648">
        <v>0</v>
      </c>
      <c r="AJ648">
        <v>0</v>
      </c>
      <c r="AK648">
        <v>33.520000000000003</v>
      </c>
      <c r="AL648">
        <v>0</v>
      </c>
      <c r="AM648">
        <v>0</v>
      </c>
      <c r="AN648">
        <v>0</v>
      </c>
      <c r="AO648">
        <v>0</v>
      </c>
      <c r="AP648">
        <v>0</v>
      </c>
      <c r="AQ648">
        <v>0</v>
      </c>
      <c r="AR648">
        <v>0</v>
      </c>
      <c r="AS648">
        <v>0</v>
      </c>
      <c r="AT648">
        <v>0</v>
      </c>
      <c r="AU648">
        <v>0</v>
      </c>
      <c r="AV648">
        <v>0</v>
      </c>
      <c r="AW648">
        <v>0</v>
      </c>
      <c r="AX648">
        <v>0</v>
      </c>
      <c r="AY648">
        <v>0</v>
      </c>
      <c r="AZ648">
        <v>0</v>
      </c>
      <c r="BA648">
        <v>0</v>
      </c>
      <c r="BB648">
        <v>0</v>
      </c>
      <c r="BC648">
        <v>0</v>
      </c>
      <c r="BD648">
        <v>0</v>
      </c>
      <c r="BE648">
        <v>0</v>
      </c>
      <c r="BF648">
        <v>0</v>
      </c>
      <c r="BG648">
        <v>0</v>
      </c>
      <c r="BH648">
        <v>1</v>
      </c>
      <c r="BI648">
        <v>2.2999999999999998</v>
      </c>
      <c r="BJ648">
        <v>3.9</v>
      </c>
      <c r="BK648">
        <v>4</v>
      </c>
      <c r="BL648">
        <v>120.58</v>
      </c>
      <c r="BM648">
        <v>18.09</v>
      </c>
      <c r="BN648">
        <v>138.66999999999999</v>
      </c>
      <c r="BO648">
        <v>138.66999999999999</v>
      </c>
      <c r="BP648" t="s">
        <v>1735</v>
      </c>
      <c r="BQ648" t="s">
        <v>1736</v>
      </c>
      <c r="BR648" t="s">
        <v>1737</v>
      </c>
      <c r="BS648" s="3">
        <v>44599</v>
      </c>
      <c r="BT648" s="4">
        <v>0.41666666666666669</v>
      </c>
      <c r="BU648" t="s">
        <v>1738</v>
      </c>
      <c r="BV648" t="s">
        <v>101</v>
      </c>
      <c r="BY648">
        <v>19558.28</v>
      </c>
      <c r="BZ648" t="s">
        <v>87</v>
      </c>
      <c r="CA648" t="s">
        <v>767</v>
      </c>
      <c r="CC648" t="s">
        <v>762</v>
      </c>
      <c r="CD648">
        <v>9300</v>
      </c>
      <c r="CE648" t="s">
        <v>130</v>
      </c>
      <c r="CF648" s="3">
        <v>44600</v>
      </c>
      <c r="CI648">
        <v>1</v>
      </c>
      <c r="CJ648">
        <v>1</v>
      </c>
      <c r="CK648">
        <v>21</v>
      </c>
      <c r="CL648" t="s">
        <v>84</v>
      </c>
    </row>
    <row r="649" spans="1:90" x14ac:dyDescent="0.25">
      <c r="A649" t="s">
        <v>1417</v>
      </c>
      <c r="B649" t="s">
        <v>1400</v>
      </c>
      <c r="C649" t="s">
        <v>74</v>
      </c>
      <c r="E649" t="str">
        <f>"009938822228"</f>
        <v>009938822228</v>
      </c>
      <c r="F649" s="3">
        <v>44596</v>
      </c>
      <c r="G649">
        <v>202208</v>
      </c>
      <c r="H649" t="s">
        <v>541</v>
      </c>
      <c r="I649" t="s">
        <v>542</v>
      </c>
      <c r="J649" t="s">
        <v>1724</v>
      </c>
      <c r="K649" t="s">
        <v>78</v>
      </c>
      <c r="L649" t="s">
        <v>131</v>
      </c>
      <c r="M649" t="s">
        <v>132</v>
      </c>
      <c r="N649" t="s">
        <v>1725</v>
      </c>
      <c r="O649" t="s">
        <v>80</v>
      </c>
      <c r="P649" t="str">
        <f t="shared" si="10"/>
        <v xml:space="preserve">                              </v>
      </c>
      <c r="Q649">
        <v>0</v>
      </c>
      <c r="R649">
        <v>0</v>
      </c>
      <c r="S649">
        <v>0</v>
      </c>
      <c r="T649">
        <v>0</v>
      </c>
      <c r="U649">
        <v>0</v>
      </c>
      <c r="V649">
        <v>0</v>
      </c>
      <c r="W649">
        <v>0</v>
      </c>
      <c r="X649">
        <v>0</v>
      </c>
      <c r="Y649">
        <v>0</v>
      </c>
      <c r="Z649">
        <v>0</v>
      </c>
      <c r="AA649">
        <v>0</v>
      </c>
      <c r="AB649">
        <v>0</v>
      </c>
      <c r="AC649">
        <v>0</v>
      </c>
      <c r="AD649">
        <v>0</v>
      </c>
      <c r="AE649">
        <v>0</v>
      </c>
      <c r="AF649">
        <v>0</v>
      </c>
      <c r="AG649">
        <v>0</v>
      </c>
      <c r="AH649">
        <v>0</v>
      </c>
      <c r="AI649">
        <v>0</v>
      </c>
      <c r="AJ649">
        <v>0</v>
      </c>
      <c r="AK649">
        <v>58.65</v>
      </c>
      <c r="AL649">
        <v>0</v>
      </c>
      <c r="AM649">
        <v>0</v>
      </c>
      <c r="AN649">
        <v>0</v>
      </c>
      <c r="AO649">
        <v>0</v>
      </c>
      <c r="AP649">
        <v>0</v>
      </c>
      <c r="AQ649">
        <v>0</v>
      </c>
      <c r="AR649">
        <v>0</v>
      </c>
      <c r="AS649">
        <v>0</v>
      </c>
      <c r="AT649">
        <v>0</v>
      </c>
      <c r="AU649">
        <v>0</v>
      </c>
      <c r="AV649">
        <v>0</v>
      </c>
      <c r="AW649">
        <v>0</v>
      </c>
      <c r="AX649">
        <v>0</v>
      </c>
      <c r="AY649">
        <v>0</v>
      </c>
      <c r="AZ649">
        <v>0</v>
      </c>
      <c r="BA649">
        <v>0</v>
      </c>
      <c r="BB649">
        <v>0</v>
      </c>
      <c r="BC649">
        <v>0</v>
      </c>
      <c r="BD649">
        <v>0</v>
      </c>
      <c r="BE649">
        <v>0</v>
      </c>
      <c r="BF649">
        <v>0</v>
      </c>
      <c r="BG649">
        <v>0</v>
      </c>
      <c r="BH649">
        <v>1</v>
      </c>
      <c r="BI649">
        <v>2.4</v>
      </c>
      <c r="BJ649">
        <v>6.8</v>
      </c>
      <c r="BK649">
        <v>7</v>
      </c>
      <c r="BL649">
        <v>210.99</v>
      </c>
      <c r="BM649">
        <v>31.65</v>
      </c>
      <c r="BN649">
        <v>242.64</v>
      </c>
      <c r="BO649">
        <v>242.64</v>
      </c>
      <c r="BQ649" t="s">
        <v>1739</v>
      </c>
      <c r="BR649" t="s">
        <v>1740</v>
      </c>
      <c r="BS649" s="3">
        <v>44599</v>
      </c>
      <c r="BT649" s="4">
        <v>0.36319444444444443</v>
      </c>
      <c r="BU649" t="s">
        <v>1741</v>
      </c>
      <c r="BV649" t="s">
        <v>101</v>
      </c>
      <c r="BY649">
        <v>33902.67</v>
      </c>
      <c r="BZ649" t="s">
        <v>87</v>
      </c>
      <c r="CA649" t="s">
        <v>1742</v>
      </c>
      <c r="CC649" t="s">
        <v>132</v>
      </c>
      <c r="CD649">
        <v>4051</v>
      </c>
      <c r="CE649" t="s">
        <v>130</v>
      </c>
      <c r="CF649" s="3">
        <v>44600</v>
      </c>
      <c r="CI649">
        <v>1</v>
      </c>
      <c r="CJ649">
        <v>1</v>
      </c>
      <c r="CK649">
        <v>21</v>
      </c>
      <c r="CL649" t="s">
        <v>84</v>
      </c>
    </row>
    <row r="650" spans="1:90" x14ac:dyDescent="0.25">
      <c r="A650" t="s">
        <v>1417</v>
      </c>
      <c r="B650" t="s">
        <v>1400</v>
      </c>
      <c r="C650" t="s">
        <v>74</v>
      </c>
      <c r="E650" t="str">
        <f>"009942122821"</f>
        <v>009942122821</v>
      </c>
      <c r="F650" s="3">
        <v>44596</v>
      </c>
      <c r="G650">
        <v>202208</v>
      </c>
      <c r="H650" t="s">
        <v>496</v>
      </c>
      <c r="I650" t="s">
        <v>497</v>
      </c>
      <c r="J650" t="s">
        <v>1401</v>
      </c>
      <c r="K650" t="s">
        <v>78</v>
      </c>
      <c r="L650" t="s">
        <v>153</v>
      </c>
      <c r="M650" t="s">
        <v>154</v>
      </c>
      <c r="N650" t="s">
        <v>1401</v>
      </c>
      <c r="O650" t="s">
        <v>125</v>
      </c>
      <c r="P650" t="str">
        <f t="shared" si="10"/>
        <v xml:space="preserve">                              </v>
      </c>
      <c r="Q650">
        <v>0</v>
      </c>
      <c r="R650">
        <v>0</v>
      </c>
      <c r="S650">
        <v>0</v>
      </c>
      <c r="T650">
        <v>0</v>
      </c>
      <c r="U650">
        <v>0</v>
      </c>
      <c r="V650">
        <v>0</v>
      </c>
      <c r="W650">
        <v>0</v>
      </c>
      <c r="X650">
        <v>0</v>
      </c>
      <c r="Y650">
        <v>0</v>
      </c>
      <c r="Z650">
        <v>0</v>
      </c>
      <c r="AA650">
        <v>0</v>
      </c>
      <c r="AB650">
        <v>0</v>
      </c>
      <c r="AC650">
        <v>0</v>
      </c>
      <c r="AD650">
        <v>0</v>
      </c>
      <c r="AE650">
        <v>0</v>
      </c>
      <c r="AF650">
        <v>0</v>
      </c>
      <c r="AG650">
        <v>0</v>
      </c>
      <c r="AH650">
        <v>0</v>
      </c>
      <c r="AI650">
        <v>0</v>
      </c>
      <c r="AJ650">
        <v>0</v>
      </c>
      <c r="AK650">
        <v>120.59</v>
      </c>
      <c r="AL650">
        <v>0</v>
      </c>
      <c r="AM650">
        <v>0</v>
      </c>
      <c r="AN650">
        <v>0</v>
      </c>
      <c r="AO650">
        <v>0</v>
      </c>
      <c r="AP650">
        <v>0</v>
      </c>
      <c r="AQ650">
        <v>0</v>
      </c>
      <c r="AR650">
        <v>0</v>
      </c>
      <c r="AS650">
        <v>0</v>
      </c>
      <c r="AT650">
        <v>0</v>
      </c>
      <c r="AU650">
        <v>0</v>
      </c>
      <c r="AV650">
        <v>0</v>
      </c>
      <c r="AW650">
        <v>0</v>
      </c>
      <c r="AX650">
        <v>0</v>
      </c>
      <c r="AY650">
        <v>0</v>
      </c>
      <c r="AZ650">
        <v>0</v>
      </c>
      <c r="BA650">
        <v>0</v>
      </c>
      <c r="BB650">
        <v>0</v>
      </c>
      <c r="BC650">
        <v>0</v>
      </c>
      <c r="BD650">
        <v>0</v>
      </c>
      <c r="BE650">
        <v>0</v>
      </c>
      <c r="BF650">
        <v>0</v>
      </c>
      <c r="BG650">
        <v>0</v>
      </c>
      <c r="BH650">
        <v>4</v>
      </c>
      <c r="BI650">
        <v>62</v>
      </c>
      <c r="BJ650">
        <v>80.900000000000006</v>
      </c>
      <c r="BK650">
        <v>81</v>
      </c>
      <c r="BL650">
        <v>439.06</v>
      </c>
      <c r="BM650">
        <v>65.86</v>
      </c>
      <c r="BN650">
        <v>504.92</v>
      </c>
      <c r="BO650">
        <v>504.92</v>
      </c>
      <c r="BQ650" t="s">
        <v>311</v>
      </c>
      <c r="BR650" t="s">
        <v>1743</v>
      </c>
      <c r="BS650" s="3">
        <v>44599</v>
      </c>
      <c r="BT650" s="4">
        <v>0.50763888888888886</v>
      </c>
      <c r="BU650" t="s">
        <v>575</v>
      </c>
      <c r="BV650" t="s">
        <v>101</v>
      </c>
      <c r="BY650">
        <v>272720</v>
      </c>
      <c r="BZ650" t="s">
        <v>137</v>
      </c>
      <c r="CA650" t="s">
        <v>928</v>
      </c>
      <c r="CC650" t="s">
        <v>154</v>
      </c>
      <c r="CD650">
        <v>2196</v>
      </c>
      <c r="CE650" t="s">
        <v>130</v>
      </c>
      <c r="CF650" s="3">
        <v>44600</v>
      </c>
      <c r="CI650">
        <v>3</v>
      </c>
      <c r="CJ650">
        <v>1</v>
      </c>
      <c r="CK650">
        <v>41</v>
      </c>
      <c r="CL650" t="s">
        <v>84</v>
      </c>
    </row>
    <row r="651" spans="1:90" x14ac:dyDescent="0.25">
      <c r="A651" t="s">
        <v>1417</v>
      </c>
      <c r="B651" t="s">
        <v>1400</v>
      </c>
      <c r="C651" t="s">
        <v>74</v>
      </c>
      <c r="E651" t="str">
        <f>"009942122822"</f>
        <v>009942122822</v>
      </c>
      <c r="F651" s="3">
        <v>44596</v>
      </c>
      <c r="G651">
        <v>202208</v>
      </c>
      <c r="H651" t="s">
        <v>496</v>
      </c>
      <c r="I651" t="s">
        <v>497</v>
      </c>
      <c r="J651" t="s">
        <v>1401</v>
      </c>
      <c r="K651" t="s">
        <v>78</v>
      </c>
      <c r="L651" t="s">
        <v>75</v>
      </c>
      <c r="M651" t="s">
        <v>76</v>
      </c>
      <c r="N651" t="s">
        <v>1401</v>
      </c>
      <c r="O651" t="s">
        <v>125</v>
      </c>
      <c r="P651" t="str">
        <f t="shared" si="10"/>
        <v xml:space="preserve">                              </v>
      </c>
      <c r="Q651">
        <v>0</v>
      </c>
      <c r="R651">
        <v>0</v>
      </c>
      <c r="S651">
        <v>0</v>
      </c>
      <c r="T651">
        <v>0</v>
      </c>
      <c r="U651">
        <v>0</v>
      </c>
      <c r="V651">
        <v>0</v>
      </c>
      <c r="W651">
        <v>0</v>
      </c>
      <c r="X651">
        <v>0</v>
      </c>
      <c r="Y651">
        <v>0</v>
      </c>
      <c r="Z651">
        <v>0</v>
      </c>
      <c r="AA651">
        <v>0</v>
      </c>
      <c r="AB651">
        <v>0</v>
      </c>
      <c r="AC651">
        <v>0</v>
      </c>
      <c r="AD651">
        <v>0</v>
      </c>
      <c r="AE651">
        <v>0</v>
      </c>
      <c r="AF651">
        <v>0</v>
      </c>
      <c r="AG651">
        <v>0</v>
      </c>
      <c r="AH651">
        <v>0</v>
      </c>
      <c r="AI651">
        <v>0</v>
      </c>
      <c r="AJ651">
        <v>0</v>
      </c>
      <c r="AK651">
        <v>32.42</v>
      </c>
      <c r="AL651">
        <v>0</v>
      </c>
      <c r="AM651">
        <v>0</v>
      </c>
      <c r="AN651">
        <v>0</v>
      </c>
      <c r="AO651">
        <v>0</v>
      </c>
      <c r="AP651">
        <v>0</v>
      </c>
      <c r="AQ651">
        <v>0</v>
      </c>
      <c r="AR651">
        <v>0</v>
      </c>
      <c r="AS651">
        <v>0</v>
      </c>
      <c r="AT651">
        <v>0</v>
      </c>
      <c r="AU651">
        <v>0</v>
      </c>
      <c r="AV651">
        <v>0</v>
      </c>
      <c r="AW651">
        <v>0</v>
      </c>
      <c r="AX651">
        <v>0</v>
      </c>
      <c r="AY651">
        <v>0</v>
      </c>
      <c r="AZ651">
        <v>0</v>
      </c>
      <c r="BA651">
        <v>0</v>
      </c>
      <c r="BB651">
        <v>0</v>
      </c>
      <c r="BC651">
        <v>0</v>
      </c>
      <c r="BD651">
        <v>0</v>
      </c>
      <c r="BE651">
        <v>0</v>
      </c>
      <c r="BF651">
        <v>0</v>
      </c>
      <c r="BG651">
        <v>0</v>
      </c>
      <c r="BH651">
        <v>1</v>
      </c>
      <c r="BI651">
        <v>1</v>
      </c>
      <c r="BJ651">
        <v>1.2</v>
      </c>
      <c r="BK651">
        <v>2</v>
      </c>
      <c r="BL651">
        <v>121.87</v>
      </c>
      <c r="BM651">
        <v>18.28</v>
      </c>
      <c r="BN651">
        <v>140.15</v>
      </c>
      <c r="BO651">
        <v>140.15</v>
      </c>
      <c r="BQ651" t="s">
        <v>1581</v>
      </c>
      <c r="BR651" t="s">
        <v>1743</v>
      </c>
      <c r="BS651" s="3">
        <v>44601</v>
      </c>
      <c r="BT651" s="4">
        <v>0.38680555555555557</v>
      </c>
      <c r="BU651" t="s">
        <v>1513</v>
      </c>
      <c r="BV651" t="s">
        <v>84</v>
      </c>
      <c r="BW651" t="s">
        <v>85</v>
      </c>
      <c r="BX651" t="s">
        <v>233</v>
      </c>
      <c r="BY651">
        <v>6000</v>
      </c>
      <c r="BZ651" t="s">
        <v>137</v>
      </c>
      <c r="CC651" t="s">
        <v>76</v>
      </c>
      <c r="CD651">
        <v>8000</v>
      </c>
      <c r="CE651" t="s">
        <v>130</v>
      </c>
      <c r="CF651" s="3">
        <v>44602</v>
      </c>
      <c r="CI651">
        <v>1</v>
      </c>
      <c r="CJ651">
        <v>3</v>
      </c>
      <c r="CK651">
        <v>41</v>
      </c>
      <c r="CL651" t="s">
        <v>84</v>
      </c>
    </row>
    <row r="652" spans="1:90" x14ac:dyDescent="0.25">
      <c r="A652" t="s">
        <v>1417</v>
      </c>
      <c r="B652" t="s">
        <v>1400</v>
      </c>
      <c r="C652" t="s">
        <v>74</v>
      </c>
      <c r="E652" t="str">
        <f>"080010390235"</f>
        <v>080010390235</v>
      </c>
      <c r="F652" s="3">
        <v>44599</v>
      </c>
      <c r="G652">
        <v>202208</v>
      </c>
      <c r="H652" t="s">
        <v>384</v>
      </c>
      <c r="I652" t="s">
        <v>385</v>
      </c>
      <c r="J652" t="s">
        <v>1483</v>
      </c>
      <c r="K652" t="s">
        <v>78</v>
      </c>
      <c r="L652" t="s">
        <v>75</v>
      </c>
      <c r="M652" t="s">
        <v>76</v>
      </c>
      <c r="N652" t="s">
        <v>1744</v>
      </c>
      <c r="O652" t="s">
        <v>80</v>
      </c>
      <c r="P652" t="str">
        <f>"Locks                         "</f>
        <v xml:space="preserve">Locks                         </v>
      </c>
      <c r="Q652">
        <v>0</v>
      </c>
      <c r="R652">
        <v>0</v>
      </c>
      <c r="S652">
        <v>0</v>
      </c>
      <c r="T652">
        <v>0</v>
      </c>
      <c r="U652">
        <v>0</v>
      </c>
      <c r="V652">
        <v>0</v>
      </c>
      <c r="W652">
        <v>0</v>
      </c>
      <c r="X652">
        <v>0</v>
      </c>
      <c r="Y652">
        <v>0</v>
      </c>
      <c r="Z652">
        <v>0</v>
      </c>
      <c r="AA652">
        <v>0</v>
      </c>
      <c r="AB652">
        <v>0</v>
      </c>
      <c r="AC652">
        <v>0</v>
      </c>
      <c r="AD652">
        <v>0</v>
      </c>
      <c r="AE652">
        <v>0</v>
      </c>
      <c r="AF652">
        <v>0</v>
      </c>
      <c r="AG652">
        <v>0</v>
      </c>
      <c r="AH652">
        <v>0</v>
      </c>
      <c r="AI652">
        <v>0</v>
      </c>
      <c r="AJ652">
        <v>0</v>
      </c>
      <c r="AK652">
        <v>16.760000000000002</v>
      </c>
      <c r="AL652">
        <v>0</v>
      </c>
      <c r="AM652">
        <v>0</v>
      </c>
      <c r="AN652">
        <v>0</v>
      </c>
      <c r="AO652">
        <v>0</v>
      </c>
      <c r="AP652">
        <v>0</v>
      </c>
      <c r="AQ652">
        <v>0</v>
      </c>
      <c r="AR652">
        <v>0</v>
      </c>
      <c r="AS652">
        <v>0</v>
      </c>
      <c r="AT652">
        <v>0</v>
      </c>
      <c r="AU652">
        <v>0</v>
      </c>
      <c r="AV652">
        <v>0</v>
      </c>
      <c r="AW652">
        <v>0</v>
      </c>
      <c r="AX652">
        <v>0</v>
      </c>
      <c r="AY652">
        <v>0</v>
      </c>
      <c r="AZ652">
        <v>0</v>
      </c>
      <c r="BA652">
        <v>0</v>
      </c>
      <c r="BB652">
        <v>0</v>
      </c>
      <c r="BC652">
        <v>0</v>
      </c>
      <c r="BD652">
        <v>0</v>
      </c>
      <c r="BE652">
        <v>0</v>
      </c>
      <c r="BF652">
        <v>0</v>
      </c>
      <c r="BG652">
        <v>0</v>
      </c>
      <c r="BH652">
        <v>1</v>
      </c>
      <c r="BI652">
        <v>1</v>
      </c>
      <c r="BJ652">
        <v>0.2</v>
      </c>
      <c r="BK652">
        <v>1</v>
      </c>
      <c r="BL652">
        <v>60.3</v>
      </c>
      <c r="BM652">
        <v>9.0500000000000007</v>
      </c>
      <c r="BN652">
        <v>69.349999999999994</v>
      </c>
      <c r="BO652">
        <v>69.349999999999994</v>
      </c>
      <c r="BP652" t="s">
        <v>653</v>
      </c>
      <c r="BQ652" t="s">
        <v>1745</v>
      </c>
      <c r="BR652" t="s">
        <v>1505</v>
      </c>
      <c r="BS652" s="3">
        <v>44600</v>
      </c>
      <c r="BT652" s="4">
        <v>0.37847222222222227</v>
      </c>
      <c r="BU652" t="s">
        <v>1628</v>
      </c>
      <c r="BV652" t="s">
        <v>101</v>
      </c>
      <c r="BY652">
        <v>1200</v>
      </c>
      <c r="BZ652" t="s">
        <v>87</v>
      </c>
      <c r="CA652" t="s">
        <v>1514</v>
      </c>
      <c r="CC652" t="s">
        <v>76</v>
      </c>
      <c r="CD652">
        <v>7700</v>
      </c>
      <c r="CE652" t="s">
        <v>1487</v>
      </c>
      <c r="CF652" s="3">
        <v>44601</v>
      </c>
      <c r="CI652">
        <v>1</v>
      </c>
      <c r="CJ652">
        <v>1</v>
      </c>
      <c r="CK652">
        <v>21</v>
      </c>
      <c r="CL652" t="s">
        <v>84</v>
      </c>
    </row>
    <row r="653" spans="1:90" x14ac:dyDescent="0.25">
      <c r="A653" t="s">
        <v>1417</v>
      </c>
      <c r="B653" t="s">
        <v>1400</v>
      </c>
      <c r="C653" t="s">
        <v>74</v>
      </c>
      <c r="E653" t="str">
        <f>"080010390185"</f>
        <v>080010390185</v>
      </c>
      <c r="F653" s="3">
        <v>44599</v>
      </c>
      <c r="G653">
        <v>202208</v>
      </c>
      <c r="H653" t="s">
        <v>384</v>
      </c>
      <c r="I653" t="s">
        <v>385</v>
      </c>
      <c r="J653" t="s">
        <v>1483</v>
      </c>
      <c r="K653" t="s">
        <v>78</v>
      </c>
      <c r="L653" t="s">
        <v>153</v>
      </c>
      <c r="M653" t="s">
        <v>154</v>
      </c>
      <c r="N653" t="s">
        <v>1402</v>
      </c>
      <c r="O653" t="s">
        <v>80</v>
      </c>
      <c r="P653" t="str">
        <f>"Locks                         "</f>
        <v xml:space="preserve">Locks                         </v>
      </c>
      <c r="Q653">
        <v>0</v>
      </c>
      <c r="R653">
        <v>0</v>
      </c>
      <c r="S653">
        <v>0</v>
      </c>
      <c r="T653">
        <v>0</v>
      </c>
      <c r="U653">
        <v>0</v>
      </c>
      <c r="V653">
        <v>0</v>
      </c>
      <c r="W653">
        <v>0</v>
      </c>
      <c r="X653">
        <v>0</v>
      </c>
      <c r="Y653">
        <v>0</v>
      </c>
      <c r="Z653">
        <v>0</v>
      </c>
      <c r="AA653">
        <v>0</v>
      </c>
      <c r="AB653">
        <v>0</v>
      </c>
      <c r="AC653">
        <v>0</v>
      </c>
      <c r="AD653">
        <v>0</v>
      </c>
      <c r="AE653">
        <v>0</v>
      </c>
      <c r="AF653">
        <v>0</v>
      </c>
      <c r="AG653">
        <v>0</v>
      </c>
      <c r="AH653">
        <v>0</v>
      </c>
      <c r="AI653">
        <v>0</v>
      </c>
      <c r="AJ653">
        <v>0</v>
      </c>
      <c r="AK653">
        <v>13.09</v>
      </c>
      <c r="AL653">
        <v>0</v>
      </c>
      <c r="AM653">
        <v>0</v>
      </c>
      <c r="AN653">
        <v>0</v>
      </c>
      <c r="AO653">
        <v>0</v>
      </c>
      <c r="AP653">
        <v>0</v>
      </c>
      <c r="AQ653">
        <v>0</v>
      </c>
      <c r="AR653">
        <v>0</v>
      </c>
      <c r="AS653">
        <v>0</v>
      </c>
      <c r="AT653">
        <v>0</v>
      </c>
      <c r="AU653">
        <v>0</v>
      </c>
      <c r="AV653">
        <v>0</v>
      </c>
      <c r="AW653">
        <v>0</v>
      </c>
      <c r="AX653">
        <v>0</v>
      </c>
      <c r="AY653">
        <v>0</v>
      </c>
      <c r="AZ653">
        <v>0</v>
      </c>
      <c r="BA653">
        <v>0</v>
      </c>
      <c r="BB653">
        <v>0</v>
      </c>
      <c r="BC653">
        <v>0</v>
      </c>
      <c r="BD653">
        <v>0</v>
      </c>
      <c r="BE653">
        <v>0</v>
      </c>
      <c r="BF653">
        <v>0</v>
      </c>
      <c r="BG653">
        <v>0</v>
      </c>
      <c r="BH653">
        <v>1</v>
      </c>
      <c r="BI653">
        <v>1</v>
      </c>
      <c r="BJ653">
        <v>0.2</v>
      </c>
      <c r="BK653">
        <v>1</v>
      </c>
      <c r="BL653">
        <v>47.1</v>
      </c>
      <c r="BM653">
        <v>7.07</v>
      </c>
      <c r="BN653">
        <v>54.17</v>
      </c>
      <c r="BO653">
        <v>54.17</v>
      </c>
      <c r="BP653" t="s">
        <v>653</v>
      </c>
      <c r="BQ653" t="s">
        <v>1746</v>
      </c>
      <c r="BR653" t="s">
        <v>1505</v>
      </c>
      <c r="BS653" s="3">
        <v>44600</v>
      </c>
      <c r="BT653" s="4">
        <v>0.2902777777777778</v>
      </c>
      <c r="BU653" t="s">
        <v>1747</v>
      </c>
      <c r="BV653" t="s">
        <v>101</v>
      </c>
      <c r="BY653">
        <v>1200</v>
      </c>
      <c r="BZ653" t="s">
        <v>87</v>
      </c>
      <c r="CA653" t="s">
        <v>1040</v>
      </c>
      <c r="CC653" t="s">
        <v>154</v>
      </c>
      <c r="CD653">
        <v>2196</v>
      </c>
      <c r="CE653" t="s">
        <v>1487</v>
      </c>
      <c r="CF653" s="3">
        <v>44601</v>
      </c>
      <c r="CI653">
        <v>1</v>
      </c>
      <c r="CJ653">
        <v>1</v>
      </c>
      <c r="CK653">
        <v>22</v>
      </c>
      <c r="CL653" t="s">
        <v>84</v>
      </c>
    </row>
    <row r="654" spans="1:90" x14ac:dyDescent="0.25">
      <c r="A654" t="s">
        <v>1417</v>
      </c>
      <c r="B654" t="s">
        <v>1400</v>
      </c>
      <c r="C654" t="s">
        <v>74</v>
      </c>
      <c r="E654" t="str">
        <f>"009941567772"</f>
        <v>009941567772</v>
      </c>
      <c r="F654" s="3">
        <v>44599</v>
      </c>
      <c r="G654">
        <v>202208</v>
      </c>
      <c r="H654" t="s">
        <v>1436</v>
      </c>
      <c r="I654" t="s">
        <v>1437</v>
      </c>
      <c r="J654" t="s">
        <v>1401</v>
      </c>
      <c r="K654" t="s">
        <v>78</v>
      </c>
      <c r="L654" t="s">
        <v>1249</v>
      </c>
      <c r="M654" t="s">
        <v>1250</v>
      </c>
      <c r="N654" t="s">
        <v>1401</v>
      </c>
      <c r="O654" t="s">
        <v>80</v>
      </c>
      <c r="P654" t="str">
        <f t="shared" ref="P654:P659" si="11">"STORES                        "</f>
        <v xml:space="preserve">STORES                        </v>
      </c>
      <c r="Q654">
        <v>0</v>
      </c>
      <c r="R654">
        <v>0</v>
      </c>
      <c r="S654">
        <v>0</v>
      </c>
      <c r="T654">
        <v>0</v>
      </c>
      <c r="U654">
        <v>0</v>
      </c>
      <c r="V654">
        <v>0</v>
      </c>
      <c r="W654">
        <v>0</v>
      </c>
      <c r="X654">
        <v>0</v>
      </c>
      <c r="Y654">
        <v>0</v>
      </c>
      <c r="Z654">
        <v>0</v>
      </c>
      <c r="AA654">
        <v>0</v>
      </c>
      <c r="AB654">
        <v>0</v>
      </c>
      <c r="AC654">
        <v>0</v>
      </c>
      <c r="AD654">
        <v>0</v>
      </c>
      <c r="AE654">
        <v>0</v>
      </c>
      <c r="AF654">
        <v>0</v>
      </c>
      <c r="AG654">
        <v>0</v>
      </c>
      <c r="AH654">
        <v>0</v>
      </c>
      <c r="AI654">
        <v>0</v>
      </c>
      <c r="AJ654">
        <v>0</v>
      </c>
      <c r="AK654">
        <v>127.82</v>
      </c>
      <c r="AL654">
        <v>0</v>
      </c>
      <c r="AM654">
        <v>0</v>
      </c>
      <c r="AN654">
        <v>0</v>
      </c>
      <c r="AO654">
        <v>0</v>
      </c>
      <c r="AP654">
        <v>0</v>
      </c>
      <c r="AQ654">
        <v>0</v>
      </c>
      <c r="AR654">
        <v>0</v>
      </c>
      <c r="AS654">
        <v>0</v>
      </c>
      <c r="AT654">
        <v>0</v>
      </c>
      <c r="AU654">
        <v>0</v>
      </c>
      <c r="AV654">
        <v>0</v>
      </c>
      <c r="AW654">
        <v>0</v>
      </c>
      <c r="AX654">
        <v>0</v>
      </c>
      <c r="AY654">
        <v>0</v>
      </c>
      <c r="AZ654">
        <v>0</v>
      </c>
      <c r="BA654">
        <v>0</v>
      </c>
      <c r="BB654">
        <v>0</v>
      </c>
      <c r="BC654">
        <v>0</v>
      </c>
      <c r="BD654">
        <v>0</v>
      </c>
      <c r="BE654">
        <v>0</v>
      </c>
      <c r="BF654">
        <v>0</v>
      </c>
      <c r="BG654">
        <v>0</v>
      </c>
      <c r="BH654">
        <v>1</v>
      </c>
      <c r="BI654">
        <v>1</v>
      </c>
      <c r="BJ654">
        <v>8.4</v>
      </c>
      <c r="BK654">
        <v>8.5</v>
      </c>
      <c r="BL654">
        <v>459.83</v>
      </c>
      <c r="BM654">
        <v>68.97</v>
      </c>
      <c r="BN654">
        <v>528.79999999999995</v>
      </c>
      <c r="BO654">
        <v>528.79999999999995</v>
      </c>
      <c r="BQ654" t="s">
        <v>733</v>
      </c>
      <c r="BR654" t="s">
        <v>1748</v>
      </c>
      <c r="BS654" s="3">
        <v>44600</v>
      </c>
      <c r="BT654" s="4">
        <v>0.625</v>
      </c>
      <c r="BU654" t="s">
        <v>1749</v>
      </c>
      <c r="BV654" t="s">
        <v>101</v>
      </c>
      <c r="BY654">
        <v>41845.39</v>
      </c>
      <c r="BZ654" t="s">
        <v>87</v>
      </c>
      <c r="CC654" t="s">
        <v>1250</v>
      </c>
      <c r="CD654">
        <v>4240</v>
      </c>
      <c r="CE654" t="s">
        <v>130</v>
      </c>
      <c r="CF654" s="3">
        <v>44601</v>
      </c>
      <c r="CI654">
        <v>2</v>
      </c>
      <c r="CJ654">
        <v>1</v>
      </c>
      <c r="CK654">
        <v>23</v>
      </c>
      <c r="CL654" t="s">
        <v>84</v>
      </c>
    </row>
    <row r="655" spans="1:90" x14ac:dyDescent="0.25">
      <c r="A655" t="s">
        <v>1417</v>
      </c>
      <c r="B655" t="s">
        <v>1400</v>
      </c>
      <c r="C655" t="s">
        <v>74</v>
      </c>
      <c r="E655" t="str">
        <f>"009941916038"</f>
        <v>009941916038</v>
      </c>
      <c r="F655" s="3">
        <v>44599</v>
      </c>
      <c r="G655">
        <v>202208</v>
      </c>
      <c r="H655" t="s">
        <v>1436</v>
      </c>
      <c r="I655" t="s">
        <v>1437</v>
      </c>
      <c r="J655" t="s">
        <v>1401</v>
      </c>
      <c r="K655" t="s">
        <v>78</v>
      </c>
      <c r="L655" t="s">
        <v>790</v>
      </c>
      <c r="M655" t="s">
        <v>791</v>
      </c>
      <c r="N655" t="s">
        <v>1401</v>
      </c>
      <c r="O655" t="s">
        <v>125</v>
      </c>
      <c r="P655" t="str">
        <f t="shared" si="11"/>
        <v xml:space="preserve">STORES                        </v>
      </c>
      <c r="Q655">
        <v>0</v>
      </c>
      <c r="R655">
        <v>0</v>
      </c>
      <c r="S655">
        <v>0</v>
      </c>
      <c r="T655">
        <v>0</v>
      </c>
      <c r="U655">
        <v>0</v>
      </c>
      <c r="V655">
        <v>0</v>
      </c>
      <c r="W655">
        <v>0</v>
      </c>
      <c r="X655">
        <v>0</v>
      </c>
      <c r="Y655">
        <v>0</v>
      </c>
      <c r="Z655">
        <v>0</v>
      </c>
      <c r="AA655">
        <v>0</v>
      </c>
      <c r="AB655">
        <v>0</v>
      </c>
      <c r="AC655">
        <v>0</v>
      </c>
      <c r="AD655">
        <v>0</v>
      </c>
      <c r="AE655">
        <v>0</v>
      </c>
      <c r="AF655">
        <v>0</v>
      </c>
      <c r="AG655">
        <v>0</v>
      </c>
      <c r="AH655">
        <v>0</v>
      </c>
      <c r="AI655">
        <v>0</v>
      </c>
      <c r="AJ655">
        <v>0</v>
      </c>
      <c r="AK655">
        <v>106.48</v>
      </c>
      <c r="AL655">
        <v>0</v>
      </c>
      <c r="AM655">
        <v>0</v>
      </c>
      <c r="AN655">
        <v>0</v>
      </c>
      <c r="AO655">
        <v>0</v>
      </c>
      <c r="AP655">
        <v>0</v>
      </c>
      <c r="AQ655">
        <v>0</v>
      </c>
      <c r="AR655">
        <v>0</v>
      </c>
      <c r="AS655">
        <v>0</v>
      </c>
      <c r="AT655">
        <v>0</v>
      </c>
      <c r="AU655">
        <v>0</v>
      </c>
      <c r="AV655">
        <v>0</v>
      </c>
      <c r="AW655">
        <v>0</v>
      </c>
      <c r="AX655">
        <v>0</v>
      </c>
      <c r="AY655">
        <v>0</v>
      </c>
      <c r="AZ655">
        <v>0</v>
      </c>
      <c r="BA655">
        <v>0</v>
      </c>
      <c r="BB655">
        <v>0</v>
      </c>
      <c r="BC655">
        <v>0</v>
      </c>
      <c r="BD655">
        <v>0</v>
      </c>
      <c r="BE655">
        <v>0</v>
      </c>
      <c r="BF655">
        <v>0</v>
      </c>
      <c r="BG655">
        <v>0</v>
      </c>
      <c r="BH655">
        <v>1</v>
      </c>
      <c r="BI655">
        <v>19.7</v>
      </c>
      <c r="BJ655">
        <v>40.1</v>
      </c>
      <c r="BK655">
        <v>41</v>
      </c>
      <c r="BL655">
        <v>388.3</v>
      </c>
      <c r="BM655">
        <v>58.25</v>
      </c>
      <c r="BN655">
        <v>446.55</v>
      </c>
      <c r="BO655">
        <v>446.55</v>
      </c>
      <c r="BQ655" t="s">
        <v>733</v>
      </c>
      <c r="BR655" t="s">
        <v>1533</v>
      </c>
      <c r="BS655" s="3">
        <v>44607</v>
      </c>
      <c r="BT655" s="4">
        <v>0.35416666666666669</v>
      </c>
      <c r="BU655" t="s">
        <v>1750</v>
      </c>
      <c r="BV655" t="s">
        <v>84</v>
      </c>
      <c r="BW655" t="s">
        <v>239</v>
      </c>
      <c r="BX655" t="s">
        <v>1751</v>
      </c>
      <c r="BY655">
        <v>200270.07</v>
      </c>
      <c r="BZ655" t="s">
        <v>137</v>
      </c>
      <c r="CC655" t="s">
        <v>791</v>
      </c>
      <c r="CD655">
        <v>5099</v>
      </c>
      <c r="CE655" t="s">
        <v>130</v>
      </c>
      <c r="CF655" s="3">
        <v>44607</v>
      </c>
      <c r="CI655">
        <v>3</v>
      </c>
      <c r="CJ655">
        <v>6</v>
      </c>
      <c r="CK655">
        <v>43</v>
      </c>
      <c r="CL655" t="s">
        <v>84</v>
      </c>
    </row>
    <row r="656" spans="1:90" x14ac:dyDescent="0.25">
      <c r="A656" t="s">
        <v>1417</v>
      </c>
      <c r="B656" t="s">
        <v>1400</v>
      </c>
      <c r="C656" t="s">
        <v>74</v>
      </c>
      <c r="E656" t="str">
        <f>"009941916039"</f>
        <v>009941916039</v>
      </c>
      <c r="F656" s="3">
        <v>44599</v>
      </c>
      <c r="G656">
        <v>202208</v>
      </c>
      <c r="H656" t="s">
        <v>1436</v>
      </c>
      <c r="I656" t="s">
        <v>1437</v>
      </c>
      <c r="J656" t="s">
        <v>1401</v>
      </c>
      <c r="K656" t="s">
        <v>78</v>
      </c>
      <c r="L656" t="s">
        <v>1599</v>
      </c>
      <c r="M656" t="s">
        <v>1600</v>
      </c>
      <c r="N656" t="s">
        <v>1401</v>
      </c>
      <c r="O656" t="s">
        <v>125</v>
      </c>
      <c r="P656" t="str">
        <f t="shared" si="11"/>
        <v xml:space="preserve">STORES                        </v>
      </c>
      <c r="Q656">
        <v>0</v>
      </c>
      <c r="R656">
        <v>0</v>
      </c>
      <c r="S656">
        <v>0</v>
      </c>
      <c r="T656">
        <v>0</v>
      </c>
      <c r="U656">
        <v>0</v>
      </c>
      <c r="V656">
        <v>0</v>
      </c>
      <c r="W656">
        <v>0</v>
      </c>
      <c r="X656">
        <v>0</v>
      </c>
      <c r="Y656">
        <v>0</v>
      </c>
      <c r="Z656">
        <v>0</v>
      </c>
      <c r="AA656">
        <v>0</v>
      </c>
      <c r="AB656">
        <v>0</v>
      </c>
      <c r="AC656">
        <v>0</v>
      </c>
      <c r="AD656">
        <v>0</v>
      </c>
      <c r="AE656">
        <v>0</v>
      </c>
      <c r="AF656">
        <v>0</v>
      </c>
      <c r="AG656">
        <v>0</v>
      </c>
      <c r="AH656">
        <v>0</v>
      </c>
      <c r="AI656">
        <v>0</v>
      </c>
      <c r="AJ656">
        <v>0</v>
      </c>
      <c r="AK656">
        <v>162.57</v>
      </c>
      <c r="AL656">
        <v>0</v>
      </c>
      <c r="AM656">
        <v>0</v>
      </c>
      <c r="AN656">
        <v>0</v>
      </c>
      <c r="AO656">
        <v>0</v>
      </c>
      <c r="AP656">
        <v>0</v>
      </c>
      <c r="AQ656">
        <v>0</v>
      </c>
      <c r="AR656">
        <v>0</v>
      </c>
      <c r="AS656">
        <v>0</v>
      </c>
      <c r="AT656">
        <v>0</v>
      </c>
      <c r="AU656">
        <v>0</v>
      </c>
      <c r="AV656">
        <v>0</v>
      </c>
      <c r="AW656">
        <v>0</v>
      </c>
      <c r="AX656">
        <v>0</v>
      </c>
      <c r="AY656">
        <v>0</v>
      </c>
      <c r="AZ656">
        <v>0</v>
      </c>
      <c r="BA656">
        <v>0</v>
      </c>
      <c r="BB656">
        <v>0</v>
      </c>
      <c r="BC656">
        <v>0</v>
      </c>
      <c r="BD656">
        <v>0</v>
      </c>
      <c r="BE656">
        <v>0</v>
      </c>
      <c r="BF656">
        <v>0</v>
      </c>
      <c r="BG656">
        <v>0</v>
      </c>
      <c r="BH656">
        <v>4</v>
      </c>
      <c r="BI656">
        <v>64.400000000000006</v>
      </c>
      <c r="BJ656">
        <v>52.4</v>
      </c>
      <c r="BK656">
        <v>65</v>
      </c>
      <c r="BL656">
        <v>590.07000000000005</v>
      </c>
      <c r="BM656">
        <v>88.51</v>
      </c>
      <c r="BN656">
        <v>678.58</v>
      </c>
      <c r="BO656">
        <v>678.58</v>
      </c>
      <c r="BQ656" t="s">
        <v>733</v>
      </c>
      <c r="BR656" t="s">
        <v>1533</v>
      </c>
      <c r="BS656" s="3">
        <v>44600</v>
      </c>
      <c r="BT656" s="4">
        <v>0.61111111111111105</v>
      </c>
      <c r="BU656" t="s">
        <v>1752</v>
      </c>
      <c r="BV656" t="s">
        <v>101</v>
      </c>
      <c r="BY656">
        <v>261993.95</v>
      </c>
      <c r="BZ656" t="s">
        <v>137</v>
      </c>
      <c r="CA656" t="s">
        <v>1679</v>
      </c>
      <c r="CC656" t="s">
        <v>1600</v>
      </c>
      <c r="CD656">
        <v>1150</v>
      </c>
      <c r="CE656" t="s">
        <v>130</v>
      </c>
      <c r="CF656" s="3">
        <v>44600</v>
      </c>
      <c r="CI656">
        <v>2</v>
      </c>
      <c r="CJ656">
        <v>1</v>
      </c>
      <c r="CK656">
        <v>43</v>
      </c>
      <c r="CL656" t="s">
        <v>84</v>
      </c>
    </row>
    <row r="657" spans="1:90" x14ac:dyDescent="0.25">
      <c r="A657" t="s">
        <v>1417</v>
      </c>
      <c r="B657" t="s">
        <v>1400</v>
      </c>
      <c r="C657" t="s">
        <v>74</v>
      </c>
      <c r="E657" t="str">
        <f>"009941915499"</f>
        <v>009941915499</v>
      </c>
      <c r="F657" s="3">
        <v>44599</v>
      </c>
      <c r="G657">
        <v>202208</v>
      </c>
      <c r="H657" t="s">
        <v>1436</v>
      </c>
      <c r="I657" t="s">
        <v>1437</v>
      </c>
      <c r="J657" t="s">
        <v>1401</v>
      </c>
      <c r="K657" t="s">
        <v>78</v>
      </c>
      <c r="L657" t="s">
        <v>1185</v>
      </c>
      <c r="M657" t="s">
        <v>1186</v>
      </c>
      <c r="N657" t="s">
        <v>1401</v>
      </c>
      <c r="O657" t="s">
        <v>125</v>
      </c>
      <c r="P657" t="str">
        <f t="shared" si="11"/>
        <v xml:space="preserve">STORES                        </v>
      </c>
      <c r="Q657">
        <v>0</v>
      </c>
      <c r="R657">
        <v>0</v>
      </c>
      <c r="S657">
        <v>0</v>
      </c>
      <c r="T657">
        <v>0</v>
      </c>
      <c r="U657">
        <v>0</v>
      </c>
      <c r="V657">
        <v>0</v>
      </c>
      <c r="W657">
        <v>0</v>
      </c>
      <c r="X657">
        <v>0</v>
      </c>
      <c r="Y657">
        <v>0</v>
      </c>
      <c r="Z657">
        <v>0</v>
      </c>
      <c r="AA657">
        <v>0</v>
      </c>
      <c r="AB657">
        <v>0</v>
      </c>
      <c r="AC657">
        <v>0</v>
      </c>
      <c r="AD657">
        <v>0</v>
      </c>
      <c r="AE657">
        <v>0</v>
      </c>
      <c r="AF657">
        <v>0</v>
      </c>
      <c r="AG657">
        <v>0</v>
      </c>
      <c r="AH657">
        <v>0</v>
      </c>
      <c r="AI657">
        <v>0</v>
      </c>
      <c r="AJ657">
        <v>0</v>
      </c>
      <c r="AK657">
        <v>157.88999999999999</v>
      </c>
      <c r="AL657">
        <v>0</v>
      </c>
      <c r="AM657">
        <v>0</v>
      </c>
      <c r="AN657">
        <v>0</v>
      </c>
      <c r="AO657">
        <v>0</v>
      </c>
      <c r="AP657">
        <v>0</v>
      </c>
      <c r="AQ657">
        <v>0</v>
      </c>
      <c r="AR657">
        <v>0</v>
      </c>
      <c r="AS657">
        <v>0</v>
      </c>
      <c r="AT657">
        <v>0</v>
      </c>
      <c r="AU657">
        <v>0</v>
      </c>
      <c r="AV657">
        <v>0</v>
      </c>
      <c r="AW657">
        <v>0</v>
      </c>
      <c r="AX657">
        <v>0</v>
      </c>
      <c r="AY657">
        <v>0</v>
      </c>
      <c r="AZ657">
        <v>0</v>
      </c>
      <c r="BA657">
        <v>0</v>
      </c>
      <c r="BB657">
        <v>0</v>
      </c>
      <c r="BC657">
        <v>0</v>
      </c>
      <c r="BD657">
        <v>0</v>
      </c>
      <c r="BE657">
        <v>0</v>
      </c>
      <c r="BF657">
        <v>0</v>
      </c>
      <c r="BG657">
        <v>0</v>
      </c>
      <c r="BH657">
        <v>3</v>
      </c>
      <c r="BI657">
        <v>62.5</v>
      </c>
      <c r="BJ657">
        <v>30.8</v>
      </c>
      <c r="BK657">
        <v>63</v>
      </c>
      <c r="BL657">
        <v>573.25</v>
      </c>
      <c r="BM657">
        <v>85.99</v>
      </c>
      <c r="BN657">
        <v>659.24</v>
      </c>
      <c r="BO657">
        <v>659.24</v>
      </c>
      <c r="BQ657" t="s">
        <v>733</v>
      </c>
      <c r="BR657" t="s">
        <v>1533</v>
      </c>
      <c r="BS657" s="3">
        <v>44600</v>
      </c>
      <c r="BT657" s="4">
        <v>0.65069444444444446</v>
      </c>
      <c r="BU657" t="s">
        <v>1556</v>
      </c>
      <c r="BV657" t="s">
        <v>101</v>
      </c>
      <c r="BY657">
        <v>153917.20000000001</v>
      </c>
      <c r="BZ657" t="s">
        <v>137</v>
      </c>
      <c r="CA657" t="s">
        <v>1368</v>
      </c>
      <c r="CC657" t="s">
        <v>1186</v>
      </c>
      <c r="CD657">
        <v>850</v>
      </c>
      <c r="CE657" t="s">
        <v>130</v>
      </c>
      <c r="CF657" s="3">
        <v>44600</v>
      </c>
      <c r="CI657">
        <v>1</v>
      </c>
      <c r="CJ657">
        <v>1</v>
      </c>
      <c r="CK657">
        <v>43</v>
      </c>
      <c r="CL657" t="s">
        <v>84</v>
      </c>
    </row>
    <row r="658" spans="1:90" x14ac:dyDescent="0.25">
      <c r="A658" t="s">
        <v>1417</v>
      </c>
      <c r="B658" t="s">
        <v>1400</v>
      </c>
      <c r="C658" t="s">
        <v>74</v>
      </c>
      <c r="E658" t="str">
        <f>"009941915003"</f>
        <v>009941915003</v>
      </c>
      <c r="F658" s="3">
        <v>44599</v>
      </c>
      <c r="G658">
        <v>202208</v>
      </c>
      <c r="H658" t="s">
        <v>1436</v>
      </c>
      <c r="I658" t="s">
        <v>1437</v>
      </c>
      <c r="J658" t="s">
        <v>1401</v>
      </c>
      <c r="K658" t="s">
        <v>78</v>
      </c>
      <c r="L658" t="s">
        <v>496</v>
      </c>
      <c r="M658" t="s">
        <v>497</v>
      </c>
      <c r="N658" t="s">
        <v>1605</v>
      </c>
      <c r="O658" t="s">
        <v>125</v>
      </c>
      <c r="P658" t="str">
        <f t="shared" si="11"/>
        <v xml:space="preserve">STORES                        </v>
      </c>
      <c r="Q658">
        <v>0</v>
      </c>
      <c r="R658">
        <v>0</v>
      </c>
      <c r="S658">
        <v>0</v>
      </c>
      <c r="T658">
        <v>0</v>
      </c>
      <c r="U658">
        <v>0</v>
      </c>
      <c r="V658">
        <v>0</v>
      </c>
      <c r="W658">
        <v>0</v>
      </c>
      <c r="X658">
        <v>0</v>
      </c>
      <c r="Y658">
        <v>0</v>
      </c>
      <c r="Z658">
        <v>0</v>
      </c>
      <c r="AA658">
        <v>0</v>
      </c>
      <c r="AB658">
        <v>0</v>
      </c>
      <c r="AC658">
        <v>0</v>
      </c>
      <c r="AD658">
        <v>0</v>
      </c>
      <c r="AE658">
        <v>0</v>
      </c>
      <c r="AF658">
        <v>0</v>
      </c>
      <c r="AG658">
        <v>0</v>
      </c>
      <c r="AH658">
        <v>0</v>
      </c>
      <c r="AI658">
        <v>0</v>
      </c>
      <c r="AJ658">
        <v>0</v>
      </c>
      <c r="AK658">
        <v>155.32</v>
      </c>
      <c r="AL658">
        <v>0</v>
      </c>
      <c r="AM658">
        <v>0</v>
      </c>
      <c r="AN658">
        <v>0</v>
      </c>
      <c r="AO658">
        <v>0</v>
      </c>
      <c r="AP658">
        <v>0</v>
      </c>
      <c r="AQ658">
        <v>0</v>
      </c>
      <c r="AR658">
        <v>0</v>
      </c>
      <c r="AS658">
        <v>0</v>
      </c>
      <c r="AT658">
        <v>0</v>
      </c>
      <c r="AU658">
        <v>0</v>
      </c>
      <c r="AV658">
        <v>0</v>
      </c>
      <c r="AW658">
        <v>0</v>
      </c>
      <c r="AX658">
        <v>0</v>
      </c>
      <c r="AY658">
        <v>0</v>
      </c>
      <c r="AZ658">
        <v>0</v>
      </c>
      <c r="BA658">
        <v>0</v>
      </c>
      <c r="BB658">
        <v>0</v>
      </c>
      <c r="BC658">
        <v>0</v>
      </c>
      <c r="BD658">
        <v>0</v>
      </c>
      <c r="BE658">
        <v>0</v>
      </c>
      <c r="BF658">
        <v>0</v>
      </c>
      <c r="BG658">
        <v>0</v>
      </c>
      <c r="BH658">
        <v>3</v>
      </c>
      <c r="BI658">
        <v>61.1</v>
      </c>
      <c r="BJ658">
        <v>106.8</v>
      </c>
      <c r="BK658">
        <v>107</v>
      </c>
      <c r="BL658">
        <v>564.01</v>
      </c>
      <c r="BM658">
        <v>84.6</v>
      </c>
      <c r="BN658">
        <v>648.61</v>
      </c>
      <c r="BO658">
        <v>648.61</v>
      </c>
      <c r="BQ658" t="s">
        <v>733</v>
      </c>
      <c r="BR658" t="s">
        <v>733</v>
      </c>
      <c r="BS658" s="3">
        <v>44601</v>
      </c>
      <c r="BT658" s="4">
        <v>0.61041666666666672</v>
      </c>
      <c r="BU658" t="s">
        <v>1753</v>
      </c>
      <c r="BV658" t="s">
        <v>101</v>
      </c>
      <c r="BY658">
        <v>533782.12</v>
      </c>
      <c r="BZ658" t="s">
        <v>137</v>
      </c>
      <c r="CC658" t="s">
        <v>497</v>
      </c>
      <c r="CD658">
        <v>6530</v>
      </c>
      <c r="CE658" t="s">
        <v>130</v>
      </c>
      <c r="CF658" s="3">
        <v>44602</v>
      </c>
      <c r="CI658">
        <v>2</v>
      </c>
      <c r="CJ658">
        <v>2</v>
      </c>
      <c r="CK658">
        <v>41</v>
      </c>
      <c r="CL658" t="s">
        <v>84</v>
      </c>
    </row>
    <row r="659" spans="1:90" x14ac:dyDescent="0.25">
      <c r="A659" t="s">
        <v>1417</v>
      </c>
      <c r="B659" t="s">
        <v>1400</v>
      </c>
      <c r="C659" t="s">
        <v>74</v>
      </c>
      <c r="E659" t="str">
        <f>"009941635507"</f>
        <v>009941635507</v>
      </c>
      <c r="F659" s="3">
        <v>44599</v>
      </c>
      <c r="G659">
        <v>202208</v>
      </c>
      <c r="H659" t="s">
        <v>1436</v>
      </c>
      <c r="I659" t="s">
        <v>1437</v>
      </c>
      <c r="J659" t="s">
        <v>1401</v>
      </c>
      <c r="K659" t="s">
        <v>78</v>
      </c>
      <c r="L659" t="s">
        <v>131</v>
      </c>
      <c r="M659" t="s">
        <v>132</v>
      </c>
      <c r="N659" t="s">
        <v>1401</v>
      </c>
      <c r="O659" t="s">
        <v>80</v>
      </c>
      <c r="P659" t="str">
        <f t="shared" si="11"/>
        <v xml:space="preserve">STORES                        </v>
      </c>
      <c r="Q659">
        <v>0</v>
      </c>
      <c r="R659">
        <v>0</v>
      </c>
      <c r="S659">
        <v>0</v>
      </c>
      <c r="T659">
        <v>0</v>
      </c>
      <c r="U659">
        <v>0</v>
      </c>
      <c r="V659">
        <v>0</v>
      </c>
      <c r="W659">
        <v>0</v>
      </c>
      <c r="X659">
        <v>0</v>
      </c>
      <c r="Y659">
        <v>0</v>
      </c>
      <c r="Z659">
        <v>0</v>
      </c>
      <c r="AA659">
        <v>0</v>
      </c>
      <c r="AB659">
        <v>0</v>
      </c>
      <c r="AC659">
        <v>0</v>
      </c>
      <c r="AD659">
        <v>0</v>
      </c>
      <c r="AE659">
        <v>0</v>
      </c>
      <c r="AF659">
        <v>0</v>
      </c>
      <c r="AG659">
        <v>0</v>
      </c>
      <c r="AH659">
        <v>0</v>
      </c>
      <c r="AI659">
        <v>0</v>
      </c>
      <c r="AJ659">
        <v>0</v>
      </c>
      <c r="AK659">
        <v>16.760000000000002</v>
      </c>
      <c r="AL659">
        <v>0</v>
      </c>
      <c r="AM659">
        <v>0</v>
      </c>
      <c r="AN659">
        <v>0</v>
      </c>
      <c r="AO659">
        <v>0</v>
      </c>
      <c r="AP659">
        <v>0</v>
      </c>
      <c r="AQ659">
        <v>0</v>
      </c>
      <c r="AR659">
        <v>0</v>
      </c>
      <c r="AS659">
        <v>0</v>
      </c>
      <c r="AT659">
        <v>0</v>
      </c>
      <c r="AU659">
        <v>0</v>
      </c>
      <c r="AV659">
        <v>0</v>
      </c>
      <c r="AW659">
        <v>0</v>
      </c>
      <c r="AX659">
        <v>0</v>
      </c>
      <c r="AY659">
        <v>0</v>
      </c>
      <c r="AZ659">
        <v>0</v>
      </c>
      <c r="BA659">
        <v>0</v>
      </c>
      <c r="BB659">
        <v>0</v>
      </c>
      <c r="BC659">
        <v>0</v>
      </c>
      <c r="BD659">
        <v>0</v>
      </c>
      <c r="BE659">
        <v>0</v>
      </c>
      <c r="BF659">
        <v>0</v>
      </c>
      <c r="BG659">
        <v>0</v>
      </c>
      <c r="BH659">
        <v>1</v>
      </c>
      <c r="BI659">
        <v>1</v>
      </c>
      <c r="BJ659">
        <v>0.2</v>
      </c>
      <c r="BK659">
        <v>1</v>
      </c>
      <c r="BL659">
        <v>60.3</v>
      </c>
      <c r="BM659">
        <v>9.0500000000000007</v>
      </c>
      <c r="BN659">
        <v>69.349999999999994</v>
      </c>
      <c r="BO659">
        <v>69.349999999999994</v>
      </c>
      <c r="BQ659" t="s">
        <v>733</v>
      </c>
      <c r="BR659" t="s">
        <v>1580</v>
      </c>
      <c r="BS659" s="3">
        <v>44600</v>
      </c>
      <c r="BT659" s="4">
        <v>0.36319444444444443</v>
      </c>
      <c r="BU659" t="s">
        <v>1491</v>
      </c>
      <c r="BV659" t="s">
        <v>101</v>
      </c>
      <c r="BY659">
        <v>1200</v>
      </c>
      <c r="BZ659" t="s">
        <v>87</v>
      </c>
      <c r="CA659" t="s">
        <v>1492</v>
      </c>
      <c r="CC659" t="s">
        <v>132</v>
      </c>
      <c r="CD659">
        <v>4091</v>
      </c>
      <c r="CE659" t="s">
        <v>130</v>
      </c>
      <c r="CF659" s="3">
        <v>44601</v>
      </c>
      <c r="CI659">
        <v>1</v>
      </c>
      <c r="CJ659">
        <v>1</v>
      </c>
      <c r="CK659">
        <v>21</v>
      </c>
      <c r="CL659" t="s">
        <v>84</v>
      </c>
    </row>
    <row r="660" spans="1:90" x14ac:dyDescent="0.25">
      <c r="A660" t="s">
        <v>1399</v>
      </c>
      <c r="B660" t="s">
        <v>1400</v>
      </c>
      <c r="C660" t="s">
        <v>74</v>
      </c>
      <c r="E660" t="str">
        <f>"009940901453"</f>
        <v>009940901453</v>
      </c>
      <c r="F660" s="3">
        <v>44599</v>
      </c>
      <c r="G660">
        <v>202208</v>
      </c>
      <c r="H660" t="s">
        <v>401</v>
      </c>
      <c r="I660" t="s">
        <v>402</v>
      </c>
      <c r="J660" t="s">
        <v>1401</v>
      </c>
      <c r="K660" t="s">
        <v>78</v>
      </c>
      <c r="L660" t="s">
        <v>1185</v>
      </c>
      <c r="M660" t="s">
        <v>1186</v>
      </c>
      <c r="N660" t="s">
        <v>1554</v>
      </c>
      <c r="O660" t="s">
        <v>125</v>
      </c>
      <c r="P660" t="str">
        <f>"                              "</f>
        <v xml:space="preserve">                              </v>
      </c>
      <c r="Q660">
        <v>0</v>
      </c>
      <c r="R660">
        <v>0</v>
      </c>
      <c r="S660">
        <v>0</v>
      </c>
      <c r="T660">
        <v>0</v>
      </c>
      <c r="U660">
        <v>0</v>
      </c>
      <c r="V660">
        <v>0</v>
      </c>
      <c r="W660">
        <v>0</v>
      </c>
      <c r="X660">
        <v>0</v>
      </c>
      <c r="Y660">
        <v>0</v>
      </c>
      <c r="Z660">
        <v>0</v>
      </c>
      <c r="AA660">
        <v>0</v>
      </c>
      <c r="AB660">
        <v>0</v>
      </c>
      <c r="AC660">
        <v>0</v>
      </c>
      <c r="AD660">
        <v>0</v>
      </c>
      <c r="AE660">
        <v>0</v>
      </c>
      <c r="AF660">
        <v>0</v>
      </c>
      <c r="AG660">
        <v>0</v>
      </c>
      <c r="AH660">
        <v>0</v>
      </c>
      <c r="AI660">
        <v>0</v>
      </c>
      <c r="AJ660">
        <v>0</v>
      </c>
      <c r="AK660">
        <v>109.41</v>
      </c>
      <c r="AL660">
        <v>0</v>
      </c>
      <c r="AM660">
        <v>0</v>
      </c>
      <c r="AN660">
        <v>0</v>
      </c>
      <c r="AO660">
        <v>0</v>
      </c>
      <c r="AP660">
        <v>0</v>
      </c>
      <c r="AQ660">
        <v>0</v>
      </c>
      <c r="AR660">
        <v>0</v>
      </c>
      <c r="AS660">
        <v>0</v>
      </c>
      <c r="AT660">
        <v>0</v>
      </c>
      <c r="AU660">
        <v>0</v>
      </c>
      <c r="AV660">
        <v>0</v>
      </c>
      <c r="AW660">
        <v>0</v>
      </c>
      <c r="AX660">
        <v>0</v>
      </c>
      <c r="AY660">
        <v>0</v>
      </c>
      <c r="AZ660">
        <v>0</v>
      </c>
      <c r="BA660">
        <v>0</v>
      </c>
      <c r="BB660">
        <v>0</v>
      </c>
      <c r="BC660">
        <v>0</v>
      </c>
      <c r="BD660">
        <v>0</v>
      </c>
      <c r="BE660">
        <v>0</v>
      </c>
      <c r="BF660">
        <v>0</v>
      </c>
      <c r="BG660">
        <v>0</v>
      </c>
      <c r="BH660">
        <v>3</v>
      </c>
      <c r="BI660">
        <v>54</v>
      </c>
      <c r="BJ660">
        <v>93.8</v>
      </c>
      <c r="BK660">
        <v>94</v>
      </c>
      <c r="BL660">
        <v>398.83</v>
      </c>
      <c r="BM660">
        <v>59.82</v>
      </c>
      <c r="BN660">
        <v>458.65</v>
      </c>
      <c r="BO660">
        <v>458.65</v>
      </c>
      <c r="BS660" s="3">
        <v>44600</v>
      </c>
      <c r="BT660" s="4">
        <v>0.65069444444444446</v>
      </c>
      <c r="BU660" t="s">
        <v>1556</v>
      </c>
      <c r="BV660" t="s">
        <v>101</v>
      </c>
      <c r="BY660">
        <v>468790</v>
      </c>
      <c r="BZ660" t="s">
        <v>137</v>
      </c>
      <c r="CA660" t="s">
        <v>1368</v>
      </c>
      <c r="CC660" t="s">
        <v>1186</v>
      </c>
      <c r="CD660">
        <v>850</v>
      </c>
      <c r="CE660" t="s">
        <v>130</v>
      </c>
      <c r="CF660" s="3">
        <v>44600</v>
      </c>
      <c r="CI660">
        <v>1</v>
      </c>
      <c r="CJ660">
        <v>1</v>
      </c>
      <c r="CK660">
        <v>44</v>
      </c>
      <c r="CL660" t="s">
        <v>84</v>
      </c>
    </row>
    <row r="661" spans="1:90" x14ac:dyDescent="0.25">
      <c r="A661" t="s">
        <v>1399</v>
      </c>
      <c r="B661" t="s">
        <v>1400</v>
      </c>
      <c r="C661" t="s">
        <v>74</v>
      </c>
      <c r="E661" t="str">
        <f>"009940901454"</f>
        <v>009940901454</v>
      </c>
      <c r="F661" s="3">
        <v>44599</v>
      </c>
      <c r="G661">
        <v>202208</v>
      </c>
      <c r="H661" t="s">
        <v>401</v>
      </c>
      <c r="I661" t="s">
        <v>402</v>
      </c>
      <c r="J661" t="s">
        <v>1401</v>
      </c>
      <c r="K661" t="s">
        <v>78</v>
      </c>
      <c r="L661" t="s">
        <v>1599</v>
      </c>
      <c r="M661" t="s">
        <v>1600</v>
      </c>
      <c r="N661" t="s">
        <v>1554</v>
      </c>
      <c r="O661" t="s">
        <v>125</v>
      </c>
      <c r="P661" t="str">
        <f>"                              "</f>
        <v xml:space="preserve">                              </v>
      </c>
      <c r="Q661">
        <v>0</v>
      </c>
      <c r="R661">
        <v>0</v>
      </c>
      <c r="S661">
        <v>0</v>
      </c>
      <c r="T661">
        <v>0</v>
      </c>
      <c r="U661">
        <v>0</v>
      </c>
      <c r="V661">
        <v>0</v>
      </c>
      <c r="W661">
        <v>0</v>
      </c>
      <c r="X661">
        <v>0</v>
      </c>
      <c r="Y661">
        <v>0</v>
      </c>
      <c r="Z661">
        <v>0</v>
      </c>
      <c r="AA661">
        <v>0</v>
      </c>
      <c r="AB661">
        <v>0</v>
      </c>
      <c r="AC661">
        <v>0</v>
      </c>
      <c r="AD661">
        <v>0</v>
      </c>
      <c r="AE661">
        <v>0</v>
      </c>
      <c r="AF661">
        <v>0</v>
      </c>
      <c r="AG661">
        <v>0</v>
      </c>
      <c r="AH661">
        <v>0</v>
      </c>
      <c r="AI661">
        <v>0</v>
      </c>
      <c r="AJ661">
        <v>0</v>
      </c>
      <c r="AK661">
        <v>60.96</v>
      </c>
      <c r="AL661">
        <v>0</v>
      </c>
      <c r="AM661">
        <v>0</v>
      </c>
      <c r="AN661">
        <v>0</v>
      </c>
      <c r="AO661">
        <v>0</v>
      </c>
      <c r="AP661">
        <v>0</v>
      </c>
      <c r="AQ661">
        <v>0</v>
      </c>
      <c r="AR661">
        <v>0</v>
      </c>
      <c r="AS661">
        <v>0</v>
      </c>
      <c r="AT661">
        <v>0</v>
      </c>
      <c r="AU661">
        <v>0</v>
      </c>
      <c r="AV661">
        <v>0</v>
      </c>
      <c r="AW661">
        <v>0</v>
      </c>
      <c r="AX661">
        <v>0</v>
      </c>
      <c r="AY661">
        <v>0</v>
      </c>
      <c r="AZ661">
        <v>0</v>
      </c>
      <c r="BA661">
        <v>0</v>
      </c>
      <c r="BB661">
        <v>0</v>
      </c>
      <c r="BC661">
        <v>0</v>
      </c>
      <c r="BD661">
        <v>0</v>
      </c>
      <c r="BE661">
        <v>0</v>
      </c>
      <c r="BF661">
        <v>0</v>
      </c>
      <c r="BG661">
        <v>0</v>
      </c>
      <c r="BH661">
        <v>1</v>
      </c>
      <c r="BI661">
        <v>26</v>
      </c>
      <c r="BJ661">
        <v>41.1</v>
      </c>
      <c r="BK661">
        <v>42</v>
      </c>
      <c r="BL661">
        <v>224.54</v>
      </c>
      <c r="BM661">
        <v>33.68</v>
      </c>
      <c r="BN661">
        <v>258.22000000000003</v>
      </c>
      <c r="BO661">
        <v>258.22000000000003</v>
      </c>
      <c r="BQ661" t="s">
        <v>1690</v>
      </c>
      <c r="BS661" s="3">
        <v>44600</v>
      </c>
      <c r="BT661" s="4">
        <v>0.61111111111111105</v>
      </c>
      <c r="BU661" t="s">
        <v>1752</v>
      </c>
      <c r="BV661" t="s">
        <v>101</v>
      </c>
      <c r="BY661">
        <v>205656</v>
      </c>
      <c r="BZ661" t="s">
        <v>137</v>
      </c>
      <c r="CA661" t="s">
        <v>1679</v>
      </c>
      <c r="CC661" t="s">
        <v>1600</v>
      </c>
      <c r="CD661">
        <v>1150</v>
      </c>
      <c r="CE661" t="s">
        <v>130</v>
      </c>
      <c r="CF661" s="3">
        <v>44600</v>
      </c>
      <c r="CI661">
        <v>2</v>
      </c>
      <c r="CJ661">
        <v>1</v>
      </c>
      <c r="CK661">
        <v>44</v>
      </c>
      <c r="CL661" t="s">
        <v>84</v>
      </c>
    </row>
    <row r="662" spans="1:90" x14ac:dyDescent="0.25">
      <c r="A662" t="s">
        <v>1399</v>
      </c>
      <c r="B662" t="s">
        <v>1400</v>
      </c>
      <c r="C662" t="s">
        <v>74</v>
      </c>
      <c r="E662" t="str">
        <f>"009940901452"</f>
        <v>009940901452</v>
      </c>
      <c r="F662" s="3">
        <v>44599</v>
      </c>
      <c r="G662">
        <v>202208</v>
      </c>
      <c r="H662" t="s">
        <v>401</v>
      </c>
      <c r="I662" t="s">
        <v>402</v>
      </c>
      <c r="J662" t="s">
        <v>1401</v>
      </c>
      <c r="K662" t="s">
        <v>78</v>
      </c>
      <c r="L662" t="s">
        <v>153</v>
      </c>
      <c r="M662" t="s">
        <v>154</v>
      </c>
      <c r="N662" t="s">
        <v>1456</v>
      </c>
      <c r="O662" t="s">
        <v>125</v>
      </c>
      <c r="P662" t="str">
        <f>"                              "</f>
        <v xml:space="preserve">                              </v>
      </c>
      <c r="Q662">
        <v>0</v>
      </c>
      <c r="R662">
        <v>0</v>
      </c>
      <c r="S662">
        <v>0</v>
      </c>
      <c r="T662">
        <v>0</v>
      </c>
      <c r="U662">
        <v>0</v>
      </c>
      <c r="V662">
        <v>0</v>
      </c>
      <c r="W662">
        <v>0</v>
      </c>
      <c r="X662">
        <v>0</v>
      </c>
      <c r="Y662">
        <v>0</v>
      </c>
      <c r="Z662">
        <v>0</v>
      </c>
      <c r="AA662">
        <v>0</v>
      </c>
      <c r="AB662">
        <v>0</v>
      </c>
      <c r="AC662">
        <v>0</v>
      </c>
      <c r="AD662">
        <v>0</v>
      </c>
      <c r="AE662">
        <v>0</v>
      </c>
      <c r="AF662">
        <v>0</v>
      </c>
      <c r="AG662">
        <v>0</v>
      </c>
      <c r="AH662">
        <v>0</v>
      </c>
      <c r="AI662">
        <v>0</v>
      </c>
      <c r="AJ662">
        <v>0</v>
      </c>
      <c r="AK662">
        <v>32.42</v>
      </c>
      <c r="AL662">
        <v>0</v>
      </c>
      <c r="AM662">
        <v>0</v>
      </c>
      <c r="AN662">
        <v>0</v>
      </c>
      <c r="AO662">
        <v>0</v>
      </c>
      <c r="AP662">
        <v>0</v>
      </c>
      <c r="AQ662">
        <v>0</v>
      </c>
      <c r="AR662">
        <v>0</v>
      </c>
      <c r="AS662">
        <v>0</v>
      </c>
      <c r="AT662">
        <v>0</v>
      </c>
      <c r="AU662">
        <v>0</v>
      </c>
      <c r="AV662">
        <v>0</v>
      </c>
      <c r="AW662">
        <v>0</v>
      </c>
      <c r="AX662">
        <v>0</v>
      </c>
      <c r="AY662">
        <v>0</v>
      </c>
      <c r="AZ662">
        <v>0</v>
      </c>
      <c r="BA662">
        <v>0</v>
      </c>
      <c r="BB662">
        <v>0</v>
      </c>
      <c r="BC662">
        <v>0</v>
      </c>
      <c r="BD662">
        <v>0</v>
      </c>
      <c r="BE662">
        <v>0</v>
      </c>
      <c r="BF662">
        <v>0</v>
      </c>
      <c r="BG662">
        <v>0</v>
      </c>
      <c r="BH662">
        <v>1</v>
      </c>
      <c r="BI662">
        <v>0.2</v>
      </c>
      <c r="BJ662">
        <v>1.6</v>
      </c>
      <c r="BK662">
        <v>2</v>
      </c>
      <c r="BL662">
        <v>121.87</v>
      </c>
      <c r="BM662">
        <v>18.28</v>
      </c>
      <c r="BN662">
        <v>140.15</v>
      </c>
      <c r="BO662">
        <v>140.15</v>
      </c>
      <c r="BQ662" t="s">
        <v>1754</v>
      </c>
      <c r="BS662" s="3">
        <v>44600</v>
      </c>
      <c r="BT662" s="4">
        <v>0.4375</v>
      </c>
      <c r="BU662" t="s">
        <v>1613</v>
      </c>
      <c r="BV662" t="s">
        <v>101</v>
      </c>
      <c r="BY662">
        <v>8184</v>
      </c>
      <c r="BZ662" t="s">
        <v>137</v>
      </c>
      <c r="CA662" t="s">
        <v>1405</v>
      </c>
      <c r="CC662" t="s">
        <v>154</v>
      </c>
      <c r="CD662">
        <v>2103</v>
      </c>
      <c r="CE662" t="s">
        <v>130</v>
      </c>
      <c r="CF662" s="3">
        <v>44600</v>
      </c>
      <c r="CI662">
        <v>1</v>
      </c>
      <c r="CJ662">
        <v>1</v>
      </c>
      <c r="CK662">
        <v>41</v>
      </c>
      <c r="CL662" t="s">
        <v>84</v>
      </c>
    </row>
    <row r="663" spans="1:90" x14ac:dyDescent="0.25">
      <c r="A663" t="s">
        <v>1399</v>
      </c>
      <c r="B663" t="s">
        <v>1400</v>
      </c>
      <c r="C663" t="s">
        <v>74</v>
      </c>
      <c r="E663" t="str">
        <f>"009940901455"</f>
        <v>009940901455</v>
      </c>
      <c r="F663" s="3">
        <v>44599</v>
      </c>
      <c r="G663">
        <v>202208</v>
      </c>
      <c r="H663" t="s">
        <v>401</v>
      </c>
      <c r="I663" t="s">
        <v>402</v>
      </c>
      <c r="J663" t="s">
        <v>1401</v>
      </c>
      <c r="K663" t="s">
        <v>78</v>
      </c>
      <c r="L663" t="s">
        <v>1755</v>
      </c>
      <c r="M663" t="s">
        <v>1756</v>
      </c>
      <c r="N663" t="s">
        <v>1554</v>
      </c>
      <c r="O663" t="s">
        <v>125</v>
      </c>
      <c r="P663" t="str">
        <f>"                              "</f>
        <v xml:space="preserve">                              </v>
      </c>
      <c r="Q663">
        <v>0</v>
      </c>
      <c r="R663">
        <v>0</v>
      </c>
      <c r="S663">
        <v>0</v>
      </c>
      <c r="T663">
        <v>0</v>
      </c>
      <c r="U663">
        <v>0</v>
      </c>
      <c r="V663">
        <v>0</v>
      </c>
      <c r="W663">
        <v>0</v>
      </c>
      <c r="X663">
        <v>0</v>
      </c>
      <c r="Y663">
        <v>0</v>
      </c>
      <c r="Z663">
        <v>0</v>
      </c>
      <c r="AA663">
        <v>0</v>
      </c>
      <c r="AB663">
        <v>0</v>
      </c>
      <c r="AC663">
        <v>0</v>
      </c>
      <c r="AD663">
        <v>0</v>
      </c>
      <c r="AE663">
        <v>0</v>
      </c>
      <c r="AF663">
        <v>0</v>
      </c>
      <c r="AG663">
        <v>0</v>
      </c>
      <c r="AH663">
        <v>0</v>
      </c>
      <c r="AI663">
        <v>0</v>
      </c>
      <c r="AJ663">
        <v>0</v>
      </c>
      <c r="AK663">
        <v>64.680000000000007</v>
      </c>
      <c r="AL663">
        <v>0</v>
      </c>
      <c r="AM663">
        <v>0</v>
      </c>
      <c r="AN663">
        <v>0</v>
      </c>
      <c r="AO663">
        <v>0</v>
      </c>
      <c r="AP663">
        <v>0</v>
      </c>
      <c r="AQ663">
        <v>0</v>
      </c>
      <c r="AR663">
        <v>0</v>
      </c>
      <c r="AS663">
        <v>0</v>
      </c>
      <c r="AT663">
        <v>0</v>
      </c>
      <c r="AU663">
        <v>0</v>
      </c>
      <c r="AV663">
        <v>0</v>
      </c>
      <c r="AW663">
        <v>0</v>
      </c>
      <c r="AX663">
        <v>0</v>
      </c>
      <c r="AY663">
        <v>0</v>
      </c>
      <c r="AZ663">
        <v>0</v>
      </c>
      <c r="BA663">
        <v>0</v>
      </c>
      <c r="BB663">
        <v>0</v>
      </c>
      <c r="BC663">
        <v>0</v>
      </c>
      <c r="BD663">
        <v>0</v>
      </c>
      <c r="BE663">
        <v>0</v>
      </c>
      <c r="BF663">
        <v>0</v>
      </c>
      <c r="BG663">
        <v>0</v>
      </c>
      <c r="BH663">
        <v>1</v>
      </c>
      <c r="BI663">
        <v>35</v>
      </c>
      <c r="BJ663">
        <v>46</v>
      </c>
      <c r="BK663">
        <v>46</v>
      </c>
      <c r="BL663">
        <v>237.94</v>
      </c>
      <c r="BM663">
        <v>35.69</v>
      </c>
      <c r="BN663">
        <v>273.63</v>
      </c>
      <c r="BO663">
        <v>273.63</v>
      </c>
      <c r="BQ663" t="s">
        <v>1757</v>
      </c>
      <c r="BS663" s="3">
        <v>44600</v>
      </c>
      <c r="BT663" s="4">
        <v>0.67708333333333337</v>
      </c>
      <c r="BU663" t="s">
        <v>267</v>
      </c>
      <c r="BV663" t="s">
        <v>101</v>
      </c>
      <c r="BY663">
        <v>229824</v>
      </c>
      <c r="BZ663" t="s">
        <v>137</v>
      </c>
      <c r="CA663" t="s">
        <v>1464</v>
      </c>
      <c r="CC663" t="s">
        <v>1756</v>
      </c>
      <c r="CD663">
        <v>920</v>
      </c>
      <c r="CE663" t="s">
        <v>130</v>
      </c>
      <c r="CF663" s="3">
        <v>44600</v>
      </c>
      <c r="CI663">
        <v>1</v>
      </c>
      <c r="CJ663">
        <v>1</v>
      </c>
      <c r="CK663">
        <v>44</v>
      </c>
      <c r="CL663" t="s">
        <v>84</v>
      </c>
    </row>
    <row r="664" spans="1:90" x14ac:dyDescent="0.25">
      <c r="A664" t="s">
        <v>1417</v>
      </c>
      <c r="B664" t="s">
        <v>1400</v>
      </c>
      <c r="C664" t="s">
        <v>74</v>
      </c>
      <c r="E664" t="str">
        <f>"009941567800"</f>
        <v>009941567800</v>
      </c>
      <c r="F664" s="3">
        <v>44596</v>
      </c>
      <c r="G664">
        <v>202208</v>
      </c>
      <c r="H664" t="s">
        <v>1436</v>
      </c>
      <c r="I664" t="s">
        <v>1437</v>
      </c>
      <c r="J664" t="s">
        <v>1401</v>
      </c>
      <c r="K664" t="s">
        <v>78</v>
      </c>
      <c r="L664" t="s">
        <v>1407</v>
      </c>
      <c r="M664" t="s">
        <v>1408</v>
      </c>
      <c r="N664" t="s">
        <v>1523</v>
      </c>
      <c r="O664" t="s">
        <v>80</v>
      </c>
      <c r="P664" t="str">
        <f>"LOCKS                         "</f>
        <v xml:space="preserve">LOCKS                         </v>
      </c>
      <c r="Q664">
        <v>0</v>
      </c>
      <c r="R664">
        <v>0</v>
      </c>
      <c r="S664">
        <v>0</v>
      </c>
      <c r="T664">
        <v>0</v>
      </c>
      <c r="U664">
        <v>0</v>
      </c>
      <c r="V664">
        <v>0</v>
      </c>
      <c r="W664">
        <v>0</v>
      </c>
      <c r="X664">
        <v>0</v>
      </c>
      <c r="Y664">
        <v>0</v>
      </c>
      <c r="Z664">
        <v>0</v>
      </c>
      <c r="AA664">
        <v>0</v>
      </c>
      <c r="AB664">
        <v>0</v>
      </c>
      <c r="AC664">
        <v>0</v>
      </c>
      <c r="AD664">
        <v>0</v>
      </c>
      <c r="AE664">
        <v>0</v>
      </c>
      <c r="AF664">
        <v>0</v>
      </c>
      <c r="AG664">
        <v>0</v>
      </c>
      <c r="AH664">
        <v>0</v>
      </c>
      <c r="AI664">
        <v>0</v>
      </c>
      <c r="AJ664">
        <v>0</v>
      </c>
      <c r="AK664">
        <v>32.479999999999997</v>
      </c>
      <c r="AL664">
        <v>0</v>
      </c>
      <c r="AM664">
        <v>0</v>
      </c>
      <c r="AN664">
        <v>0</v>
      </c>
      <c r="AO664">
        <v>0</v>
      </c>
      <c r="AP664">
        <v>0</v>
      </c>
      <c r="AQ664">
        <v>0</v>
      </c>
      <c r="AR664">
        <v>0</v>
      </c>
      <c r="AS664">
        <v>0</v>
      </c>
      <c r="AT664">
        <v>0</v>
      </c>
      <c r="AU664">
        <v>0</v>
      </c>
      <c r="AV664">
        <v>0</v>
      </c>
      <c r="AW664">
        <v>0</v>
      </c>
      <c r="AX664">
        <v>0</v>
      </c>
      <c r="AY664">
        <v>0</v>
      </c>
      <c r="AZ664">
        <v>0</v>
      </c>
      <c r="BA664">
        <v>0</v>
      </c>
      <c r="BB664">
        <v>0</v>
      </c>
      <c r="BC664">
        <v>0</v>
      </c>
      <c r="BD664">
        <v>0</v>
      </c>
      <c r="BE664">
        <v>0</v>
      </c>
      <c r="BF664">
        <v>0</v>
      </c>
      <c r="BG664">
        <v>0</v>
      </c>
      <c r="BH664">
        <v>1</v>
      </c>
      <c r="BI664">
        <v>1</v>
      </c>
      <c r="BJ664">
        <v>0.2</v>
      </c>
      <c r="BK664">
        <v>1</v>
      </c>
      <c r="BL664">
        <v>116.84</v>
      </c>
      <c r="BM664">
        <v>17.53</v>
      </c>
      <c r="BN664">
        <v>134.37</v>
      </c>
      <c r="BO664">
        <v>134.37</v>
      </c>
      <c r="BQ664" t="s">
        <v>1758</v>
      </c>
      <c r="BR664" t="s">
        <v>1759</v>
      </c>
      <c r="BS664" s="3">
        <v>44601</v>
      </c>
      <c r="BT664" s="4">
        <v>0.3611111111111111</v>
      </c>
      <c r="BU664" t="s">
        <v>1410</v>
      </c>
      <c r="BV664" t="s">
        <v>84</v>
      </c>
      <c r="BW664" t="s">
        <v>239</v>
      </c>
      <c r="BX664" t="s">
        <v>1674</v>
      </c>
      <c r="BY664">
        <v>1200</v>
      </c>
      <c r="BZ664" t="s">
        <v>87</v>
      </c>
      <c r="CC664" t="s">
        <v>1408</v>
      </c>
      <c r="CD664">
        <v>2940</v>
      </c>
      <c r="CE664" t="s">
        <v>130</v>
      </c>
      <c r="CF664" s="3">
        <v>44601</v>
      </c>
      <c r="CI664">
        <v>1</v>
      </c>
      <c r="CJ664">
        <v>3</v>
      </c>
      <c r="CK664">
        <v>23</v>
      </c>
      <c r="CL664" t="s">
        <v>84</v>
      </c>
    </row>
    <row r="665" spans="1:90" x14ac:dyDescent="0.25">
      <c r="A665" t="s">
        <v>1417</v>
      </c>
      <c r="B665" t="s">
        <v>1400</v>
      </c>
      <c r="C665" t="s">
        <v>74</v>
      </c>
      <c r="E665" t="str">
        <f>"009941567809"</f>
        <v>009941567809</v>
      </c>
      <c r="F665" s="3">
        <v>44596</v>
      </c>
      <c r="G665">
        <v>202208</v>
      </c>
      <c r="H665" t="s">
        <v>1436</v>
      </c>
      <c r="I665" t="s">
        <v>1437</v>
      </c>
      <c r="J665" t="s">
        <v>1401</v>
      </c>
      <c r="K665" t="s">
        <v>78</v>
      </c>
      <c r="L665" t="s">
        <v>466</v>
      </c>
      <c r="M665" t="s">
        <v>467</v>
      </c>
      <c r="N665" t="s">
        <v>1401</v>
      </c>
      <c r="O665" t="s">
        <v>80</v>
      </c>
      <c r="P665" t="str">
        <f>"STORES                        "</f>
        <v xml:space="preserve">STORES                        </v>
      </c>
      <c r="Q665">
        <v>0</v>
      </c>
      <c r="R665">
        <v>0</v>
      </c>
      <c r="S665">
        <v>0</v>
      </c>
      <c r="T665">
        <v>0</v>
      </c>
      <c r="U665">
        <v>0</v>
      </c>
      <c r="V665">
        <v>0</v>
      </c>
      <c r="W665">
        <v>0</v>
      </c>
      <c r="X665">
        <v>0</v>
      </c>
      <c r="Y665">
        <v>0</v>
      </c>
      <c r="Z665">
        <v>0</v>
      </c>
      <c r="AA665">
        <v>0</v>
      </c>
      <c r="AB665">
        <v>0</v>
      </c>
      <c r="AC665">
        <v>0</v>
      </c>
      <c r="AD665">
        <v>0</v>
      </c>
      <c r="AE665">
        <v>0</v>
      </c>
      <c r="AF665">
        <v>0</v>
      </c>
      <c r="AG665">
        <v>0</v>
      </c>
      <c r="AH665">
        <v>0</v>
      </c>
      <c r="AI665">
        <v>0</v>
      </c>
      <c r="AJ665">
        <v>0</v>
      </c>
      <c r="AK665">
        <v>91.15</v>
      </c>
      <c r="AL665">
        <v>0</v>
      </c>
      <c r="AM665">
        <v>0</v>
      </c>
      <c r="AN665">
        <v>0</v>
      </c>
      <c r="AO665">
        <v>0</v>
      </c>
      <c r="AP665">
        <v>0</v>
      </c>
      <c r="AQ665">
        <v>0</v>
      </c>
      <c r="AR665">
        <v>0</v>
      </c>
      <c r="AS665">
        <v>0</v>
      </c>
      <c r="AT665">
        <v>0</v>
      </c>
      <c r="AU665">
        <v>0</v>
      </c>
      <c r="AV665">
        <v>0</v>
      </c>
      <c r="AW665">
        <v>0</v>
      </c>
      <c r="AX665">
        <v>0</v>
      </c>
      <c r="AY665">
        <v>0</v>
      </c>
      <c r="AZ665">
        <v>0</v>
      </c>
      <c r="BA665">
        <v>0</v>
      </c>
      <c r="BB665">
        <v>0</v>
      </c>
      <c r="BC665">
        <v>0</v>
      </c>
      <c r="BD665">
        <v>0</v>
      </c>
      <c r="BE665">
        <v>0</v>
      </c>
      <c r="BF665">
        <v>0</v>
      </c>
      <c r="BG665">
        <v>0</v>
      </c>
      <c r="BH665">
        <v>1</v>
      </c>
      <c r="BI665">
        <v>1</v>
      </c>
      <c r="BJ665">
        <v>5.9</v>
      </c>
      <c r="BK665">
        <v>6</v>
      </c>
      <c r="BL665">
        <v>327.91</v>
      </c>
      <c r="BM665">
        <v>49.19</v>
      </c>
      <c r="BN665">
        <v>377.1</v>
      </c>
      <c r="BO665">
        <v>377.1</v>
      </c>
      <c r="BQ665" t="s">
        <v>1760</v>
      </c>
      <c r="BR665" t="s">
        <v>1443</v>
      </c>
      <c r="BS665" s="3">
        <v>44600</v>
      </c>
      <c r="BT665" s="4">
        <v>0.28125</v>
      </c>
      <c r="BU665" t="s">
        <v>305</v>
      </c>
      <c r="BV665" t="s">
        <v>84</v>
      </c>
      <c r="BW665" t="s">
        <v>727</v>
      </c>
      <c r="BX665" t="s">
        <v>1101</v>
      </c>
      <c r="BY665">
        <v>29300.21</v>
      </c>
      <c r="BZ665" t="s">
        <v>87</v>
      </c>
      <c r="CC665" t="s">
        <v>467</v>
      </c>
      <c r="CD665">
        <v>3900</v>
      </c>
      <c r="CE665" t="s">
        <v>130</v>
      </c>
      <c r="CF665" s="3">
        <v>44600</v>
      </c>
      <c r="CI665">
        <v>1</v>
      </c>
      <c r="CJ665">
        <v>2</v>
      </c>
      <c r="CK665">
        <v>23</v>
      </c>
      <c r="CL665" t="s">
        <v>84</v>
      </c>
    </row>
    <row r="666" spans="1:90" x14ac:dyDescent="0.25">
      <c r="A666" t="s">
        <v>1417</v>
      </c>
      <c r="B666" t="s">
        <v>1400</v>
      </c>
      <c r="C666" t="s">
        <v>74</v>
      </c>
      <c r="E666" t="str">
        <f>"009941330954"</f>
        <v>009941330954</v>
      </c>
      <c r="F666" s="3">
        <v>44596</v>
      </c>
      <c r="G666">
        <v>202208</v>
      </c>
      <c r="H666" t="s">
        <v>1436</v>
      </c>
      <c r="I666" t="s">
        <v>1437</v>
      </c>
      <c r="J666" t="s">
        <v>1401</v>
      </c>
      <c r="K666" t="s">
        <v>78</v>
      </c>
      <c r="L666" t="s">
        <v>1185</v>
      </c>
      <c r="M666" t="s">
        <v>1186</v>
      </c>
      <c r="N666" t="s">
        <v>1547</v>
      </c>
      <c r="O666" t="s">
        <v>125</v>
      </c>
      <c r="P666" t="str">
        <f>"STORES                        "</f>
        <v xml:space="preserve">STORES                        </v>
      </c>
      <c r="Q666">
        <v>0</v>
      </c>
      <c r="R666">
        <v>0</v>
      </c>
      <c r="S666">
        <v>0</v>
      </c>
      <c r="T666">
        <v>0</v>
      </c>
      <c r="U666">
        <v>0</v>
      </c>
      <c r="V666">
        <v>0</v>
      </c>
      <c r="W666">
        <v>0</v>
      </c>
      <c r="X666">
        <v>0</v>
      </c>
      <c r="Y666">
        <v>0</v>
      </c>
      <c r="Z666">
        <v>0</v>
      </c>
      <c r="AA666">
        <v>0</v>
      </c>
      <c r="AB666">
        <v>0</v>
      </c>
      <c r="AC666">
        <v>0</v>
      </c>
      <c r="AD666">
        <v>0</v>
      </c>
      <c r="AE666">
        <v>0</v>
      </c>
      <c r="AF666">
        <v>0</v>
      </c>
      <c r="AG666">
        <v>0</v>
      </c>
      <c r="AH666">
        <v>0</v>
      </c>
      <c r="AI666">
        <v>0</v>
      </c>
      <c r="AJ666">
        <v>0</v>
      </c>
      <c r="AK666">
        <v>230.34</v>
      </c>
      <c r="AL666">
        <v>0</v>
      </c>
      <c r="AM666">
        <v>0</v>
      </c>
      <c r="AN666">
        <v>0</v>
      </c>
      <c r="AO666">
        <v>0</v>
      </c>
      <c r="AP666">
        <v>0</v>
      </c>
      <c r="AQ666">
        <v>0</v>
      </c>
      <c r="AR666">
        <v>0</v>
      </c>
      <c r="AS666">
        <v>0</v>
      </c>
      <c r="AT666">
        <v>0</v>
      </c>
      <c r="AU666">
        <v>0</v>
      </c>
      <c r="AV666">
        <v>0</v>
      </c>
      <c r="AW666">
        <v>0</v>
      </c>
      <c r="AX666">
        <v>0</v>
      </c>
      <c r="AY666">
        <v>0</v>
      </c>
      <c r="AZ666">
        <v>0</v>
      </c>
      <c r="BA666">
        <v>0</v>
      </c>
      <c r="BB666">
        <v>0</v>
      </c>
      <c r="BC666">
        <v>0</v>
      </c>
      <c r="BD666">
        <v>0</v>
      </c>
      <c r="BE666">
        <v>0</v>
      </c>
      <c r="BF666">
        <v>0</v>
      </c>
      <c r="BG666">
        <v>0</v>
      </c>
      <c r="BH666">
        <v>1</v>
      </c>
      <c r="BI666">
        <v>60</v>
      </c>
      <c r="BJ666">
        <v>94</v>
      </c>
      <c r="BK666">
        <v>94</v>
      </c>
      <c r="BL666">
        <v>833.87</v>
      </c>
      <c r="BM666">
        <v>125.08</v>
      </c>
      <c r="BN666">
        <v>958.95</v>
      </c>
      <c r="BO666">
        <v>958.95</v>
      </c>
      <c r="BQ666" t="s">
        <v>1489</v>
      </c>
      <c r="BR666" t="s">
        <v>1533</v>
      </c>
      <c r="BS666" s="3">
        <v>44599</v>
      </c>
      <c r="BT666" s="4">
        <v>0.47361111111111115</v>
      </c>
      <c r="BU666" t="s">
        <v>1425</v>
      </c>
      <c r="BV666" t="s">
        <v>101</v>
      </c>
      <c r="BY666">
        <v>470000</v>
      </c>
      <c r="BZ666" t="s">
        <v>137</v>
      </c>
      <c r="CA666" t="s">
        <v>1368</v>
      </c>
      <c r="CC666" t="s">
        <v>1186</v>
      </c>
      <c r="CD666">
        <v>850</v>
      </c>
      <c r="CE666" t="s">
        <v>130</v>
      </c>
      <c r="CF666" s="3">
        <v>44599</v>
      </c>
      <c r="CI666">
        <v>1</v>
      </c>
      <c r="CJ666">
        <v>1</v>
      </c>
      <c r="CK666">
        <v>43</v>
      </c>
      <c r="CL666" t="s">
        <v>84</v>
      </c>
    </row>
    <row r="667" spans="1:90" x14ac:dyDescent="0.25">
      <c r="A667" t="s">
        <v>1417</v>
      </c>
      <c r="B667" t="s">
        <v>1400</v>
      </c>
      <c r="C667" t="s">
        <v>74</v>
      </c>
      <c r="E667" t="str">
        <f>"009941915430"</f>
        <v>009941915430</v>
      </c>
      <c r="F667" s="3">
        <v>44596</v>
      </c>
      <c r="G667">
        <v>202208</v>
      </c>
      <c r="H667" t="s">
        <v>1436</v>
      </c>
      <c r="I667" t="s">
        <v>1437</v>
      </c>
      <c r="J667" t="s">
        <v>1401</v>
      </c>
      <c r="K667" t="s">
        <v>78</v>
      </c>
      <c r="L667" t="s">
        <v>282</v>
      </c>
      <c r="M667" t="s">
        <v>283</v>
      </c>
      <c r="N667" t="s">
        <v>1583</v>
      </c>
      <c r="O667" t="s">
        <v>125</v>
      </c>
      <c r="P667" t="str">
        <f>"STORES                        "</f>
        <v xml:space="preserve">STORES                        </v>
      </c>
      <c r="Q667">
        <v>0</v>
      </c>
      <c r="R667">
        <v>0</v>
      </c>
      <c r="S667">
        <v>0</v>
      </c>
      <c r="T667">
        <v>0</v>
      </c>
      <c r="U667">
        <v>0</v>
      </c>
      <c r="V667">
        <v>0</v>
      </c>
      <c r="W667">
        <v>0</v>
      </c>
      <c r="X667">
        <v>0</v>
      </c>
      <c r="Y667">
        <v>0</v>
      </c>
      <c r="Z667">
        <v>0</v>
      </c>
      <c r="AA667">
        <v>0</v>
      </c>
      <c r="AB667">
        <v>0</v>
      </c>
      <c r="AC667">
        <v>0</v>
      </c>
      <c r="AD667">
        <v>0</v>
      </c>
      <c r="AE667">
        <v>0</v>
      </c>
      <c r="AF667">
        <v>0</v>
      </c>
      <c r="AG667">
        <v>0</v>
      </c>
      <c r="AH667">
        <v>0</v>
      </c>
      <c r="AI667">
        <v>0</v>
      </c>
      <c r="AJ667">
        <v>0</v>
      </c>
      <c r="AK667">
        <v>45.72</v>
      </c>
      <c r="AL667">
        <v>0</v>
      </c>
      <c r="AM667">
        <v>0</v>
      </c>
      <c r="AN667">
        <v>0</v>
      </c>
      <c r="AO667">
        <v>0</v>
      </c>
      <c r="AP667">
        <v>0</v>
      </c>
      <c r="AQ667">
        <v>0</v>
      </c>
      <c r="AR667">
        <v>0</v>
      </c>
      <c r="AS667">
        <v>0</v>
      </c>
      <c r="AT667">
        <v>0</v>
      </c>
      <c r="AU667">
        <v>0</v>
      </c>
      <c r="AV667">
        <v>0</v>
      </c>
      <c r="AW667">
        <v>0</v>
      </c>
      <c r="AX667">
        <v>0</v>
      </c>
      <c r="AY667">
        <v>0</v>
      </c>
      <c r="AZ667">
        <v>0</v>
      </c>
      <c r="BA667">
        <v>0</v>
      </c>
      <c r="BB667">
        <v>0</v>
      </c>
      <c r="BC667">
        <v>0</v>
      </c>
      <c r="BD667">
        <v>0</v>
      </c>
      <c r="BE667">
        <v>0</v>
      </c>
      <c r="BF667">
        <v>0</v>
      </c>
      <c r="BG667">
        <v>0</v>
      </c>
      <c r="BH667">
        <v>1</v>
      </c>
      <c r="BI667">
        <v>1.3</v>
      </c>
      <c r="BJ667">
        <v>7.7</v>
      </c>
      <c r="BK667">
        <v>8</v>
      </c>
      <c r="BL667">
        <v>169.72</v>
      </c>
      <c r="BM667">
        <v>25.46</v>
      </c>
      <c r="BN667">
        <v>195.18</v>
      </c>
      <c r="BO667">
        <v>195.18</v>
      </c>
      <c r="BQ667" t="s">
        <v>1528</v>
      </c>
      <c r="BR667" t="s">
        <v>733</v>
      </c>
      <c r="BS667" s="3">
        <v>44599</v>
      </c>
      <c r="BT667" s="4">
        <v>0.38819444444444445</v>
      </c>
      <c r="BU667" t="s">
        <v>1522</v>
      </c>
      <c r="BV667" t="s">
        <v>101</v>
      </c>
      <c r="BY667">
        <v>38253.599999999999</v>
      </c>
      <c r="BZ667" t="s">
        <v>137</v>
      </c>
      <c r="CA667" t="s">
        <v>287</v>
      </c>
      <c r="CC667" t="s">
        <v>283</v>
      </c>
      <c r="CD667">
        <v>300</v>
      </c>
      <c r="CE667" t="s">
        <v>130</v>
      </c>
      <c r="CF667" s="3">
        <v>44599</v>
      </c>
      <c r="CI667">
        <v>1</v>
      </c>
      <c r="CJ667">
        <v>1</v>
      </c>
      <c r="CK667">
        <v>43</v>
      </c>
      <c r="CL667" t="s">
        <v>84</v>
      </c>
    </row>
    <row r="668" spans="1:90" x14ac:dyDescent="0.25">
      <c r="A668" t="s">
        <v>1417</v>
      </c>
      <c r="B668" t="s">
        <v>1400</v>
      </c>
      <c r="C668" t="s">
        <v>74</v>
      </c>
      <c r="E668" t="str">
        <f>"009941567799"</f>
        <v>009941567799</v>
      </c>
      <c r="F668" s="3">
        <v>44596</v>
      </c>
      <c r="G668">
        <v>202208</v>
      </c>
      <c r="H668" t="s">
        <v>1436</v>
      </c>
      <c r="I668" t="s">
        <v>1437</v>
      </c>
      <c r="J668" t="s">
        <v>1401</v>
      </c>
      <c r="K668" t="s">
        <v>78</v>
      </c>
      <c r="L668" t="s">
        <v>1185</v>
      </c>
      <c r="M668" t="s">
        <v>1186</v>
      </c>
      <c r="N668" t="s">
        <v>1401</v>
      </c>
      <c r="O668" t="s">
        <v>80</v>
      </c>
      <c r="P668" t="str">
        <f>"LOCKS                         "</f>
        <v xml:space="preserve">LOCKS                         </v>
      </c>
      <c r="Q668">
        <v>0</v>
      </c>
      <c r="R668">
        <v>0</v>
      </c>
      <c r="S668">
        <v>0</v>
      </c>
      <c r="T668">
        <v>0</v>
      </c>
      <c r="U668">
        <v>0</v>
      </c>
      <c r="V668">
        <v>0</v>
      </c>
      <c r="W668">
        <v>0</v>
      </c>
      <c r="X668">
        <v>0</v>
      </c>
      <c r="Y668">
        <v>0</v>
      </c>
      <c r="Z668">
        <v>0</v>
      </c>
      <c r="AA668">
        <v>0</v>
      </c>
      <c r="AB668">
        <v>0</v>
      </c>
      <c r="AC668">
        <v>0</v>
      </c>
      <c r="AD668">
        <v>0</v>
      </c>
      <c r="AE668">
        <v>0</v>
      </c>
      <c r="AF668">
        <v>0</v>
      </c>
      <c r="AG668">
        <v>0</v>
      </c>
      <c r="AH668">
        <v>0</v>
      </c>
      <c r="AI668">
        <v>0</v>
      </c>
      <c r="AJ668">
        <v>0</v>
      </c>
      <c r="AK668">
        <v>32.479999999999997</v>
      </c>
      <c r="AL668">
        <v>0</v>
      </c>
      <c r="AM668">
        <v>0</v>
      </c>
      <c r="AN668">
        <v>0</v>
      </c>
      <c r="AO668">
        <v>0</v>
      </c>
      <c r="AP668">
        <v>0</v>
      </c>
      <c r="AQ668">
        <v>0</v>
      </c>
      <c r="AR668">
        <v>0</v>
      </c>
      <c r="AS668">
        <v>0</v>
      </c>
      <c r="AT668">
        <v>0</v>
      </c>
      <c r="AU668">
        <v>0</v>
      </c>
      <c r="AV668">
        <v>0</v>
      </c>
      <c r="AW668">
        <v>0</v>
      </c>
      <c r="AX668">
        <v>0</v>
      </c>
      <c r="AY668">
        <v>0</v>
      </c>
      <c r="AZ668">
        <v>0</v>
      </c>
      <c r="BA668">
        <v>0</v>
      </c>
      <c r="BB668">
        <v>0</v>
      </c>
      <c r="BC668">
        <v>0</v>
      </c>
      <c r="BD668">
        <v>0</v>
      </c>
      <c r="BE668">
        <v>0</v>
      </c>
      <c r="BF668">
        <v>0</v>
      </c>
      <c r="BG668">
        <v>0</v>
      </c>
      <c r="BH668">
        <v>1</v>
      </c>
      <c r="BI668">
        <v>1.2</v>
      </c>
      <c r="BJ668">
        <v>1.5</v>
      </c>
      <c r="BK668">
        <v>1.5</v>
      </c>
      <c r="BL668">
        <v>116.84</v>
      </c>
      <c r="BM668">
        <v>17.53</v>
      </c>
      <c r="BN668">
        <v>134.37</v>
      </c>
      <c r="BO668">
        <v>134.37</v>
      </c>
      <c r="BQ668" t="s">
        <v>1761</v>
      </c>
      <c r="BR668" t="s">
        <v>1440</v>
      </c>
      <c r="BS668" s="3">
        <v>44599</v>
      </c>
      <c r="BT668" s="4">
        <v>0.47361111111111115</v>
      </c>
      <c r="BU668" t="s">
        <v>1556</v>
      </c>
      <c r="BV668" t="s">
        <v>101</v>
      </c>
      <c r="BY668">
        <v>7679.04</v>
      </c>
      <c r="BZ668" t="s">
        <v>87</v>
      </c>
      <c r="CA668" t="s">
        <v>1368</v>
      </c>
      <c r="CC668" t="s">
        <v>1186</v>
      </c>
      <c r="CD668">
        <v>850</v>
      </c>
      <c r="CE668" t="s">
        <v>130</v>
      </c>
      <c r="CF668" s="3">
        <v>44599</v>
      </c>
      <c r="CI668">
        <v>1</v>
      </c>
      <c r="CJ668">
        <v>1</v>
      </c>
      <c r="CK668">
        <v>23</v>
      </c>
      <c r="CL668" t="s">
        <v>84</v>
      </c>
    </row>
    <row r="669" spans="1:90" x14ac:dyDescent="0.25">
      <c r="A669" t="s">
        <v>1417</v>
      </c>
      <c r="B669" t="s">
        <v>1400</v>
      </c>
      <c r="C669" t="s">
        <v>74</v>
      </c>
      <c r="E669" t="str">
        <f>"009941567801"</f>
        <v>009941567801</v>
      </c>
      <c r="F669" s="3">
        <v>44596</v>
      </c>
      <c r="G669">
        <v>202208</v>
      </c>
      <c r="H669" t="s">
        <v>1436</v>
      </c>
      <c r="I669" t="s">
        <v>1437</v>
      </c>
      <c r="J669" t="s">
        <v>1401</v>
      </c>
      <c r="K669" t="s">
        <v>78</v>
      </c>
      <c r="L669" t="s">
        <v>234</v>
      </c>
      <c r="M669" t="s">
        <v>235</v>
      </c>
      <c r="N669" t="s">
        <v>1762</v>
      </c>
      <c r="O669" t="s">
        <v>80</v>
      </c>
      <c r="P669" t="str">
        <f>"LOCKS                         "</f>
        <v xml:space="preserve">LOCKS                         </v>
      </c>
      <c r="Q669">
        <v>0</v>
      </c>
      <c r="R669">
        <v>0</v>
      </c>
      <c r="S669">
        <v>0</v>
      </c>
      <c r="T669">
        <v>0</v>
      </c>
      <c r="U669">
        <v>0</v>
      </c>
      <c r="V669">
        <v>0</v>
      </c>
      <c r="W669">
        <v>0</v>
      </c>
      <c r="X669">
        <v>0</v>
      </c>
      <c r="Y669">
        <v>0</v>
      </c>
      <c r="Z669">
        <v>0</v>
      </c>
      <c r="AA669">
        <v>0</v>
      </c>
      <c r="AB669">
        <v>0</v>
      </c>
      <c r="AC669">
        <v>0</v>
      </c>
      <c r="AD669">
        <v>0</v>
      </c>
      <c r="AE669">
        <v>0</v>
      </c>
      <c r="AF669">
        <v>0</v>
      </c>
      <c r="AG669">
        <v>0</v>
      </c>
      <c r="AH669">
        <v>0</v>
      </c>
      <c r="AI669">
        <v>0</v>
      </c>
      <c r="AJ669">
        <v>0</v>
      </c>
      <c r="AK669">
        <v>16.760000000000002</v>
      </c>
      <c r="AL669">
        <v>0</v>
      </c>
      <c r="AM669">
        <v>0</v>
      </c>
      <c r="AN669">
        <v>0</v>
      </c>
      <c r="AO669">
        <v>0</v>
      </c>
      <c r="AP669">
        <v>0</v>
      </c>
      <c r="AQ669">
        <v>0</v>
      </c>
      <c r="AR669">
        <v>0</v>
      </c>
      <c r="AS669">
        <v>0</v>
      </c>
      <c r="AT669">
        <v>0</v>
      </c>
      <c r="AU669">
        <v>0</v>
      </c>
      <c r="AV669">
        <v>0</v>
      </c>
      <c r="AW669">
        <v>0</v>
      </c>
      <c r="AX669">
        <v>0</v>
      </c>
      <c r="AY669">
        <v>0</v>
      </c>
      <c r="AZ669">
        <v>0</v>
      </c>
      <c r="BA669">
        <v>0</v>
      </c>
      <c r="BB669">
        <v>0</v>
      </c>
      <c r="BC669">
        <v>0</v>
      </c>
      <c r="BD669">
        <v>0</v>
      </c>
      <c r="BE669">
        <v>0</v>
      </c>
      <c r="BF669">
        <v>0</v>
      </c>
      <c r="BG669">
        <v>0</v>
      </c>
      <c r="BH669">
        <v>1</v>
      </c>
      <c r="BI669">
        <v>1</v>
      </c>
      <c r="BJ669">
        <v>0.2</v>
      </c>
      <c r="BK669">
        <v>1</v>
      </c>
      <c r="BL669">
        <v>60.3</v>
      </c>
      <c r="BM669">
        <v>9.0500000000000007</v>
      </c>
      <c r="BN669">
        <v>69.349999999999994</v>
      </c>
      <c r="BO669">
        <v>69.349999999999994</v>
      </c>
      <c r="BQ669" t="s">
        <v>1763</v>
      </c>
      <c r="BR669" t="s">
        <v>1440</v>
      </c>
      <c r="BS669" s="3">
        <v>44600</v>
      </c>
      <c r="BT669" s="4">
        <v>0.38194444444444442</v>
      </c>
      <c r="BU669" t="s">
        <v>1764</v>
      </c>
      <c r="BV669" t="s">
        <v>84</v>
      </c>
      <c r="BW669" t="s">
        <v>239</v>
      </c>
      <c r="BX669" t="s">
        <v>240</v>
      </c>
      <c r="BY669">
        <v>1200</v>
      </c>
      <c r="BZ669" t="s">
        <v>87</v>
      </c>
      <c r="CC669" t="s">
        <v>235</v>
      </c>
      <c r="CD669">
        <v>3200</v>
      </c>
      <c r="CE669" t="s">
        <v>130</v>
      </c>
      <c r="CF669" s="3">
        <v>44602</v>
      </c>
      <c r="CI669">
        <v>1</v>
      </c>
      <c r="CJ669">
        <v>2</v>
      </c>
      <c r="CK669">
        <v>21</v>
      </c>
      <c r="CL669" t="s">
        <v>84</v>
      </c>
    </row>
    <row r="670" spans="1:90" x14ac:dyDescent="0.25">
      <c r="A670" t="s">
        <v>1417</v>
      </c>
      <c r="B670" t="s">
        <v>1400</v>
      </c>
      <c r="C670" t="s">
        <v>74</v>
      </c>
      <c r="E670" t="str">
        <f>"009939616545"</f>
        <v>009939616545</v>
      </c>
      <c r="F670" s="3">
        <v>44600</v>
      </c>
      <c r="G670">
        <v>202208</v>
      </c>
      <c r="H670" t="s">
        <v>1436</v>
      </c>
      <c r="I670" t="s">
        <v>1437</v>
      </c>
      <c r="J670" t="s">
        <v>1401</v>
      </c>
      <c r="K670" t="s">
        <v>78</v>
      </c>
      <c r="L670" t="s">
        <v>971</v>
      </c>
      <c r="M670" t="s">
        <v>972</v>
      </c>
      <c r="N670" t="s">
        <v>1401</v>
      </c>
      <c r="O670" t="s">
        <v>125</v>
      </c>
      <c r="P670" t="str">
        <f>"STORES                        "</f>
        <v xml:space="preserve">STORES                        </v>
      </c>
      <c r="Q670">
        <v>0</v>
      </c>
      <c r="R670">
        <v>0</v>
      </c>
      <c r="S670">
        <v>0</v>
      </c>
      <c r="T670">
        <v>0</v>
      </c>
      <c r="U670">
        <v>0</v>
      </c>
      <c r="V670">
        <v>0</v>
      </c>
      <c r="W670">
        <v>0</v>
      </c>
      <c r="X670">
        <v>0</v>
      </c>
      <c r="Y670">
        <v>0</v>
      </c>
      <c r="Z670">
        <v>0</v>
      </c>
      <c r="AA670">
        <v>0</v>
      </c>
      <c r="AB670">
        <v>0</v>
      </c>
      <c r="AC670">
        <v>0</v>
      </c>
      <c r="AD670">
        <v>0</v>
      </c>
      <c r="AE670">
        <v>0</v>
      </c>
      <c r="AF670">
        <v>0</v>
      </c>
      <c r="AG670">
        <v>0</v>
      </c>
      <c r="AH670">
        <v>0</v>
      </c>
      <c r="AI670">
        <v>0</v>
      </c>
      <c r="AJ670">
        <v>0</v>
      </c>
      <c r="AK670">
        <v>45.72</v>
      </c>
      <c r="AL670">
        <v>0</v>
      </c>
      <c r="AM670">
        <v>0</v>
      </c>
      <c r="AN670">
        <v>0</v>
      </c>
      <c r="AO670">
        <v>0</v>
      </c>
      <c r="AP670">
        <v>0</v>
      </c>
      <c r="AQ670">
        <v>0</v>
      </c>
      <c r="AR670">
        <v>0</v>
      </c>
      <c r="AS670">
        <v>0</v>
      </c>
      <c r="AT670">
        <v>0</v>
      </c>
      <c r="AU670">
        <v>0</v>
      </c>
      <c r="AV670">
        <v>0</v>
      </c>
      <c r="AW670">
        <v>0</v>
      </c>
      <c r="AX670">
        <v>0</v>
      </c>
      <c r="AY670">
        <v>0</v>
      </c>
      <c r="AZ670">
        <v>0</v>
      </c>
      <c r="BA670">
        <v>0</v>
      </c>
      <c r="BB670">
        <v>0</v>
      </c>
      <c r="BC670">
        <v>0</v>
      </c>
      <c r="BD670">
        <v>0</v>
      </c>
      <c r="BE670">
        <v>0</v>
      </c>
      <c r="BF670">
        <v>0</v>
      </c>
      <c r="BG670">
        <v>0</v>
      </c>
      <c r="BH670">
        <v>1</v>
      </c>
      <c r="BI670">
        <v>3.4</v>
      </c>
      <c r="BJ670">
        <v>9.8000000000000007</v>
      </c>
      <c r="BK670">
        <v>10</v>
      </c>
      <c r="BL670">
        <v>169.72</v>
      </c>
      <c r="BM670">
        <v>25.46</v>
      </c>
      <c r="BN670">
        <v>195.18</v>
      </c>
      <c r="BO670">
        <v>195.18</v>
      </c>
      <c r="BQ670" t="s">
        <v>733</v>
      </c>
      <c r="BR670" t="s">
        <v>1533</v>
      </c>
      <c r="BS670" s="3">
        <v>44602</v>
      </c>
      <c r="BT670" s="4">
        <v>0.65069444444444446</v>
      </c>
      <c r="BU670" t="s">
        <v>1765</v>
      </c>
      <c r="BV670" t="s">
        <v>101</v>
      </c>
      <c r="BY670">
        <v>48889.86</v>
      </c>
      <c r="BZ670" t="s">
        <v>137</v>
      </c>
      <c r="CC670" t="s">
        <v>972</v>
      </c>
      <c r="CD670">
        <v>5320</v>
      </c>
      <c r="CE670" t="s">
        <v>130</v>
      </c>
      <c r="CF670" s="3">
        <v>44606</v>
      </c>
      <c r="CI670">
        <v>6</v>
      </c>
      <c r="CJ670">
        <v>2</v>
      </c>
      <c r="CK670">
        <v>43</v>
      </c>
      <c r="CL670" t="s">
        <v>84</v>
      </c>
    </row>
    <row r="671" spans="1:90" x14ac:dyDescent="0.25">
      <c r="A671" t="s">
        <v>1417</v>
      </c>
      <c r="B671" t="s">
        <v>1400</v>
      </c>
      <c r="C671" t="s">
        <v>74</v>
      </c>
      <c r="E671" t="str">
        <f>"009940956727"</f>
        <v>009940956727</v>
      </c>
      <c r="F671" s="3">
        <v>44600</v>
      </c>
      <c r="G671">
        <v>202208</v>
      </c>
      <c r="H671" t="s">
        <v>1436</v>
      </c>
      <c r="I671" t="s">
        <v>1437</v>
      </c>
      <c r="J671" t="s">
        <v>1401</v>
      </c>
      <c r="K671" t="s">
        <v>78</v>
      </c>
      <c r="L671" t="s">
        <v>401</v>
      </c>
      <c r="M671" t="s">
        <v>402</v>
      </c>
      <c r="N671" t="s">
        <v>1401</v>
      </c>
      <c r="O671" t="s">
        <v>80</v>
      </c>
      <c r="P671" t="str">
        <f>"STORES                        "</f>
        <v xml:space="preserve">STORES                        </v>
      </c>
      <c r="Q671">
        <v>0</v>
      </c>
      <c r="R671">
        <v>0</v>
      </c>
      <c r="S671">
        <v>0</v>
      </c>
      <c r="T671">
        <v>0</v>
      </c>
      <c r="U671">
        <v>0</v>
      </c>
      <c r="V671">
        <v>0</v>
      </c>
      <c r="W671">
        <v>0</v>
      </c>
      <c r="X671">
        <v>0</v>
      </c>
      <c r="Y671">
        <v>0</v>
      </c>
      <c r="Z671">
        <v>0</v>
      </c>
      <c r="AA671">
        <v>0</v>
      </c>
      <c r="AB671">
        <v>0</v>
      </c>
      <c r="AC671">
        <v>0</v>
      </c>
      <c r="AD671">
        <v>0</v>
      </c>
      <c r="AE671">
        <v>0</v>
      </c>
      <c r="AF671">
        <v>0</v>
      </c>
      <c r="AG671">
        <v>0</v>
      </c>
      <c r="AH671">
        <v>0</v>
      </c>
      <c r="AI671">
        <v>0</v>
      </c>
      <c r="AJ671">
        <v>0</v>
      </c>
      <c r="AK671">
        <v>54.46</v>
      </c>
      <c r="AL671">
        <v>0</v>
      </c>
      <c r="AM671">
        <v>0</v>
      </c>
      <c r="AN671">
        <v>0</v>
      </c>
      <c r="AO671">
        <v>0</v>
      </c>
      <c r="AP671">
        <v>0</v>
      </c>
      <c r="AQ671">
        <v>0</v>
      </c>
      <c r="AR671">
        <v>0</v>
      </c>
      <c r="AS671">
        <v>0</v>
      </c>
      <c r="AT671">
        <v>0</v>
      </c>
      <c r="AU671">
        <v>0</v>
      </c>
      <c r="AV671">
        <v>0</v>
      </c>
      <c r="AW671">
        <v>0</v>
      </c>
      <c r="AX671">
        <v>0</v>
      </c>
      <c r="AY671">
        <v>0</v>
      </c>
      <c r="AZ671">
        <v>0</v>
      </c>
      <c r="BA671">
        <v>0</v>
      </c>
      <c r="BB671">
        <v>0</v>
      </c>
      <c r="BC671">
        <v>0</v>
      </c>
      <c r="BD671">
        <v>0</v>
      </c>
      <c r="BE671">
        <v>0</v>
      </c>
      <c r="BF671">
        <v>0</v>
      </c>
      <c r="BG671">
        <v>0</v>
      </c>
      <c r="BH671">
        <v>1</v>
      </c>
      <c r="BI671">
        <v>1.2</v>
      </c>
      <c r="BJ671">
        <v>6.5</v>
      </c>
      <c r="BK671">
        <v>6.5</v>
      </c>
      <c r="BL671">
        <v>195.92</v>
      </c>
      <c r="BM671">
        <v>29.39</v>
      </c>
      <c r="BN671">
        <v>225.31</v>
      </c>
      <c r="BO671">
        <v>225.31</v>
      </c>
      <c r="BQ671" t="s">
        <v>733</v>
      </c>
      <c r="BR671" t="s">
        <v>1443</v>
      </c>
      <c r="BS671" s="3">
        <v>44601</v>
      </c>
      <c r="BT671" s="4">
        <v>0.59930555555555554</v>
      </c>
      <c r="BU671" t="s">
        <v>1766</v>
      </c>
      <c r="BV671" t="s">
        <v>84</v>
      </c>
      <c r="BY671">
        <v>32379.200000000001</v>
      </c>
      <c r="BZ671" t="s">
        <v>87</v>
      </c>
      <c r="CA671" t="s">
        <v>1507</v>
      </c>
      <c r="CC671" t="s">
        <v>402</v>
      </c>
      <c r="CD671">
        <v>699</v>
      </c>
      <c r="CE671" t="s">
        <v>130</v>
      </c>
      <c r="CF671" s="3">
        <v>44601</v>
      </c>
      <c r="CI671">
        <v>1</v>
      </c>
      <c r="CJ671">
        <v>1</v>
      </c>
      <c r="CK671">
        <v>21</v>
      </c>
      <c r="CL671" t="s">
        <v>84</v>
      </c>
    </row>
    <row r="672" spans="1:90" x14ac:dyDescent="0.25">
      <c r="A672" t="s">
        <v>1417</v>
      </c>
      <c r="B672" t="s">
        <v>1400</v>
      </c>
      <c r="C672" t="s">
        <v>74</v>
      </c>
      <c r="E672" t="str">
        <f>"009935989208"</f>
        <v>009935989208</v>
      </c>
      <c r="F672" s="3">
        <v>44600</v>
      </c>
      <c r="G672">
        <v>202208</v>
      </c>
      <c r="H672" t="s">
        <v>1436</v>
      </c>
      <c r="I672" t="s">
        <v>1437</v>
      </c>
      <c r="J672" t="s">
        <v>1401</v>
      </c>
      <c r="K672" t="s">
        <v>78</v>
      </c>
      <c r="L672" t="s">
        <v>1576</v>
      </c>
      <c r="M672" t="s">
        <v>1577</v>
      </c>
      <c r="N672" t="s">
        <v>1401</v>
      </c>
      <c r="O672" t="s">
        <v>80</v>
      </c>
      <c r="P672" t="str">
        <f>"STORES                        "</f>
        <v xml:space="preserve">STORES                        </v>
      </c>
      <c r="Q672">
        <v>0</v>
      </c>
      <c r="R672">
        <v>0</v>
      </c>
      <c r="S672">
        <v>0</v>
      </c>
      <c r="T672">
        <v>0</v>
      </c>
      <c r="U672">
        <v>0</v>
      </c>
      <c r="V672">
        <v>0</v>
      </c>
      <c r="W672">
        <v>0</v>
      </c>
      <c r="X672">
        <v>0</v>
      </c>
      <c r="Y672">
        <v>0</v>
      </c>
      <c r="Z672">
        <v>0</v>
      </c>
      <c r="AA672">
        <v>0</v>
      </c>
      <c r="AB672">
        <v>0</v>
      </c>
      <c r="AC672">
        <v>0</v>
      </c>
      <c r="AD672">
        <v>0</v>
      </c>
      <c r="AE672">
        <v>0</v>
      </c>
      <c r="AF672">
        <v>0</v>
      </c>
      <c r="AG672">
        <v>0</v>
      </c>
      <c r="AH672">
        <v>0</v>
      </c>
      <c r="AI672">
        <v>0</v>
      </c>
      <c r="AJ672">
        <v>0</v>
      </c>
      <c r="AK672">
        <v>120.49</v>
      </c>
      <c r="AL672">
        <v>0</v>
      </c>
      <c r="AM672">
        <v>0</v>
      </c>
      <c r="AN672">
        <v>0</v>
      </c>
      <c r="AO672">
        <v>0</v>
      </c>
      <c r="AP672">
        <v>0</v>
      </c>
      <c r="AQ672">
        <v>0</v>
      </c>
      <c r="AR672">
        <v>0</v>
      </c>
      <c r="AS672">
        <v>0</v>
      </c>
      <c r="AT672">
        <v>0</v>
      </c>
      <c r="AU672">
        <v>0</v>
      </c>
      <c r="AV672">
        <v>0</v>
      </c>
      <c r="AW672">
        <v>0</v>
      </c>
      <c r="AX672">
        <v>0</v>
      </c>
      <c r="AY672">
        <v>0</v>
      </c>
      <c r="AZ672">
        <v>0</v>
      </c>
      <c r="BA672">
        <v>0</v>
      </c>
      <c r="BB672">
        <v>0</v>
      </c>
      <c r="BC672">
        <v>0</v>
      </c>
      <c r="BD672">
        <v>0</v>
      </c>
      <c r="BE672">
        <v>0</v>
      </c>
      <c r="BF672">
        <v>0</v>
      </c>
      <c r="BG672">
        <v>0</v>
      </c>
      <c r="BH672">
        <v>1</v>
      </c>
      <c r="BI672">
        <v>0.6</v>
      </c>
      <c r="BJ672">
        <v>7.7</v>
      </c>
      <c r="BK672">
        <v>8</v>
      </c>
      <c r="BL672">
        <v>433.45</v>
      </c>
      <c r="BM672">
        <v>65.02</v>
      </c>
      <c r="BN672">
        <v>498.47</v>
      </c>
      <c r="BO672">
        <v>498.47</v>
      </c>
      <c r="BQ672" t="s">
        <v>733</v>
      </c>
      <c r="BR672" t="s">
        <v>1767</v>
      </c>
      <c r="BS672" s="3">
        <v>44602</v>
      </c>
      <c r="BT672" s="4">
        <v>0.69027777777777777</v>
      </c>
      <c r="BU672" t="s">
        <v>1768</v>
      </c>
      <c r="BV672" t="s">
        <v>101</v>
      </c>
      <c r="BY672">
        <v>38697.18</v>
      </c>
      <c r="BZ672" t="s">
        <v>87</v>
      </c>
      <c r="CA672" t="s">
        <v>1769</v>
      </c>
      <c r="CC672" t="s">
        <v>1577</v>
      </c>
      <c r="CD672">
        <v>8530</v>
      </c>
      <c r="CE672" t="s">
        <v>130</v>
      </c>
      <c r="CF672" s="3">
        <v>44604</v>
      </c>
      <c r="CI672">
        <v>5</v>
      </c>
      <c r="CJ672">
        <v>2</v>
      </c>
      <c r="CK672">
        <v>23</v>
      </c>
      <c r="CL672" t="s">
        <v>84</v>
      </c>
    </row>
    <row r="673" spans="1:90" x14ac:dyDescent="0.25">
      <c r="A673" t="s">
        <v>1417</v>
      </c>
      <c r="B673" t="s">
        <v>1400</v>
      </c>
      <c r="C673" t="s">
        <v>74</v>
      </c>
      <c r="E673" t="str">
        <f>"009941247503"</f>
        <v>009941247503</v>
      </c>
      <c r="F673" s="3">
        <v>44600</v>
      </c>
      <c r="G673">
        <v>202208</v>
      </c>
      <c r="H673" t="s">
        <v>481</v>
      </c>
      <c r="I673" t="s">
        <v>482</v>
      </c>
      <c r="J673" t="s">
        <v>1401</v>
      </c>
      <c r="K673" t="s">
        <v>78</v>
      </c>
      <c r="L673" t="s">
        <v>153</v>
      </c>
      <c r="M673" t="s">
        <v>154</v>
      </c>
      <c r="N673" t="s">
        <v>1401</v>
      </c>
      <c r="O673" t="s">
        <v>125</v>
      </c>
      <c r="P673" t="str">
        <f>"                              "</f>
        <v xml:space="preserve">                              </v>
      </c>
      <c r="Q673">
        <v>0</v>
      </c>
      <c r="R673">
        <v>0</v>
      </c>
      <c r="S673">
        <v>0</v>
      </c>
      <c r="T673">
        <v>0</v>
      </c>
      <c r="U673">
        <v>0</v>
      </c>
      <c r="V673">
        <v>0</v>
      </c>
      <c r="W673">
        <v>0</v>
      </c>
      <c r="X673">
        <v>0</v>
      </c>
      <c r="Y673">
        <v>0</v>
      </c>
      <c r="Z673">
        <v>0</v>
      </c>
      <c r="AA673">
        <v>0</v>
      </c>
      <c r="AB673">
        <v>0</v>
      </c>
      <c r="AC673">
        <v>0</v>
      </c>
      <c r="AD673">
        <v>0</v>
      </c>
      <c r="AE673">
        <v>0</v>
      </c>
      <c r="AF673">
        <v>0</v>
      </c>
      <c r="AG673">
        <v>0</v>
      </c>
      <c r="AH673">
        <v>0</v>
      </c>
      <c r="AI673">
        <v>0</v>
      </c>
      <c r="AJ673">
        <v>0</v>
      </c>
      <c r="AK673">
        <v>48.06</v>
      </c>
      <c r="AL673">
        <v>0</v>
      </c>
      <c r="AM673">
        <v>0</v>
      </c>
      <c r="AN673">
        <v>0</v>
      </c>
      <c r="AO673">
        <v>0</v>
      </c>
      <c r="AP673">
        <v>0</v>
      </c>
      <c r="AQ673">
        <v>0</v>
      </c>
      <c r="AR673">
        <v>0</v>
      </c>
      <c r="AS673">
        <v>0</v>
      </c>
      <c r="AT673">
        <v>0</v>
      </c>
      <c r="AU673">
        <v>0</v>
      </c>
      <c r="AV673">
        <v>0</v>
      </c>
      <c r="AW673">
        <v>0</v>
      </c>
      <c r="AX673">
        <v>0</v>
      </c>
      <c r="AY673">
        <v>0</v>
      </c>
      <c r="AZ673">
        <v>0</v>
      </c>
      <c r="BA673">
        <v>0</v>
      </c>
      <c r="BB673">
        <v>0</v>
      </c>
      <c r="BC673">
        <v>0</v>
      </c>
      <c r="BD673">
        <v>0</v>
      </c>
      <c r="BE673">
        <v>0</v>
      </c>
      <c r="BF673">
        <v>0</v>
      </c>
      <c r="BG673">
        <v>0</v>
      </c>
      <c r="BH673">
        <v>1</v>
      </c>
      <c r="BI673">
        <v>9</v>
      </c>
      <c r="BJ673">
        <v>15.1</v>
      </c>
      <c r="BK673">
        <v>16</v>
      </c>
      <c r="BL673">
        <v>178.13</v>
      </c>
      <c r="BM673">
        <v>26.72</v>
      </c>
      <c r="BN673">
        <v>204.85</v>
      </c>
      <c r="BO673">
        <v>204.85</v>
      </c>
      <c r="BQ673" t="s">
        <v>1770</v>
      </c>
      <c r="BR673" t="s">
        <v>1771</v>
      </c>
      <c r="BS673" s="3">
        <v>44601</v>
      </c>
      <c r="BT673" s="4">
        <v>0.34513888888888888</v>
      </c>
      <c r="BU673" t="s">
        <v>1533</v>
      </c>
      <c r="BV673" t="s">
        <v>101</v>
      </c>
      <c r="BY673">
        <v>75640</v>
      </c>
      <c r="CA673" t="s">
        <v>928</v>
      </c>
      <c r="CC673" t="s">
        <v>154</v>
      </c>
      <c r="CD673">
        <v>2000</v>
      </c>
      <c r="CE673" t="s">
        <v>130</v>
      </c>
      <c r="CF673" s="3">
        <v>44602</v>
      </c>
      <c r="CI673">
        <v>1</v>
      </c>
      <c r="CJ673">
        <v>1</v>
      </c>
      <c r="CK673">
        <v>43</v>
      </c>
      <c r="CL673" t="s">
        <v>84</v>
      </c>
    </row>
    <row r="674" spans="1:90" x14ac:dyDescent="0.25">
      <c r="A674" t="s">
        <v>1417</v>
      </c>
      <c r="B674" t="s">
        <v>1400</v>
      </c>
      <c r="C674" t="s">
        <v>74</v>
      </c>
      <c r="E674" t="str">
        <f>"009941209337"</f>
        <v>009941209337</v>
      </c>
      <c r="F674" s="3">
        <v>44600</v>
      </c>
      <c r="G674">
        <v>202208</v>
      </c>
      <c r="H674" t="s">
        <v>1436</v>
      </c>
      <c r="I674" t="s">
        <v>1437</v>
      </c>
      <c r="J674" t="s">
        <v>1401</v>
      </c>
      <c r="K674" t="s">
        <v>78</v>
      </c>
      <c r="L674" t="s">
        <v>401</v>
      </c>
      <c r="M674" t="s">
        <v>402</v>
      </c>
      <c r="N674" t="s">
        <v>1401</v>
      </c>
      <c r="O674" t="s">
        <v>125</v>
      </c>
      <c r="P674" t="str">
        <f>"STORES                        "</f>
        <v xml:space="preserve">STORES                        </v>
      </c>
      <c r="Q674">
        <v>0</v>
      </c>
      <c r="R674">
        <v>0</v>
      </c>
      <c r="S674">
        <v>0</v>
      </c>
      <c r="T674">
        <v>0</v>
      </c>
      <c r="U674">
        <v>0</v>
      </c>
      <c r="V674">
        <v>0</v>
      </c>
      <c r="W674">
        <v>0</v>
      </c>
      <c r="X674">
        <v>0</v>
      </c>
      <c r="Y674">
        <v>0</v>
      </c>
      <c r="Z674">
        <v>0</v>
      </c>
      <c r="AA674">
        <v>0</v>
      </c>
      <c r="AB674">
        <v>0</v>
      </c>
      <c r="AC674">
        <v>0</v>
      </c>
      <c r="AD674">
        <v>0</v>
      </c>
      <c r="AE674">
        <v>0</v>
      </c>
      <c r="AF674">
        <v>0</v>
      </c>
      <c r="AG674">
        <v>0</v>
      </c>
      <c r="AH674">
        <v>0</v>
      </c>
      <c r="AI674">
        <v>0</v>
      </c>
      <c r="AJ674">
        <v>0</v>
      </c>
      <c r="AK674">
        <v>383.77</v>
      </c>
      <c r="AL674">
        <v>0</v>
      </c>
      <c r="AM674">
        <v>0</v>
      </c>
      <c r="AN674">
        <v>0</v>
      </c>
      <c r="AO674">
        <v>0</v>
      </c>
      <c r="AP674">
        <v>0</v>
      </c>
      <c r="AQ674">
        <v>0</v>
      </c>
      <c r="AR674">
        <v>0</v>
      </c>
      <c r="AS674">
        <v>0</v>
      </c>
      <c r="AT674">
        <v>0</v>
      </c>
      <c r="AU674">
        <v>0</v>
      </c>
      <c r="AV674">
        <v>0</v>
      </c>
      <c r="AW674">
        <v>0</v>
      </c>
      <c r="AX674">
        <v>0</v>
      </c>
      <c r="AY674">
        <v>0</v>
      </c>
      <c r="AZ674">
        <v>0</v>
      </c>
      <c r="BA674">
        <v>0</v>
      </c>
      <c r="BB674">
        <v>0</v>
      </c>
      <c r="BC674">
        <v>0</v>
      </c>
      <c r="BD674">
        <v>0</v>
      </c>
      <c r="BE674">
        <v>0</v>
      </c>
      <c r="BF674">
        <v>0</v>
      </c>
      <c r="BG674">
        <v>0</v>
      </c>
      <c r="BH674">
        <v>2</v>
      </c>
      <c r="BI674">
        <v>204</v>
      </c>
      <c r="BJ674">
        <v>277.7</v>
      </c>
      <c r="BK674">
        <v>278</v>
      </c>
      <c r="BL674">
        <v>1385.83</v>
      </c>
      <c r="BM674">
        <v>207.87</v>
      </c>
      <c r="BN674">
        <v>1593.7</v>
      </c>
      <c r="BO674">
        <v>1593.7</v>
      </c>
      <c r="BQ674" t="s">
        <v>733</v>
      </c>
      <c r="BR674" t="s">
        <v>1443</v>
      </c>
      <c r="BS674" s="3">
        <v>44601</v>
      </c>
      <c r="BT674" s="4">
        <v>0.67152777777777783</v>
      </c>
      <c r="BU674" t="s">
        <v>1506</v>
      </c>
      <c r="BV674" t="s">
        <v>101</v>
      </c>
      <c r="BY674">
        <v>1388265</v>
      </c>
      <c r="BZ674" t="s">
        <v>137</v>
      </c>
      <c r="CA674" t="s">
        <v>1721</v>
      </c>
      <c r="CC674" t="s">
        <v>402</v>
      </c>
      <c r="CD674">
        <v>699</v>
      </c>
      <c r="CE674" t="s">
        <v>130</v>
      </c>
      <c r="CF674" s="3">
        <v>44601</v>
      </c>
      <c r="CI674">
        <v>1</v>
      </c>
      <c r="CJ674">
        <v>1</v>
      </c>
      <c r="CK674">
        <v>41</v>
      </c>
      <c r="CL674" t="s">
        <v>84</v>
      </c>
    </row>
    <row r="675" spans="1:90" x14ac:dyDescent="0.25">
      <c r="A675" t="s">
        <v>1417</v>
      </c>
      <c r="B675" t="s">
        <v>1400</v>
      </c>
      <c r="C675" t="s">
        <v>74</v>
      </c>
      <c r="E675" t="str">
        <f>"009941171590"</f>
        <v>009941171590</v>
      </c>
      <c r="F675" s="3">
        <v>44600</v>
      </c>
      <c r="G675">
        <v>202208</v>
      </c>
      <c r="H675" t="s">
        <v>1436</v>
      </c>
      <c r="I675" t="s">
        <v>1437</v>
      </c>
      <c r="J675" t="s">
        <v>1401</v>
      </c>
      <c r="K675" t="s">
        <v>78</v>
      </c>
      <c r="L675" t="s">
        <v>1185</v>
      </c>
      <c r="M675" t="s">
        <v>1186</v>
      </c>
      <c r="N675" t="s">
        <v>1488</v>
      </c>
      <c r="O675" t="s">
        <v>80</v>
      </c>
      <c r="P675" t="str">
        <f>"STORES                        "</f>
        <v xml:space="preserve">STORES                        </v>
      </c>
      <c r="Q675">
        <v>0</v>
      </c>
      <c r="R675">
        <v>0</v>
      </c>
      <c r="S675">
        <v>0</v>
      </c>
      <c r="T675">
        <v>0</v>
      </c>
      <c r="U675">
        <v>0</v>
      </c>
      <c r="V675">
        <v>0</v>
      </c>
      <c r="W675">
        <v>0</v>
      </c>
      <c r="X675">
        <v>0</v>
      </c>
      <c r="Y675">
        <v>0</v>
      </c>
      <c r="Z675">
        <v>0</v>
      </c>
      <c r="AA675">
        <v>0</v>
      </c>
      <c r="AB675">
        <v>0</v>
      </c>
      <c r="AC675">
        <v>0</v>
      </c>
      <c r="AD675">
        <v>0</v>
      </c>
      <c r="AE675">
        <v>0</v>
      </c>
      <c r="AF675">
        <v>0</v>
      </c>
      <c r="AG675">
        <v>0</v>
      </c>
      <c r="AH675">
        <v>0</v>
      </c>
      <c r="AI675">
        <v>0</v>
      </c>
      <c r="AJ675">
        <v>0</v>
      </c>
      <c r="AK675">
        <v>120.49</v>
      </c>
      <c r="AL675">
        <v>0</v>
      </c>
      <c r="AM675">
        <v>0</v>
      </c>
      <c r="AN675">
        <v>0</v>
      </c>
      <c r="AO675">
        <v>0</v>
      </c>
      <c r="AP675">
        <v>0</v>
      </c>
      <c r="AQ675">
        <v>0</v>
      </c>
      <c r="AR675">
        <v>0</v>
      </c>
      <c r="AS675">
        <v>0</v>
      </c>
      <c r="AT675">
        <v>0</v>
      </c>
      <c r="AU675">
        <v>0</v>
      </c>
      <c r="AV675">
        <v>0</v>
      </c>
      <c r="AW675">
        <v>0</v>
      </c>
      <c r="AX675">
        <v>0</v>
      </c>
      <c r="AY675">
        <v>0</v>
      </c>
      <c r="AZ675">
        <v>0</v>
      </c>
      <c r="BA675">
        <v>0</v>
      </c>
      <c r="BB675">
        <v>0</v>
      </c>
      <c r="BC675">
        <v>0</v>
      </c>
      <c r="BD675">
        <v>0</v>
      </c>
      <c r="BE675">
        <v>0</v>
      </c>
      <c r="BF675">
        <v>0</v>
      </c>
      <c r="BG675">
        <v>0</v>
      </c>
      <c r="BH675">
        <v>1</v>
      </c>
      <c r="BI675">
        <v>0.2</v>
      </c>
      <c r="BJ675">
        <v>7.8</v>
      </c>
      <c r="BK675">
        <v>8</v>
      </c>
      <c r="BL675">
        <v>433.45</v>
      </c>
      <c r="BM675">
        <v>65.02</v>
      </c>
      <c r="BN675">
        <v>498.47</v>
      </c>
      <c r="BO675">
        <v>498.47</v>
      </c>
      <c r="BQ675" t="s">
        <v>733</v>
      </c>
      <c r="BR675" t="s">
        <v>1772</v>
      </c>
      <c r="BS675" s="3">
        <v>44601</v>
      </c>
      <c r="BT675" s="4">
        <v>0.68888888888888899</v>
      </c>
      <c r="BU675" t="s">
        <v>1556</v>
      </c>
      <c r="BV675" t="s">
        <v>84</v>
      </c>
      <c r="BY675">
        <v>38781.74</v>
      </c>
      <c r="BZ675" t="s">
        <v>87</v>
      </c>
      <c r="CA675" t="s">
        <v>1368</v>
      </c>
      <c r="CC675" t="s">
        <v>1186</v>
      </c>
      <c r="CD675">
        <v>850</v>
      </c>
      <c r="CE675" t="s">
        <v>130</v>
      </c>
      <c r="CF675" s="3">
        <v>44602</v>
      </c>
      <c r="CI675">
        <v>1</v>
      </c>
      <c r="CJ675">
        <v>1</v>
      </c>
      <c r="CK675">
        <v>23</v>
      </c>
      <c r="CL675" t="s">
        <v>84</v>
      </c>
    </row>
    <row r="676" spans="1:90" x14ac:dyDescent="0.25">
      <c r="A676" t="s">
        <v>1417</v>
      </c>
      <c r="B676" t="s">
        <v>1400</v>
      </c>
      <c r="C676" t="s">
        <v>74</v>
      </c>
      <c r="E676" t="str">
        <f>"009940231989"</f>
        <v>009940231989</v>
      </c>
      <c r="F676" s="3">
        <v>44600</v>
      </c>
      <c r="G676">
        <v>202208</v>
      </c>
      <c r="H676" t="s">
        <v>1436</v>
      </c>
      <c r="I676" t="s">
        <v>1437</v>
      </c>
      <c r="J676" t="s">
        <v>1401</v>
      </c>
      <c r="K676" t="s">
        <v>78</v>
      </c>
      <c r="L676" t="s">
        <v>441</v>
      </c>
      <c r="M676" t="s">
        <v>442</v>
      </c>
      <c r="N676" t="s">
        <v>1773</v>
      </c>
      <c r="O676" t="s">
        <v>80</v>
      </c>
      <c r="P676" t="str">
        <f>"STORES                        "</f>
        <v xml:space="preserve">STORES                        </v>
      </c>
      <c r="Q676">
        <v>0</v>
      </c>
      <c r="R676">
        <v>0</v>
      </c>
      <c r="S676">
        <v>0</v>
      </c>
      <c r="T676">
        <v>0</v>
      </c>
      <c r="U676">
        <v>0</v>
      </c>
      <c r="V676">
        <v>0</v>
      </c>
      <c r="W676">
        <v>0</v>
      </c>
      <c r="X676">
        <v>0</v>
      </c>
      <c r="Y676">
        <v>0</v>
      </c>
      <c r="Z676">
        <v>0</v>
      </c>
      <c r="AA676">
        <v>0</v>
      </c>
      <c r="AB676">
        <v>0</v>
      </c>
      <c r="AC676">
        <v>0</v>
      </c>
      <c r="AD676">
        <v>0</v>
      </c>
      <c r="AE676">
        <v>0</v>
      </c>
      <c r="AF676">
        <v>0</v>
      </c>
      <c r="AG676">
        <v>0</v>
      </c>
      <c r="AH676">
        <v>0</v>
      </c>
      <c r="AI676">
        <v>0</v>
      </c>
      <c r="AJ676">
        <v>0</v>
      </c>
      <c r="AK676">
        <v>98.49</v>
      </c>
      <c r="AL676">
        <v>0</v>
      </c>
      <c r="AM676">
        <v>0</v>
      </c>
      <c r="AN676">
        <v>0</v>
      </c>
      <c r="AO676">
        <v>0</v>
      </c>
      <c r="AP676">
        <v>0</v>
      </c>
      <c r="AQ676">
        <v>0</v>
      </c>
      <c r="AR676">
        <v>0</v>
      </c>
      <c r="AS676">
        <v>0</v>
      </c>
      <c r="AT676">
        <v>0</v>
      </c>
      <c r="AU676">
        <v>0</v>
      </c>
      <c r="AV676">
        <v>0</v>
      </c>
      <c r="AW676">
        <v>0</v>
      </c>
      <c r="AX676">
        <v>0</v>
      </c>
      <c r="AY676">
        <v>0</v>
      </c>
      <c r="AZ676">
        <v>0</v>
      </c>
      <c r="BA676">
        <v>0</v>
      </c>
      <c r="BB676">
        <v>0</v>
      </c>
      <c r="BC676">
        <v>0</v>
      </c>
      <c r="BD676">
        <v>0</v>
      </c>
      <c r="BE676">
        <v>0</v>
      </c>
      <c r="BF676">
        <v>0</v>
      </c>
      <c r="BG676">
        <v>0</v>
      </c>
      <c r="BH676">
        <v>1</v>
      </c>
      <c r="BI676">
        <v>1.2</v>
      </c>
      <c r="BJ676">
        <v>6.3</v>
      </c>
      <c r="BK676">
        <v>6.5</v>
      </c>
      <c r="BL676">
        <v>354.3</v>
      </c>
      <c r="BM676">
        <v>53.15</v>
      </c>
      <c r="BN676">
        <v>407.45</v>
      </c>
      <c r="BO676">
        <v>407.45</v>
      </c>
      <c r="BQ676" t="s">
        <v>733</v>
      </c>
      <c r="BR676" t="s">
        <v>1774</v>
      </c>
      <c r="BS676" s="3">
        <v>44601</v>
      </c>
      <c r="BT676" s="4">
        <v>0.35625000000000001</v>
      </c>
      <c r="BU676" t="s">
        <v>1775</v>
      </c>
      <c r="BV676" t="s">
        <v>101</v>
      </c>
      <c r="BY676">
        <v>31737.87</v>
      </c>
      <c r="BZ676" t="s">
        <v>87</v>
      </c>
      <c r="CA676" t="s">
        <v>1496</v>
      </c>
      <c r="CC676" t="s">
        <v>442</v>
      </c>
      <c r="CD676">
        <v>1034</v>
      </c>
      <c r="CE676" t="s">
        <v>130</v>
      </c>
      <c r="CF676" s="3">
        <v>44601</v>
      </c>
      <c r="CI676">
        <v>1</v>
      </c>
      <c r="CJ676">
        <v>1</v>
      </c>
      <c r="CK676">
        <v>23</v>
      </c>
      <c r="CL676" t="s">
        <v>84</v>
      </c>
    </row>
    <row r="677" spans="1:90" x14ac:dyDescent="0.25">
      <c r="A677" t="s">
        <v>1417</v>
      </c>
      <c r="B677" t="s">
        <v>1400</v>
      </c>
      <c r="C677" t="s">
        <v>74</v>
      </c>
      <c r="E677" t="str">
        <f>"009941171594"</f>
        <v>009941171594</v>
      </c>
      <c r="F677" s="3">
        <v>44600</v>
      </c>
      <c r="G677">
        <v>202208</v>
      </c>
      <c r="H677" t="s">
        <v>1436</v>
      </c>
      <c r="I677" t="s">
        <v>1437</v>
      </c>
      <c r="J677" t="s">
        <v>1401</v>
      </c>
      <c r="K677" t="s">
        <v>78</v>
      </c>
      <c r="L677" t="s">
        <v>1529</v>
      </c>
      <c r="M677" t="s">
        <v>1530</v>
      </c>
      <c r="N677" t="s">
        <v>1401</v>
      </c>
      <c r="O677" t="s">
        <v>80</v>
      </c>
      <c r="P677" t="str">
        <f>"STORES                        "</f>
        <v xml:space="preserve">STORES                        </v>
      </c>
      <c r="Q677">
        <v>0</v>
      </c>
      <c r="R677">
        <v>0</v>
      </c>
      <c r="S677">
        <v>0</v>
      </c>
      <c r="T677">
        <v>0</v>
      </c>
      <c r="U677">
        <v>0</v>
      </c>
      <c r="V677">
        <v>0</v>
      </c>
      <c r="W677">
        <v>0</v>
      </c>
      <c r="X677">
        <v>0</v>
      </c>
      <c r="Y677">
        <v>0</v>
      </c>
      <c r="Z677">
        <v>0</v>
      </c>
      <c r="AA677">
        <v>0</v>
      </c>
      <c r="AB677">
        <v>0</v>
      </c>
      <c r="AC677">
        <v>0</v>
      </c>
      <c r="AD677">
        <v>0</v>
      </c>
      <c r="AE677">
        <v>0</v>
      </c>
      <c r="AF677">
        <v>0</v>
      </c>
      <c r="AG677">
        <v>0</v>
      </c>
      <c r="AH677">
        <v>0</v>
      </c>
      <c r="AI677">
        <v>0</v>
      </c>
      <c r="AJ677">
        <v>0</v>
      </c>
      <c r="AK677">
        <v>127.82</v>
      </c>
      <c r="AL677">
        <v>0</v>
      </c>
      <c r="AM677">
        <v>0</v>
      </c>
      <c r="AN677">
        <v>0</v>
      </c>
      <c r="AO677">
        <v>0</v>
      </c>
      <c r="AP677">
        <v>0</v>
      </c>
      <c r="AQ677">
        <v>15</v>
      </c>
      <c r="AR677">
        <v>0</v>
      </c>
      <c r="AS677">
        <v>0</v>
      </c>
      <c r="AT677">
        <v>0</v>
      </c>
      <c r="AU677">
        <v>0</v>
      </c>
      <c r="AV677">
        <v>0</v>
      </c>
      <c r="AW677">
        <v>0</v>
      </c>
      <c r="AX677">
        <v>0</v>
      </c>
      <c r="AY677">
        <v>0</v>
      </c>
      <c r="AZ677">
        <v>0</v>
      </c>
      <c r="BA677">
        <v>0</v>
      </c>
      <c r="BB677">
        <v>0</v>
      </c>
      <c r="BC677">
        <v>0</v>
      </c>
      <c r="BD677">
        <v>0</v>
      </c>
      <c r="BE677">
        <v>0</v>
      </c>
      <c r="BF677">
        <v>0</v>
      </c>
      <c r="BG677">
        <v>0</v>
      </c>
      <c r="BH677">
        <v>1</v>
      </c>
      <c r="BI677">
        <v>1.5</v>
      </c>
      <c r="BJ677">
        <v>8.1</v>
      </c>
      <c r="BK677">
        <v>8.5</v>
      </c>
      <c r="BL677">
        <v>474.83</v>
      </c>
      <c r="BM677">
        <v>71.22</v>
      </c>
      <c r="BN677">
        <v>546.04999999999995</v>
      </c>
      <c r="BO677">
        <v>546.04999999999995</v>
      </c>
      <c r="BQ677" t="s">
        <v>733</v>
      </c>
      <c r="BR677" t="s">
        <v>1772</v>
      </c>
      <c r="BS677" s="3">
        <v>44601</v>
      </c>
      <c r="BT677" s="4">
        <v>0.4680555555555555</v>
      </c>
      <c r="BU677" t="s">
        <v>1271</v>
      </c>
      <c r="BV677" t="s">
        <v>101</v>
      </c>
      <c r="BY677">
        <v>40531.65</v>
      </c>
      <c r="BZ677" t="s">
        <v>121</v>
      </c>
      <c r="CA677" t="s">
        <v>1532</v>
      </c>
      <c r="CC677" t="s">
        <v>1530</v>
      </c>
      <c r="CD677">
        <v>450</v>
      </c>
      <c r="CE677" t="s">
        <v>130</v>
      </c>
      <c r="CF677" s="3">
        <v>44601</v>
      </c>
      <c r="CI677">
        <v>1</v>
      </c>
      <c r="CJ677">
        <v>1</v>
      </c>
      <c r="CK677">
        <v>23</v>
      </c>
      <c r="CL677" t="s">
        <v>84</v>
      </c>
    </row>
    <row r="678" spans="1:90" x14ac:dyDescent="0.25">
      <c r="A678" t="s">
        <v>1417</v>
      </c>
      <c r="B678" t="s">
        <v>1400</v>
      </c>
      <c r="C678" t="s">
        <v>74</v>
      </c>
      <c r="E678" t="str">
        <f>"009941618581"</f>
        <v>009941618581</v>
      </c>
      <c r="F678" s="3">
        <v>44600</v>
      </c>
      <c r="G678">
        <v>202208</v>
      </c>
      <c r="H678" t="s">
        <v>1436</v>
      </c>
      <c r="I678" t="s">
        <v>1437</v>
      </c>
      <c r="J678" t="s">
        <v>1401</v>
      </c>
      <c r="K678" t="s">
        <v>78</v>
      </c>
      <c r="L678" t="s">
        <v>282</v>
      </c>
      <c r="M678" t="s">
        <v>283</v>
      </c>
      <c r="N678" t="s">
        <v>1401</v>
      </c>
      <c r="O678" t="s">
        <v>80</v>
      </c>
      <c r="P678" t="str">
        <f>"STORES                        "</f>
        <v xml:space="preserve">STORES                        </v>
      </c>
      <c r="Q678">
        <v>0</v>
      </c>
      <c r="R678">
        <v>0</v>
      </c>
      <c r="S678">
        <v>0</v>
      </c>
      <c r="T678">
        <v>0</v>
      </c>
      <c r="U678">
        <v>0</v>
      </c>
      <c r="V678">
        <v>0</v>
      </c>
      <c r="W678">
        <v>0</v>
      </c>
      <c r="X678">
        <v>0</v>
      </c>
      <c r="Y678">
        <v>0</v>
      </c>
      <c r="Z678">
        <v>0</v>
      </c>
      <c r="AA678">
        <v>0</v>
      </c>
      <c r="AB678">
        <v>0</v>
      </c>
      <c r="AC678">
        <v>0</v>
      </c>
      <c r="AD678">
        <v>0</v>
      </c>
      <c r="AE678">
        <v>0</v>
      </c>
      <c r="AF678">
        <v>0</v>
      </c>
      <c r="AG678">
        <v>0</v>
      </c>
      <c r="AH678">
        <v>0</v>
      </c>
      <c r="AI678">
        <v>0</v>
      </c>
      <c r="AJ678">
        <v>0</v>
      </c>
      <c r="AK678">
        <v>105.82</v>
      </c>
      <c r="AL678">
        <v>0</v>
      </c>
      <c r="AM678">
        <v>0</v>
      </c>
      <c r="AN678">
        <v>0</v>
      </c>
      <c r="AO678">
        <v>0</v>
      </c>
      <c r="AP678">
        <v>0</v>
      </c>
      <c r="AQ678">
        <v>0</v>
      </c>
      <c r="AR678">
        <v>0</v>
      </c>
      <c r="AS678">
        <v>0</v>
      </c>
      <c r="AT678">
        <v>0</v>
      </c>
      <c r="AU678">
        <v>0</v>
      </c>
      <c r="AV678">
        <v>0</v>
      </c>
      <c r="AW678">
        <v>0</v>
      </c>
      <c r="AX678">
        <v>0</v>
      </c>
      <c r="AY678">
        <v>0</v>
      </c>
      <c r="AZ678">
        <v>0</v>
      </c>
      <c r="BA678">
        <v>0</v>
      </c>
      <c r="BB678">
        <v>0</v>
      </c>
      <c r="BC678">
        <v>0</v>
      </c>
      <c r="BD678">
        <v>0</v>
      </c>
      <c r="BE678">
        <v>0</v>
      </c>
      <c r="BF678">
        <v>0</v>
      </c>
      <c r="BG678">
        <v>0</v>
      </c>
      <c r="BH678">
        <v>1</v>
      </c>
      <c r="BI678">
        <v>1.2</v>
      </c>
      <c r="BJ678">
        <v>6.8</v>
      </c>
      <c r="BK678">
        <v>7</v>
      </c>
      <c r="BL678">
        <v>380.68</v>
      </c>
      <c r="BM678">
        <v>57.1</v>
      </c>
      <c r="BN678">
        <v>437.78</v>
      </c>
      <c r="BO678">
        <v>437.78</v>
      </c>
      <c r="BQ678" t="s">
        <v>733</v>
      </c>
      <c r="BR678" t="s">
        <v>1774</v>
      </c>
      <c r="BS678" s="3">
        <v>44601</v>
      </c>
      <c r="BT678" s="4">
        <v>0.39513888888888887</v>
      </c>
      <c r="BU678" t="s">
        <v>1522</v>
      </c>
      <c r="BV678" t="s">
        <v>101</v>
      </c>
      <c r="BY678">
        <v>33997.86</v>
      </c>
      <c r="BZ678" t="s">
        <v>87</v>
      </c>
      <c r="CA678" t="s">
        <v>287</v>
      </c>
      <c r="CC678" t="s">
        <v>283</v>
      </c>
      <c r="CD678">
        <v>300</v>
      </c>
      <c r="CE678" t="s">
        <v>130</v>
      </c>
      <c r="CF678" s="3">
        <v>44601</v>
      </c>
      <c r="CI678">
        <v>1</v>
      </c>
      <c r="CJ678">
        <v>1</v>
      </c>
      <c r="CK678">
        <v>23</v>
      </c>
      <c r="CL678" t="s">
        <v>84</v>
      </c>
    </row>
    <row r="679" spans="1:90" x14ac:dyDescent="0.25">
      <c r="A679" t="s">
        <v>1399</v>
      </c>
      <c r="B679" t="s">
        <v>1400</v>
      </c>
      <c r="C679" t="s">
        <v>74</v>
      </c>
      <c r="E679" t="str">
        <f>"009940901456"</f>
        <v>009940901456</v>
      </c>
      <c r="F679" s="3">
        <v>44600</v>
      </c>
      <c r="G679">
        <v>202208</v>
      </c>
      <c r="H679" t="s">
        <v>401</v>
      </c>
      <c r="I679" t="s">
        <v>402</v>
      </c>
      <c r="J679" t="s">
        <v>1401</v>
      </c>
      <c r="K679" t="s">
        <v>78</v>
      </c>
      <c r="L679" t="s">
        <v>153</v>
      </c>
      <c r="M679" t="s">
        <v>154</v>
      </c>
      <c r="N679" t="s">
        <v>1401</v>
      </c>
      <c r="O679" t="s">
        <v>125</v>
      </c>
      <c r="P679" t="str">
        <f>"                              "</f>
        <v xml:space="preserve">                              </v>
      </c>
      <c r="Q679">
        <v>0</v>
      </c>
      <c r="R679">
        <v>0</v>
      </c>
      <c r="S679">
        <v>0</v>
      </c>
      <c r="T679">
        <v>0</v>
      </c>
      <c r="U679">
        <v>0</v>
      </c>
      <c r="V679">
        <v>0</v>
      </c>
      <c r="W679">
        <v>0</v>
      </c>
      <c r="X679">
        <v>0</v>
      </c>
      <c r="Y679">
        <v>0</v>
      </c>
      <c r="Z679">
        <v>0</v>
      </c>
      <c r="AA679">
        <v>0</v>
      </c>
      <c r="AB679">
        <v>0</v>
      </c>
      <c r="AC679">
        <v>0</v>
      </c>
      <c r="AD679">
        <v>0</v>
      </c>
      <c r="AE679">
        <v>0</v>
      </c>
      <c r="AF679">
        <v>0</v>
      </c>
      <c r="AG679">
        <v>0</v>
      </c>
      <c r="AH679">
        <v>0</v>
      </c>
      <c r="AI679">
        <v>0</v>
      </c>
      <c r="AJ679">
        <v>0</v>
      </c>
      <c r="AK679">
        <v>111.24</v>
      </c>
      <c r="AL679">
        <v>0</v>
      </c>
      <c r="AM679">
        <v>0</v>
      </c>
      <c r="AN679">
        <v>0</v>
      </c>
      <c r="AO679">
        <v>0</v>
      </c>
      <c r="AP679">
        <v>0</v>
      </c>
      <c r="AQ679">
        <v>0</v>
      </c>
      <c r="AR679">
        <v>0</v>
      </c>
      <c r="AS679">
        <v>0</v>
      </c>
      <c r="AT679">
        <v>0</v>
      </c>
      <c r="AU679">
        <v>0</v>
      </c>
      <c r="AV679">
        <v>0</v>
      </c>
      <c r="AW679">
        <v>0</v>
      </c>
      <c r="AX679">
        <v>0</v>
      </c>
      <c r="AY679">
        <v>0</v>
      </c>
      <c r="AZ679">
        <v>0</v>
      </c>
      <c r="BA679">
        <v>0</v>
      </c>
      <c r="BB679">
        <v>0</v>
      </c>
      <c r="BC679">
        <v>0</v>
      </c>
      <c r="BD679">
        <v>0</v>
      </c>
      <c r="BE679">
        <v>0</v>
      </c>
      <c r="BF679">
        <v>0</v>
      </c>
      <c r="BG679">
        <v>0</v>
      </c>
      <c r="BH679">
        <v>4</v>
      </c>
      <c r="BI679">
        <v>65.7</v>
      </c>
      <c r="BJ679">
        <v>73.5</v>
      </c>
      <c r="BK679">
        <v>74</v>
      </c>
      <c r="BL679">
        <v>405.42</v>
      </c>
      <c r="BM679">
        <v>60.81</v>
      </c>
      <c r="BN679">
        <v>466.23</v>
      </c>
      <c r="BO679">
        <v>466.23</v>
      </c>
      <c r="BQ679" t="s">
        <v>311</v>
      </c>
      <c r="BS679" s="3">
        <v>44601</v>
      </c>
      <c r="BT679" s="4">
        <v>0.3444444444444445</v>
      </c>
      <c r="BU679" t="s">
        <v>1533</v>
      </c>
      <c r="BV679" t="s">
        <v>101</v>
      </c>
      <c r="BY679">
        <v>367364.18</v>
      </c>
      <c r="BZ679" t="s">
        <v>137</v>
      </c>
      <c r="CA679" t="s">
        <v>928</v>
      </c>
      <c r="CC679" t="s">
        <v>154</v>
      </c>
      <c r="CD679">
        <v>2196</v>
      </c>
      <c r="CE679" t="s">
        <v>130</v>
      </c>
      <c r="CF679" s="3">
        <v>44602</v>
      </c>
      <c r="CI679">
        <v>1</v>
      </c>
      <c r="CJ679">
        <v>1</v>
      </c>
      <c r="CK679">
        <v>41</v>
      </c>
      <c r="CL679" t="s">
        <v>84</v>
      </c>
    </row>
    <row r="680" spans="1:90" x14ac:dyDescent="0.25">
      <c r="A680" t="s">
        <v>1417</v>
      </c>
      <c r="B680" t="s">
        <v>1400</v>
      </c>
      <c r="C680" t="s">
        <v>74</v>
      </c>
      <c r="E680" t="str">
        <f>"009941618964"</f>
        <v>009941618964</v>
      </c>
      <c r="F680" s="3">
        <v>44600</v>
      </c>
      <c r="G680">
        <v>202208</v>
      </c>
      <c r="H680" t="s">
        <v>1436</v>
      </c>
      <c r="I680" t="s">
        <v>1437</v>
      </c>
      <c r="J680" t="s">
        <v>1401</v>
      </c>
      <c r="K680" t="s">
        <v>78</v>
      </c>
      <c r="L680" t="s">
        <v>131</v>
      </c>
      <c r="M680" t="s">
        <v>132</v>
      </c>
      <c r="N680" t="s">
        <v>1401</v>
      </c>
      <c r="O680" t="s">
        <v>125</v>
      </c>
      <c r="P680" t="str">
        <f>"STORES                        "</f>
        <v xml:space="preserve">STORES                        </v>
      </c>
      <c r="Q680">
        <v>0</v>
      </c>
      <c r="R680">
        <v>0</v>
      </c>
      <c r="S680">
        <v>0</v>
      </c>
      <c r="T680">
        <v>0</v>
      </c>
      <c r="U680">
        <v>0</v>
      </c>
      <c r="V680">
        <v>0</v>
      </c>
      <c r="W680">
        <v>0</v>
      </c>
      <c r="X680">
        <v>0</v>
      </c>
      <c r="Y680">
        <v>0</v>
      </c>
      <c r="Z680">
        <v>0</v>
      </c>
      <c r="AA680">
        <v>0</v>
      </c>
      <c r="AB680">
        <v>0</v>
      </c>
      <c r="AC680">
        <v>0</v>
      </c>
      <c r="AD680">
        <v>0</v>
      </c>
      <c r="AE680">
        <v>0</v>
      </c>
      <c r="AF680">
        <v>0</v>
      </c>
      <c r="AG680">
        <v>0</v>
      </c>
      <c r="AH680">
        <v>0</v>
      </c>
      <c r="AI680">
        <v>0</v>
      </c>
      <c r="AJ680">
        <v>0</v>
      </c>
      <c r="AK680">
        <v>124.6</v>
      </c>
      <c r="AL680">
        <v>0</v>
      </c>
      <c r="AM680">
        <v>0</v>
      </c>
      <c r="AN680">
        <v>0</v>
      </c>
      <c r="AO680">
        <v>0</v>
      </c>
      <c r="AP680">
        <v>0</v>
      </c>
      <c r="AQ680">
        <v>0</v>
      </c>
      <c r="AR680">
        <v>0</v>
      </c>
      <c r="AS680">
        <v>0</v>
      </c>
      <c r="AT680">
        <v>0</v>
      </c>
      <c r="AU680">
        <v>0</v>
      </c>
      <c r="AV680">
        <v>0</v>
      </c>
      <c r="AW680">
        <v>0</v>
      </c>
      <c r="AX680">
        <v>0</v>
      </c>
      <c r="AY680">
        <v>0</v>
      </c>
      <c r="AZ680">
        <v>0</v>
      </c>
      <c r="BA680">
        <v>0</v>
      </c>
      <c r="BB680">
        <v>0</v>
      </c>
      <c r="BC680">
        <v>0</v>
      </c>
      <c r="BD680">
        <v>0</v>
      </c>
      <c r="BE680">
        <v>0</v>
      </c>
      <c r="BF680">
        <v>0</v>
      </c>
      <c r="BG680">
        <v>0</v>
      </c>
      <c r="BH680">
        <v>3</v>
      </c>
      <c r="BI680">
        <v>83.3</v>
      </c>
      <c r="BJ680">
        <v>51.5</v>
      </c>
      <c r="BK680">
        <v>84</v>
      </c>
      <c r="BL680">
        <v>453.48</v>
      </c>
      <c r="BM680">
        <v>68.02</v>
      </c>
      <c r="BN680">
        <v>521.5</v>
      </c>
      <c r="BO680">
        <v>521.5</v>
      </c>
      <c r="BQ680" t="s">
        <v>733</v>
      </c>
      <c r="BR680" t="s">
        <v>1533</v>
      </c>
      <c r="BS680" s="3">
        <v>44602</v>
      </c>
      <c r="BT680" s="4">
        <v>0.41666666666666669</v>
      </c>
      <c r="BU680" t="s">
        <v>1776</v>
      </c>
      <c r="BV680" t="s">
        <v>84</v>
      </c>
      <c r="BW680" t="s">
        <v>268</v>
      </c>
      <c r="BX680" t="s">
        <v>240</v>
      </c>
      <c r="BY680">
        <v>228037.19</v>
      </c>
      <c r="BZ680" t="s">
        <v>137</v>
      </c>
      <c r="CA680" t="s">
        <v>1492</v>
      </c>
      <c r="CC680" t="s">
        <v>132</v>
      </c>
      <c r="CD680">
        <v>4091</v>
      </c>
      <c r="CE680" t="s">
        <v>130</v>
      </c>
      <c r="CF680" s="3">
        <v>44602</v>
      </c>
      <c r="CI680">
        <v>1</v>
      </c>
      <c r="CJ680">
        <v>2</v>
      </c>
      <c r="CK680">
        <v>41</v>
      </c>
      <c r="CL680" t="s">
        <v>84</v>
      </c>
    </row>
    <row r="681" spans="1:90" x14ac:dyDescent="0.25">
      <c r="A681" t="s">
        <v>1399</v>
      </c>
      <c r="B681" t="s">
        <v>1400</v>
      </c>
      <c r="C681" t="s">
        <v>74</v>
      </c>
      <c r="E681" t="str">
        <f>"009941792959"</f>
        <v>009941792959</v>
      </c>
      <c r="F681" s="3">
        <v>44600</v>
      </c>
      <c r="G681">
        <v>202208</v>
      </c>
      <c r="H681" t="s">
        <v>1755</v>
      </c>
      <c r="I681" t="s">
        <v>1756</v>
      </c>
      <c r="J681" t="s">
        <v>1777</v>
      </c>
      <c r="K681" t="s">
        <v>78</v>
      </c>
      <c r="L681" t="s">
        <v>401</v>
      </c>
      <c r="M681" t="s">
        <v>402</v>
      </c>
      <c r="N681" t="s">
        <v>1401</v>
      </c>
      <c r="O681" t="s">
        <v>125</v>
      </c>
      <c r="P681" t="str">
        <f t="shared" ref="P681:P690" si="12">"                              "</f>
        <v xml:space="preserve">                              </v>
      </c>
      <c r="Q681">
        <v>0</v>
      </c>
      <c r="R681">
        <v>0</v>
      </c>
      <c r="S681">
        <v>0</v>
      </c>
      <c r="T681">
        <v>0</v>
      </c>
      <c r="U681">
        <v>0</v>
      </c>
      <c r="V681">
        <v>0</v>
      </c>
      <c r="W681">
        <v>0</v>
      </c>
      <c r="X681">
        <v>0</v>
      </c>
      <c r="Y681">
        <v>0</v>
      </c>
      <c r="Z681">
        <v>0</v>
      </c>
      <c r="AA681">
        <v>0</v>
      </c>
      <c r="AB681">
        <v>0</v>
      </c>
      <c r="AC681">
        <v>0</v>
      </c>
      <c r="AD681">
        <v>0</v>
      </c>
      <c r="AE681">
        <v>0</v>
      </c>
      <c r="AF681">
        <v>0</v>
      </c>
      <c r="AG681">
        <v>0</v>
      </c>
      <c r="AH681">
        <v>0</v>
      </c>
      <c r="AI681">
        <v>0</v>
      </c>
      <c r="AJ681">
        <v>0</v>
      </c>
      <c r="AK681">
        <v>62.82</v>
      </c>
      <c r="AL681">
        <v>0</v>
      </c>
      <c r="AM681">
        <v>0</v>
      </c>
      <c r="AN681">
        <v>0</v>
      </c>
      <c r="AO681">
        <v>0</v>
      </c>
      <c r="AP681">
        <v>0</v>
      </c>
      <c r="AQ681">
        <v>0</v>
      </c>
      <c r="AR681">
        <v>0</v>
      </c>
      <c r="AS681">
        <v>0</v>
      </c>
      <c r="AT681">
        <v>0</v>
      </c>
      <c r="AU681">
        <v>0</v>
      </c>
      <c r="AV681">
        <v>0</v>
      </c>
      <c r="AW681">
        <v>0</v>
      </c>
      <c r="AX681">
        <v>0</v>
      </c>
      <c r="AY681">
        <v>0</v>
      </c>
      <c r="AZ681">
        <v>0</v>
      </c>
      <c r="BA681">
        <v>0</v>
      </c>
      <c r="BB681">
        <v>0</v>
      </c>
      <c r="BC681">
        <v>0</v>
      </c>
      <c r="BD681">
        <v>0</v>
      </c>
      <c r="BE681">
        <v>0</v>
      </c>
      <c r="BF681">
        <v>0</v>
      </c>
      <c r="BG681">
        <v>0</v>
      </c>
      <c r="BH681">
        <v>1</v>
      </c>
      <c r="BI681">
        <v>29</v>
      </c>
      <c r="BJ681">
        <v>43.7</v>
      </c>
      <c r="BK681">
        <v>44</v>
      </c>
      <c r="BL681">
        <v>231.24</v>
      </c>
      <c r="BM681">
        <v>34.69</v>
      </c>
      <c r="BN681">
        <v>265.93</v>
      </c>
      <c r="BO681">
        <v>265.93</v>
      </c>
      <c r="BR681" t="s">
        <v>1778</v>
      </c>
      <c r="BS681" s="3">
        <v>44600</v>
      </c>
      <c r="BT681" s="4">
        <v>0.51180555555555551</v>
      </c>
      <c r="BU681" t="s">
        <v>1534</v>
      </c>
      <c r="BV681" t="s">
        <v>101</v>
      </c>
      <c r="BY681">
        <v>218400</v>
      </c>
      <c r="BZ681" t="s">
        <v>137</v>
      </c>
      <c r="CA681" t="s">
        <v>1507</v>
      </c>
      <c r="CC681" t="s">
        <v>402</v>
      </c>
      <c r="CD681">
        <v>700</v>
      </c>
      <c r="CE681" t="s">
        <v>130</v>
      </c>
      <c r="CF681" s="3">
        <v>44600</v>
      </c>
      <c r="CI681">
        <v>1</v>
      </c>
      <c r="CJ681">
        <v>0</v>
      </c>
      <c r="CK681">
        <v>44</v>
      </c>
      <c r="CL681" t="s">
        <v>84</v>
      </c>
    </row>
    <row r="682" spans="1:90" x14ac:dyDescent="0.25">
      <c r="A682" t="s">
        <v>1399</v>
      </c>
      <c r="B682" t="s">
        <v>1400</v>
      </c>
      <c r="C682" t="s">
        <v>74</v>
      </c>
      <c r="E682" t="str">
        <f>"009941905281"</f>
        <v>009941905281</v>
      </c>
      <c r="F682" s="3">
        <v>44600</v>
      </c>
      <c r="G682">
        <v>202208</v>
      </c>
      <c r="H682" t="s">
        <v>1599</v>
      </c>
      <c r="I682" t="s">
        <v>1600</v>
      </c>
      <c r="J682" t="s">
        <v>1401</v>
      </c>
      <c r="K682" t="s">
        <v>78</v>
      </c>
      <c r="L682" t="s">
        <v>401</v>
      </c>
      <c r="M682" t="s">
        <v>402</v>
      </c>
      <c r="N682" t="s">
        <v>1401</v>
      </c>
      <c r="O682" t="s">
        <v>125</v>
      </c>
      <c r="P682" t="str">
        <f t="shared" si="12"/>
        <v xml:space="preserve">                              </v>
      </c>
      <c r="Q682">
        <v>0</v>
      </c>
      <c r="R682">
        <v>0</v>
      </c>
      <c r="S682">
        <v>0</v>
      </c>
      <c r="T682">
        <v>0</v>
      </c>
      <c r="U682">
        <v>0</v>
      </c>
      <c r="V682">
        <v>0</v>
      </c>
      <c r="W682">
        <v>0</v>
      </c>
      <c r="X682">
        <v>0</v>
      </c>
      <c r="Y682">
        <v>0</v>
      </c>
      <c r="Z682">
        <v>0</v>
      </c>
      <c r="AA682">
        <v>0</v>
      </c>
      <c r="AB682">
        <v>0</v>
      </c>
      <c r="AC682">
        <v>0</v>
      </c>
      <c r="AD682">
        <v>0</v>
      </c>
      <c r="AE682">
        <v>0</v>
      </c>
      <c r="AF682">
        <v>0</v>
      </c>
      <c r="AG682">
        <v>0</v>
      </c>
      <c r="AH682">
        <v>0</v>
      </c>
      <c r="AI682">
        <v>0</v>
      </c>
      <c r="AJ682">
        <v>0</v>
      </c>
      <c r="AK682">
        <v>87.98</v>
      </c>
      <c r="AL682">
        <v>0</v>
      </c>
      <c r="AM682">
        <v>0</v>
      </c>
      <c r="AN682">
        <v>0</v>
      </c>
      <c r="AO682">
        <v>0</v>
      </c>
      <c r="AP682">
        <v>0</v>
      </c>
      <c r="AQ682">
        <v>0</v>
      </c>
      <c r="AR682">
        <v>0</v>
      </c>
      <c r="AS682">
        <v>0</v>
      </c>
      <c r="AT682">
        <v>0</v>
      </c>
      <c r="AU682">
        <v>0</v>
      </c>
      <c r="AV682">
        <v>0</v>
      </c>
      <c r="AW682">
        <v>0</v>
      </c>
      <c r="AX682">
        <v>0</v>
      </c>
      <c r="AY682">
        <v>0</v>
      </c>
      <c r="AZ682">
        <v>0</v>
      </c>
      <c r="BA682">
        <v>0</v>
      </c>
      <c r="BB682">
        <v>0</v>
      </c>
      <c r="BC682">
        <v>0</v>
      </c>
      <c r="BD682">
        <v>0</v>
      </c>
      <c r="BE682">
        <v>0</v>
      </c>
      <c r="BF682">
        <v>0</v>
      </c>
      <c r="BG682">
        <v>0</v>
      </c>
      <c r="BH682">
        <v>2</v>
      </c>
      <c r="BI682">
        <v>50</v>
      </c>
      <c r="BJ682">
        <v>70.5</v>
      </c>
      <c r="BK682">
        <v>71</v>
      </c>
      <c r="BL682">
        <v>321.74</v>
      </c>
      <c r="BM682">
        <v>48.26</v>
      </c>
      <c r="BN682">
        <v>370</v>
      </c>
      <c r="BO682">
        <v>370</v>
      </c>
      <c r="BR682" t="s">
        <v>1722</v>
      </c>
      <c r="BS682" s="3">
        <v>44600</v>
      </c>
      <c r="BT682" s="4">
        <v>0.51180555555555551</v>
      </c>
      <c r="BU682" t="s">
        <v>1779</v>
      </c>
      <c r="BV682" t="s">
        <v>101</v>
      </c>
      <c r="BY682">
        <v>352728</v>
      </c>
      <c r="BZ682" t="s">
        <v>137</v>
      </c>
      <c r="CA682" t="s">
        <v>1507</v>
      </c>
      <c r="CC682" t="s">
        <v>402</v>
      </c>
      <c r="CD682">
        <v>700</v>
      </c>
      <c r="CE682" t="s">
        <v>130</v>
      </c>
      <c r="CF682" s="3">
        <v>44600</v>
      </c>
      <c r="CI682">
        <v>1</v>
      </c>
      <c r="CJ682">
        <v>0</v>
      </c>
      <c r="CK682">
        <v>44</v>
      </c>
      <c r="CL682" t="s">
        <v>84</v>
      </c>
    </row>
    <row r="683" spans="1:90" x14ac:dyDescent="0.25">
      <c r="A683" t="s">
        <v>1417</v>
      </c>
      <c r="B683" t="s">
        <v>1400</v>
      </c>
      <c r="C683" t="s">
        <v>74</v>
      </c>
      <c r="E683" t="str">
        <f>"009941108093"</f>
        <v>009941108093</v>
      </c>
      <c r="F683" s="3">
        <v>44600</v>
      </c>
      <c r="G683">
        <v>202208</v>
      </c>
      <c r="H683" t="s">
        <v>282</v>
      </c>
      <c r="I683" t="s">
        <v>283</v>
      </c>
      <c r="J683" t="s">
        <v>1401</v>
      </c>
      <c r="K683" t="s">
        <v>78</v>
      </c>
      <c r="L683" t="s">
        <v>435</v>
      </c>
      <c r="M683" t="s">
        <v>436</v>
      </c>
      <c r="N683" t="s">
        <v>1780</v>
      </c>
      <c r="O683" t="s">
        <v>125</v>
      </c>
      <c r="P683" t="str">
        <f t="shared" si="12"/>
        <v xml:space="preserve">                              </v>
      </c>
      <c r="Q683">
        <v>0</v>
      </c>
      <c r="R683">
        <v>0</v>
      </c>
      <c r="S683">
        <v>0</v>
      </c>
      <c r="T683">
        <v>0</v>
      </c>
      <c r="U683">
        <v>0</v>
      </c>
      <c r="V683">
        <v>0</v>
      </c>
      <c r="W683">
        <v>0</v>
      </c>
      <c r="X683">
        <v>0</v>
      </c>
      <c r="Y683">
        <v>0</v>
      </c>
      <c r="Z683">
        <v>0</v>
      </c>
      <c r="AA683">
        <v>0</v>
      </c>
      <c r="AB683">
        <v>0</v>
      </c>
      <c r="AC683">
        <v>0</v>
      </c>
      <c r="AD683">
        <v>0</v>
      </c>
      <c r="AE683">
        <v>0</v>
      </c>
      <c r="AF683">
        <v>0</v>
      </c>
      <c r="AG683">
        <v>0</v>
      </c>
      <c r="AH683">
        <v>0</v>
      </c>
      <c r="AI683">
        <v>0</v>
      </c>
      <c r="AJ683">
        <v>0</v>
      </c>
      <c r="AK683">
        <v>143.87</v>
      </c>
      <c r="AL683">
        <v>0</v>
      </c>
      <c r="AM683">
        <v>0</v>
      </c>
      <c r="AN683">
        <v>0</v>
      </c>
      <c r="AO683">
        <v>0</v>
      </c>
      <c r="AP683">
        <v>0</v>
      </c>
      <c r="AQ683">
        <v>0</v>
      </c>
      <c r="AR683">
        <v>0</v>
      </c>
      <c r="AS683">
        <v>0</v>
      </c>
      <c r="AT683">
        <v>0</v>
      </c>
      <c r="AU683">
        <v>0</v>
      </c>
      <c r="AV683">
        <v>0</v>
      </c>
      <c r="AW683">
        <v>0</v>
      </c>
      <c r="AX683">
        <v>0</v>
      </c>
      <c r="AY683">
        <v>0</v>
      </c>
      <c r="AZ683">
        <v>0</v>
      </c>
      <c r="BA683">
        <v>0</v>
      </c>
      <c r="BB683">
        <v>0</v>
      </c>
      <c r="BC683">
        <v>0</v>
      </c>
      <c r="BD683">
        <v>0</v>
      </c>
      <c r="BE683">
        <v>0</v>
      </c>
      <c r="BF683">
        <v>0</v>
      </c>
      <c r="BG683">
        <v>0</v>
      </c>
      <c r="BH683">
        <v>1</v>
      </c>
      <c r="BI683">
        <v>15.9</v>
      </c>
      <c r="BJ683">
        <v>56.9</v>
      </c>
      <c r="BK683">
        <v>57</v>
      </c>
      <c r="BL683">
        <v>522.80999999999995</v>
      </c>
      <c r="BM683">
        <v>78.42</v>
      </c>
      <c r="BN683">
        <v>601.23</v>
      </c>
      <c r="BO683">
        <v>601.23</v>
      </c>
      <c r="BQ683" t="s">
        <v>1781</v>
      </c>
      <c r="BR683" t="s">
        <v>1421</v>
      </c>
      <c r="BS683" s="3">
        <v>44601</v>
      </c>
      <c r="BT683" s="4">
        <v>0.5</v>
      </c>
      <c r="BU683" t="s">
        <v>1594</v>
      </c>
      <c r="BV683" t="s">
        <v>101</v>
      </c>
      <c r="BY683">
        <v>284310</v>
      </c>
      <c r="BZ683" t="s">
        <v>137</v>
      </c>
      <c r="CA683" t="s">
        <v>1518</v>
      </c>
      <c r="CC683" t="s">
        <v>436</v>
      </c>
      <c r="CD683">
        <v>2570</v>
      </c>
      <c r="CE683" t="s">
        <v>1782</v>
      </c>
      <c r="CF683" s="3">
        <v>44602</v>
      </c>
      <c r="CI683">
        <v>1</v>
      </c>
      <c r="CJ683">
        <v>1</v>
      </c>
      <c r="CK683">
        <v>43</v>
      </c>
      <c r="CL683" t="s">
        <v>84</v>
      </c>
    </row>
    <row r="684" spans="1:90" x14ac:dyDescent="0.25">
      <c r="A684" t="s">
        <v>1399</v>
      </c>
      <c r="B684" t="s">
        <v>1400</v>
      </c>
      <c r="C684" t="s">
        <v>74</v>
      </c>
      <c r="E684" t="str">
        <f>"009941331384"</f>
        <v>009941331384</v>
      </c>
      <c r="F684" s="3">
        <v>44600</v>
      </c>
      <c r="G684">
        <v>202208</v>
      </c>
      <c r="H684" t="s">
        <v>435</v>
      </c>
      <c r="I684" t="s">
        <v>436</v>
      </c>
      <c r="J684" t="s">
        <v>1401</v>
      </c>
      <c r="K684" t="s">
        <v>78</v>
      </c>
      <c r="L684" t="s">
        <v>282</v>
      </c>
      <c r="M684" t="s">
        <v>283</v>
      </c>
      <c r="N684" t="s">
        <v>1401</v>
      </c>
      <c r="O684" t="s">
        <v>125</v>
      </c>
      <c r="P684" t="str">
        <f t="shared" si="12"/>
        <v xml:space="preserve">                              </v>
      </c>
      <c r="Q684">
        <v>0</v>
      </c>
      <c r="R684">
        <v>0</v>
      </c>
      <c r="S684">
        <v>0</v>
      </c>
      <c r="T684">
        <v>0</v>
      </c>
      <c r="U684">
        <v>0</v>
      </c>
      <c r="V684">
        <v>0</v>
      </c>
      <c r="W684">
        <v>0</v>
      </c>
      <c r="X684">
        <v>0</v>
      </c>
      <c r="Y684">
        <v>0</v>
      </c>
      <c r="Z684">
        <v>0</v>
      </c>
      <c r="AA684">
        <v>0</v>
      </c>
      <c r="AB684">
        <v>0</v>
      </c>
      <c r="AC684">
        <v>0</v>
      </c>
      <c r="AD684">
        <v>0</v>
      </c>
      <c r="AE684">
        <v>0</v>
      </c>
      <c r="AF684">
        <v>0</v>
      </c>
      <c r="AG684">
        <v>0</v>
      </c>
      <c r="AH684">
        <v>0</v>
      </c>
      <c r="AI684">
        <v>0</v>
      </c>
      <c r="AJ684">
        <v>0</v>
      </c>
      <c r="AK684">
        <v>104.14</v>
      </c>
      <c r="AL684">
        <v>0</v>
      </c>
      <c r="AM684">
        <v>0</v>
      </c>
      <c r="AN684">
        <v>0</v>
      </c>
      <c r="AO684">
        <v>0</v>
      </c>
      <c r="AP684">
        <v>0</v>
      </c>
      <c r="AQ684">
        <v>0</v>
      </c>
      <c r="AR684">
        <v>0</v>
      </c>
      <c r="AS684">
        <v>0</v>
      </c>
      <c r="AT684">
        <v>0</v>
      </c>
      <c r="AU684">
        <v>0</v>
      </c>
      <c r="AV684">
        <v>0</v>
      </c>
      <c r="AW684">
        <v>0</v>
      </c>
      <c r="AX684">
        <v>0</v>
      </c>
      <c r="AY684">
        <v>0</v>
      </c>
      <c r="AZ684">
        <v>0</v>
      </c>
      <c r="BA684">
        <v>0</v>
      </c>
      <c r="BB684">
        <v>0</v>
      </c>
      <c r="BC684">
        <v>0</v>
      </c>
      <c r="BD684">
        <v>0</v>
      </c>
      <c r="BE684">
        <v>0</v>
      </c>
      <c r="BF684">
        <v>0</v>
      </c>
      <c r="BG684">
        <v>0</v>
      </c>
      <c r="BH684">
        <v>1</v>
      </c>
      <c r="BI684">
        <v>18</v>
      </c>
      <c r="BJ684">
        <v>39.5</v>
      </c>
      <c r="BK684">
        <v>40</v>
      </c>
      <c r="BL684">
        <v>379.89</v>
      </c>
      <c r="BM684">
        <v>56.98</v>
      </c>
      <c r="BN684">
        <v>436.87</v>
      </c>
      <c r="BO684">
        <v>436.87</v>
      </c>
      <c r="BQ684" t="s">
        <v>1421</v>
      </c>
      <c r="BR684" t="s">
        <v>1141</v>
      </c>
      <c r="BS684" s="3">
        <v>44601</v>
      </c>
      <c r="BT684" s="4">
        <v>0.39444444444444443</v>
      </c>
      <c r="BU684" t="s">
        <v>1522</v>
      </c>
      <c r="BV684" t="s">
        <v>101</v>
      </c>
      <c r="BY684">
        <v>197600</v>
      </c>
      <c r="BZ684" t="s">
        <v>137</v>
      </c>
      <c r="CA684" t="s">
        <v>287</v>
      </c>
      <c r="CC684" t="s">
        <v>283</v>
      </c>
      <c r="CD684">
        <v>300</v>
      </c>
      <c r="CE684" t="s">
        <v>1783</v>
      </c>
      <c r="CF684" s="3">
        <v>44601</v>
      </c>
      <c r="CI684">
        <v>1</v>
      </c>
      <c r="CJ684">
        <v>1</v>
      </c>
      <c r="CK684">
        <v>43</v>
      </c>
      <c r="CL684" t="s">
        <v>84</v>
      </c>
    </row>
    <row r="685" spans="1:90" x14ac:dyDescent="0.25">
      <c r="A685" t="s">
        <v>1399</v>
      </c>
      <c r="B685" t="s">
        <v>1400</v>
      </c>
      <c r="C685" t="s">
        <v>74</v>
      </c>
      <c r="E685" t="str">
        <f>"009941994659"</f>
        <v>009941994659</v>
      </c>
      <c r="F685" s="3">
        <v>44600</v>
      </c>
      <c r="G685">
        <v>202208</v>
      </c>
      <c r="H685" t="s">
        <v>761</v>
      </c>
      <c r="I685" t="s">
        <v>762</v>
      </c>
      <c r="J685" t="s">
        <v>1401</v>
      </c>
      <c r="K685" t="s">
        <v>78</v>
      </c>
      <c r="L685" t="s">
        <v>481</v>
      </c>
      <c r="M685" t="s">
        <v>482</v>
      </c>
      <c r="N685" t="s">
        <v>1523</v>
      </c>
      <c r="O685" t="s">
        <v>125</v>
      </c>
      <c r="P685" t="str">
        <f t="shared" si="12"/>
        <v xml:space="preserve">                              </v>
      </c>
      <c r="Q685">
        <v>0</v>
      </c>
      <c r="R685">
        <v>0</v>
      </c>
      <c r="S685">
        <v>0</v>
      </c>
      <c r="T685">
        <v>0</v>
      </c>
      <c r="U685">
        <v>0</v>
      </c>
      <c r="V685">
        <v>0</v>
      </c>
      <c r="W685">
        <v>0</v>
      </c>
      <c r="X685">
        <v>0</v>
      </c>
      <c r="Y685">
        <v>0</v>
      </c>
      <c r="Z685">
        <v>0</v>
      </c>
      <c r="AA685">
        <v>0</v>
      </c>
      <c r="AB685">
        <v>0</v>
      </c>
      <c r="AC685">
        <v>0</v>
      </c>
      <c r="AD685">
        <v>0</v>
      </c>
      <c r="AE685">
        <v>0</v>
      </c>
      <c r="AF685">
        <v>0</v>
      </c>
      <c r="AG685">
        <v>0</v>
      </c>
      <c r="AH685">
        <v>0</v>
      </c>
      <c r="AI685">
        <v>0</v>
      </c>
      <c r="AJ685">
        <v>0</v>
      </c>
      <c r="AK685">
        <v>45.72</v>
      </c>
      <c r="AL685">
        <v>0</v>
      </c>
      <c r="AM685">
        <v>0</v>
      </c>
      <c r="AN685">
        <v>0</v>
      </c>
      <c r="AO685">
        <v>0</v>
      </c>
      <c r="AP685">
        <v>0</v>
      </c>
      <c r="AQ685">
        <v>0</v>
      </c>
      <c r="AR685">
        <v>0</v>
      </c>
      <c r="AS685">
        <v>0</v>
      </c>
      <c r="AT685">
        <v>0</v>
      </c>
      <c r="AU685">
        <v>0</v>
      </c>
      <c r="AV685">
        <v>0</v>
      </c>
      <c r="AW685">
        <v>0</v>
      </c>
      <c r="AX685">
        <v>0</v>
      </c>
      <c r="AY685">
        <v>0</v>
      </c>
      <c r="AZ685">
        <v>0</v>
      </c>
      <c r="BA685">
        <v>0</v>
      </c>
      <c r="BB685">
        <v>0</v>
      </c>
      <c r="BC685">
        <v>0</v>
      </c>
      <c r="BD685">
        <v>0</v>
      </c>
      <c r="BE685">
        <v>0</v>
      </c>
      <c r="BF685">
        <v>0</v>
      </c>
      <c r="BG685">
        <v>0</v>
      </c>
      <c r="BH685">
        <v>1</v>
      </c>
      <c r="BI685">
        <v>2</v>
      </c>
      <c r="BJ685">
        <v>1.2</v>
      </c>
      <c r="BK685">
        <v>2</v>
      </c>
      <c r="BL685">
        <v>169.72</v>
      </c>
      <c r="BM685">
        <v>25.46</v>
      </c>
      <c r="BN685">
        <v>195.18</v>
      </c>
      <c r="BO685">
        <v>195.18</v>
      </c>
      <c r="BQ685" t="s">
        <v>1784</v>
      </c>
      <c r="BR685" t="s">
        <v>1482</v>
      </c>
      <c r="BS685" s="3">
        <v>44601</v>
      </c>
      <c r="BT685" s="4">
        <v>0.40972222222222227</v>
      </c>
      <c r="BU685" t="s">
        <v>1785</v>
      </c>
      <c r="BV685" t="s">
        <v>101</v>
      </c>
      <c r="BY685">
        <v>6000</v>
      </c>
      <c r="BZ685" t="s">
        <v>137</v>
      </c>
      <c r="CC685" t="s">
        <v>482</v>
      </c>
      <c r="CD685">
        <v>9700</v>
      </c>
      <c r="CE685" t="s">
        <v>130</v>
      </c>
      <c r="CF685" s="3">
        <v>44601</v>
      </c>
      <c r="CI685">
        <v>1</v>
      </c>
      <c r="CJ685">
        <v>1</v>
      </c>
      <c r="CK685">
        <v>43</v>
      </c>
      <c r="CL685" t="s">
        <v>84</v>
      </c>
    </row>
    <row r="686" spans="1:90" x14ac:dyDescent="0.25">
      <c r="A686" t="s">
        <v>1399</v>
      </c>
      <c r="B686" t="s">
        <v>1400</v>
      </c>
      <c r="C686" t="s">
        <v>74</v>
      </c>
      <c r="E686" t="str">
        <f>"009941994660"</f>
        <v>009941994660</v>
      </c>
      <c r="F686" s="3">
        <v>44600</v>
      </c>
      <c r="G686">
        <v>202208</v>
      </c>
      <c r="H686" t="s">
        <v>761</v>
      </c>
      <c r="I686" t="s">
        <v>762</v>
      </c>
      <c r="J686" t="s">
        <v>1401</v>
      </c>
      <c r="K686" t="s">
        <v>78</v>
      </c>
      <c r="L686" t="s">
        <v>1436</v>
      </c>
      <c r="M686" t="s">
        <v>1437</v>
      </c>
      <c r="N686" t="s">
        <v>1523</v>
      </c>
      <c r="O686" t="s">
        <v>125</v>
      </c>
      <c r="P686" t="str">
        <f t="shared" si="12"/>
        <v xml:space="preserve">                              </v>
      </c>
      <c r="Q686">
        <v>0</v>
      </c>
      <c r="R686">
        <v>0</v>
      </c>
      <c r="S686">
        <v>0</v>
      </c>
      <c r="T686">
        <v>0</v>
      </c>
      <c r="U686">
        <v>0</v>
      </c>
      <c r="V686">
        <v>0</v>
      </c>
      <c r="W686">
        <v>0</v>
      </c>
      <c r="X686">
        <v>0</v>
      </c>
      <c r="Y686">
        <v>0</v>
      </c>
      <c r="Z686">
        <v>0</v>
      </c>
      <c r="AA686">
        <v>0</v>
      </c>
      <c r="AB686">
        <v>0</v>
      </c>
      <c r="AC686">
        <v>0</v>
      </c>
      <c r="AD686">
        <v>0</v>
      </c>
      <c r="AE686">
        <v>0</v>
      </c>
      <c r="AF686">
        <v>0</v>
      </c>
      <c r="AG686">
        <v>0</v>
      </c>
      <c r="AH686">
        <v>0</v>
      </c>
      <c r="AI686">
        <v>0</v>
      </c>
      <c r="AJ686">
        <v>0</v>
      </c>
      <c r="AK686">
        <v>32.42</v>
      </c>
      <c r="AL686">
        <v>0</v>
      </c>
      <c r="AM686">
        <v>0</v>
      </c>
      <c r="AN686">
        <v>0</v>
      </c>
      <c r="AO686">
        <v>0</v>
      </c>
      <c r="AP686">
        <v>0</v>
      </c>
      <c r="AQ686">
        <v>0</v>
      </c>
      <c r="AR686">
        <v>0</v>
      </c>
      <c r="AS686">
        <v>0</v>
      </c>
      <c r="AT686">
        <v>0</v>
      </c>
      <c r="AU686">
        <v>0</v>
      </c>
      <c r="AV686">
        <v>0</v>
      </c>
      <c r="AW686">
        <v>0</v>
      </c>
      <c r="AX686">
        <v>0</v>
      </c>
      <c r="AY686">
        <v>0</v>
      </c>
      <c r="AZ686">
        <v>0</v>
      </c>
      <c r="BA686">
        <v>0</v>
      </c>
      <c r="BB686">
        <v>0</v>
      </c>
      <c r="BC686">
        <v>0</v>
      </c>
      <c r="BD686">
        <v>0</v>
      </c>
      <c r="BE686">
        <v>0</v>
      </c>
      <c r="BF686">
        <v>0</v>
      </c>
      <c r="BG686">
        <v>0</v>
      </c>
      <c r="BH686">
        <v>1</v>
      </c>
      <c r="BI686">
        <v>1</v>
      </c>
      <c r="BJ686">
        <v>0.2</v>
      </c>
      <c r="BK686">
        <v>1</v>
      </c>
      <c r="BL686">
        <v>121.87</v>
      </c>
      <c r="BM686">
        <v>18.28</v>
      </c>
      <c r="BN686">
        <v>140.15</v>
      </c>
      <c r="BO686">
        <v>140.15</v>
      </c>
      <c r="BQ686" t="s">
        <v>1786</v>
      </c>
      <c r="BR686" t="s">
        <v>1482</v>
      </c>
      <c r="BS686" s="3">
        <v>44601</v>
      </c>
      <c r="BT686" s="4">
        <v>0.41180555555555554</v>
      </c>
      <c r="BU686" t="s">
        <v>1404</v>
      </c>
      <c r="BV686" t="s">
        <v>101</v>
      </c>
      <c r="BY686">
        <v>1200</v>
      </c>
      <c r="BZ686" t="s">
        <v>137</v>
      </c>
      <c r="CA686" t="s">
        <v>1405</v>
      </c>
      <c r="CC686" t="s">
        <v>1437</v>
      </c>
      <c r="CD686">
        <v>2146</v>
      </c>
      <c r="CE686" t="s">
        <v>130</v>
      </c>
      <c r="CF686" s="3">
        <v>44602</v>
      </c>
      <c r="CI686">
        <v>1</v>
      </c>
      <c r="CJ686">
        <v>1</v>
      </c>
      <c r="CK686">
        <v>41</v>
      </c>
      <c r="CL686" t="s">
        <v>84</v>
      </c>
    </row>
    <row r="687" spans="1:90" x14ac:dyDescent="0.25">
      <c r="A687" t="s">
        <v>1399</v>
      </c>
      <c r="B687" t="s">
        <v>1400</v>
      </c>
      <c r="C687" t="s">
        <v>74</v>
      </c>
      <c r="E687" t="str">
        <f>"009941939258"</f>
        <v>009941939258</v>
      </c>
      <c r="F687" s="3">
        <v>44601</v>
      </c>
      <c r="G687">
        <v>202208</v>
      </c>
      <c r="H687" t="s">
        <v>159</v>
      </c>
      <c r="I687" t="s">
        <v>160</v>
      </c>
      <c r="J687" t="s">
        <v>1523</v>
      </c>
      <c r="K687" t="s">
        <v>78</v>
      </c>
      <c r="L687" t="s">
        <v>153</v>
      </c>
      <c r="M687" t="s">
        <v>154</v>
      </c>
      <c r="N687" t="s">
        <v>1401</v>
      </c>
      <c r="O687" t="s">
        <v>125</v>
      </c>
      <c r="P687" t="str">
        <f t="shared" si="12"/>
        <v xml:space="preserve">                              </v>
      </c>
      <c r="Q687">
        <v>0</v>
      </c>
      <c r="R687">
        <v>0</v>
      </c>
      <c r="S687">
        <v>0</v>
      </c>
      <c r="T687">
        <v>0</v>
      </c>
      <c r="U687">
        <v>0</v>
      </c>
      <c r="V687">
        <v>0</v>
      </c>
      <c r="W687">
        <v>0</v>
      </c>
      <c r="X687">
        <v>0</v>
      </c>
      <c r="Y687">
        <v>0</v>
      </c>
      <c r="Z687">
        <v>0</v>
      </c>
      <c r="AA687">
        <v>0</v>
      </c>
      <c r="AB687">
        <v>0</v>
      </c>
      <c r="AC687">
        <v>0</v>
      </c>
      <c r="AD687">
        <v>0</v>
      </c>
      <c r="AE687">
        <v>0</v>
      </c>
      <c r="AF687">
        <v>0</v>
      </c>
      <c r="AG687">
        <v>0</v>
      </c>
      <c r="AH687">
        <v>0</v>
      </c>
      <c r="AI687">
        <v>0</v>
      </c>
      <c r="AJ687">
        <v>0</v>
      </c>
      <c r="AK687">
        <v>45.72</v>
      </c>
      <c r="AL687">
        <v>0</v>
      </c>
      <c r="AM687">
        <v>0</v>
      </c>
      <c r="AN687">
        <v>0</v>
      </c>
      <c r="AO687">
        <v>0</v>
      </c>
      <c r="AP687">
        <v>0</v>
      </c>
      <c r="AQ687">
        <v>0</v>
      </c>
      <c r="AR687">
        <v>0</v>
      </c>
      <c r="AS687">
        <v>0</v>
      </c>
      <c r="AT687">
        <v>0</v>
      </c>
      <c r="AU687">
        <v>0</v>
      </c>
      <c r="AV687">
        <v>0</v>
      </c>
      <c r="AW687">
        <v>0</v>
      </c>
      <c r="AX687">
        <v>0</v>
      </c>
      <c r="AY687">
        <v>0</v>
      </c>
      <c r="AZ687">
        <v>0</v>
      </c>
      <c r="BA687">
        <v>0</v>
      </c>
      <c r="BB687">
        <v>0</v>
      </c>
      <c r="BC687">
        <v>0</v>
      </c>
      <c r="BD687">
        <v>0</v>
      </c>
      <c r="BE687">
        <v>0</v>
      </c>
      <c r="BF687">
        <v>0</v>
      </c>
      <c r="BG687">
        <v>0</v>
      </c>
      <c r="BH687">
        <v>1</v>
      </c>
      <c r="BI687">
        <v>6.5</v>
      </c>
      <c r="BJ687">
        <v>13.4</v>
      </c>
      <c r="BK687">
        <v>14</v>
      </c>
      <c r="BL687">
        <v>169.72</v>
      </c>
      <c r="BM687">
        <v>25.46</v>
      </c>
      <c r="BN687">
        <v>195.18</v>
      </c>
      <c r="BO687">
        <v>195.18</v>
      </c>
      <c r="BQ687" t="s">
        <v>1787</v>
      </c>
      <c r="BR687" t="s">
        <v>1788</v>
      </c>
      <c r="BS687" s="3">
        <v>44602</v>
      </c>
      <c r="BT687" s="4">
        <v>0.50416666666666665</v>
      </c>
      <c r="BU687" t="s">
        <v>1438</v>
      </c>
      <c r="BV687" t="s">
        <v>101</v>
      </c>
      <c r="BY687">
        <v>66960</v>
      </c>
      <c r="BZ687" t="s">
        <v>137</v>
      </c>
      <c r="CA687" t="s">
        <v>928</v>
      </c>
      <c r="CC687" t="s">
        <v>154</v>
      </c>
      <c r="CD687">
        <v>2196</v>
      </c>
      <c r="CE687" t="s">
        <v>130</v>
      </c>
      <c r="CF687" s="3">
        <v>44603</v>
      </c>
      <c r="CI687">
        <v>1</v>
      </c>
      <c r="CJ687">
        <v>1</v>
      </c>
      <c r="CK687">
        <v>43</v>
      </c>
      <c r="CL687" t="s">
        <v>84</v>
      </c>
    </row>
    <row r="688" spans="1:90" x14ac:dyDescent="0.25">
      <c r="A688" t="s">
        <v>1417</v>
      </c>
      <c r="B688" t="s">
        <v>1400</v>
      </c>
      <c r="C688" t="s">
        <v>74</v>
      </c>
      <c r="E688" t="str">
        <f>"009942086273"</f>
        <v>009942086273</v>
      </c>
      <c r="F688" s="3">
        <v>44601</v>
      </c>
      <c r="G688">
        <v>202208</v>
      </c>
      <c r="H688" t="s">
        <v>123</v>
      </c>
      <c r="I688" t="s">
        <v>124</v>
      </c>
      <c r="J688" t="s">
        <v>1426</v>
      </c>
      <c r="K688" t="s">
        <v>78</v>
      </c>
      <c r="L688" t="s">
        <v>225</v>
      </c>
      <c r="M688" t="s">
        <v>226</v>
      </c>
      <c r="N688" t="s">
        <v>1401</v>
      </c>
      <c r="O688" t="s">
        <v>125</v>
      </c>
      <c r="P688" t="str">
        <f t="shared" si="12"/>
        <v xml:space="preserve">                              </v>
      </c>
      <c r="Q688">
        <v>0</v>
      </c>
      <c r="R688">
        <v>0</v>
      </c>
      <c r="S688">
        <v>0</v>
      </c>
      <c r="T688">
        <v>0</v>
      </c>
      <c r="U688">
        <v>0</v>
      </c>
      <c r="V688">
        <v>0</v>
      </c>
      <c r="W688">
        <v>0</v>
      </c>
      <c r="X688">
        <v>0</v>
      </c>
      <c r="Y688">
        <v>0</v>
      </c>
      <c r="Z688">
        <v>0</v>
      </c>
      <c r="AA688">
        <v>0</v>
      </c>
      <c r="AB688">
        <v>0</v>
      </c>
      <c r="AC688">
        <v>0</v>
      </c>
      <c r="AD688">
        <v>0</v>
      </c>
      <c r="AE688">
        <v>0</v>
      </c>
      <c r="AF688">
        <v>0</v>
      </c>
      <c r="AG688">
        <v>0</v>
      </c>
      <c r="AH688">
        <v>0</v>
      </c>
      <c r="AI688">
        <v>0</v>
      </c>
      <c r="AJ688">
        <v>0</v>
      </c>
      <c r="AK688">
        <v>32.42</v>
      </c>
      <c r="AL688">
        <v>0</v>
      </c>
      <c r="AM688">
        <v>0</v>
      </c>
      <c r="AN688">
        <v>0</v>
      </c>
      <c r="AO688">
        <v>0</v>
      </c>
      <c r="AP688">
        <v>0</v>
      </c>
      <c r="AQ688">
        <v>0</v>
      </c>
      <c r="AR688">
        <v>0</v>
      </c>
      <c r="AS688">
        <v>0</v>
      </c>
      <c r="AT688">
        <v>0</v>
      </c>
      <c r="AU688">
        <v>0</v>
      </c>
      <c r="AV688">
        <v>0</v>
      </c>
      <c r="AW688">
        <v>0</v>
      </c>
      <c r="AX688">
        <v>0</v>
      </c>
      <c r="AY688">
        <v>0</v>
      </c>
      <c r="AZ688">
        <v>0</v>
      </c>
      <c r="BA688">
        <v>0</v>
      </c>
      <c r="BB688">
        <v>0</v>
      </c>
      <c r="BC688">
        <v>0</v>
      </c>
      <c r="BD688">
        <v>0</v>
      </c>
      <c r="BE688">
        <v>0</v>
      </c>
      <c r="BF688">
        <v>0</v>
      </c>
      <c r="BG688">
        <v>0</v>
      </c>
      <c r="BH688">
        <v>1</v>
      </c>
      <c r="BI688">
        <v>10</v>
      </c>
      <c r="BJ688">
        <v>4.8</v>
      </c>
      <c r="BK688">
        <v>10</v>
      </c>
      <c r="BL688">
        <v>121.87</v>
      </c>
      <c r="BM688">
        <v>18.28</v>
      </c>
      <c r="BN688">
        <v>140.15</v>
      </c>
      <c r="BO688">
        <v>140.15</v>
      </c>
      <c r="BQ688" t="s">
        <v>1789</v>
      </c>
      <c r="BR688" t="s">
        <v>1429</v>
      </c>
      <c r="BS688" s="3">
        <v>44607</v>
      </c>
      <c r="BT688" s="4">
        <v>0.41666666666666669</v>
      </c>
      <c r="BU688" t="s">
        <v>1579</v>
      </c>
      <c r="BV688" t="s">
        <v>84</v>
      </c>
      <c r="BW688" t="s">
        <v>1005</v>
      </c>
      <c r="BX688" t="s">
        <v>1266</v>
      </c>
      <c r="BY688">
        <v>24000</v>
      </c>
      <c r="BZ688" t="s">
        <v>137</v>
      </c>
      <c r="CC688" t="s">
        <v>226</v>
      </c>
      <c r="CD688">
        <v>8300</v>
      </c>
      <c r="CE688" t="s">
        <v>130</v>
      </c>
      <c r="CF688" s="3">
        <v>44607</v>
      </c>
      <c r="CI688">
        <v>3</v>
      </c>
      <c r="CJ688">
        <v>4</v>
      </c>
      <c r="CK688">
        <v>41</v>
      </c>
      <c r="CL688" t="s">
        <v>84</v>
      </c>
    </row>
    <row r="689" spans="1:90" x14ac:dyDescent="0.25">
      <c r="A689" t="s">
        <v>1399</v>
      </c>
      <c r="B689" t="s">
        <v>1400</v>
      </c>
      <c r="C689" t="s">
        <v>74</v>
      </c>
      <c r="E689" t="str">
        <f>"009941677896"</f>
        <v>009941677896</v>
      </c>
      <c r="F689" s="3">
        <v>44601</v>
      </c>
      <c r="G689">
        <v>202208</v>
      </c>
      <c r="H689" t="s">
        <v>971</v>
      </c>
      <c r="I689" t="s">
        <v>972</v>
      </c>
      <c r="J689" t="s">
        <v>1401</v>
      </c>
      <c r="K689" t="s">
        <v>78</v>
      </c>
      <c r="L689" t="s">
        <v>123</v>
      </c>
      <c r="M689" t="s">
        <v>124</v>
      </c>
      <c r="N689" t="s">
        <v>1401</v>
      </c>
      <c r="O689" t="s">
        <v>125</v>
      </c>
      <c r="P689" t="str">
        <f t="shared" si="12"/>
        <v xml:space="preserve">                              </v>
      </c>
      <c r="Q689">
        <v>0</v>
      </c>
      <c r="R689">
        <v>0</v>
      </c>
      <c r="S689">
        <v>0</v>
      </c>
      <c r="T689">
        <v>0</v>
      </c>
      <c r="U689">
        <v>0</v>
      </c>
      <c r="V689">
        <v>0</v>
      </c>
      <c r="W689">
        <v>0</v>
      </c>
      <c r="X689">
        <v>0</v>
      </c>
      <c r="Y689">
        <v>0</v>
      </c>
      <c r="Z689">
        <v>0</v>
      </c>
      <c r="AA689">
        <v>0</v>
      </c>
      <c r="AB689">
        <v>0</v>
      </c>
      <c r="AC689">
        <v>0</v>
      </c>
      <c r="AD689">
        <v>0</v>
      </c>
      <c r="AE689">
        <v>0</v>
      </c>
      <c r="AF689">
        <v>0</v>
      </c>
      <c r="AG689">
        <v>0</v>
      </c>
      <c r="AH689">
        <v>0</v>
      </c>
      <c r="AI689">
        <v>0</v>
      </c>
      <c r="AJ689">
        <v>0</v>
      </c>
      <c r="AK689">
        <v>169.58</v>
      </c>
      <c r="AL689">
        <v>0</v>
      </c>
      <c r="AM689">
        <v>0</v>
      </c>
      <c r="AN689">
        <v>0</v>
      </c>
      <c r="AO689">
        <v>0</v>
      </c>
      <c r="AP689">
        <v>0</v>
      </c>
      <c r="AQ689">
        <v>0</v>
      </c>
      <c r="AR689">
        <v>0</v>
      </c>
      <c r="AS689">
        <v>0</v>
      </c>
      <c r="AT689">
        <v>0</v>
      </c>
      <c r="AU689">
        <v>0</v>
      </c>
      <c r="AV689">
        <v>0</v>
      </c>
      <c r="AW689">
        <v>0</v>
      </c>
      <c r="AX689">
        <v>0</v>
      </c>
      <c r="AY689">
        <v>0</v>
      </c>
      <c r="AZ689">
        <v>0</v>
      </c>
      <c r="BA689">
        <v>0</v>
      </c>
      <c r="BB689">
        <v>0</v>
      </c>
      <c r="BC689">
        <v>0</v>
      </c>
      <c r="BD689">
        <v>0</v>
      </c>
      <c r="BE689">
        <v>0</v>
      </c>
      <c r="BF689">
        <v>0</v>
      </c>
      <c r="BG689">
        <v>0</v>
      </c>
      <c r="BH689">
        <v>5</v>
      </c>
      <c r="BI689">
        <v>35</v>
      </c>
      <c r="BJ689">
        <v>68</v>
      </c>
      <c r="BK689">
        <v>68</v>
      </c>
      <c r="BL689">
        <v>615.29</v>
      </c>
      <c r="BM689">
        <v>92.29</v>
      </c>
      <c r="BN689">
        <v>707.58</v>
      </c>
      <c r="BO689">
        <v>707.58</v>
      </c>
      <c r="BQ689" t="s">
        <v>1790</v>
      </c>
      <c r="BR689" t="s">
        <v>1791</v>
      </c>
      <c r="BS689" s="3">
        <v>44602</v>
      </c>
      <c r="BT689" s="4">
        <v>0.4375</v>
      </c>
      <c r="BU689" t="s">
        <v>1792</v>
      </c>
      <c r="BV689" t="s">
        <v>101</v>
      </c>
      <c r="BY689">
        <v>68000</v>
      </c>
      <c r="CC689" t="s">
        <v>124</v>
      </c>
      <c r="CD689">
        <v>6045</v>
      </c>
      <c r="CE689" t="s">
        <v>130</v>
      </c>
      <c r="CF689" s="3">
        <v>44602</v>
      </c>
      <c r="CI689">
        <v>1</v>
      </c>
      <c r="CJ689">
        <v>1</v>
      </c>
      <c r="CK689">
        <v>43</v>
      </c>
      <c r="CL689" t="s">
        <v>84</v>
      </c>
    </row>
    <row r="690" spans="1:90" x14ac:dyDescent="0.25">
      <c r="A690" t="s">
        <v>1417</v>
      </c>
      <c r="B690" t="s">
        <v>1400</v>
      </c>
      <c r="C690" t="s">
        <v>74</v>
      </c>
      <c r="E690" t="str">
        <f>"009941108092"</f>
        <v>009941108092</v>
      </c>
      <c r="F690" s="3">
        <v>44595</v>
      </c>
      <c r="G690">
        <v>202208</v>
      </c>
      <c r="H690" t="s">
        <v>282</v>
      </c>
      <c r="I690" t="s">
        <v>283</v>
      </c>
      <c r="J690" t="s">
        <v>1401</v>
      </c>
      <c r="K690" t="s">
        <v>78</v>
      </c>
      <c r="L690" t="s">
        <v>384</v>
      </c>
      <c r="M690" t="s">
        <v>385</v>
      </c>
      <c r="N690" t="s">
        <v>1661</v>
      </c>
      <c r="O690" t="s">
        <v>125</v>
      </c>
      <c r="P690" t="str">
        <f t="shared" si="12"/>
        <v xml:space="preserve">                              </v>
      </c>
      <c r="Q690">
        <v>0</v>
      </c>
      <c r="R690">
        <v>0</v>
      </c>
      <c r="S690">
        <v>0</v>
      </c>
      <c r="T690">
        <v>0</v>
      </c>
      <c r="U690">
        <v>0</v>
      </c>
      <c r="V690">
        <v>0</v>
      </c>
      <c r="W690">
        <v>0</v>
      </c>
      <c r="X690">
        <v>0</v>
      </c>
      <c r="Y690">
        <v>0</v>
      </c>
      <c r="Z690">
        <v>0</v>
      </c>
      <c r="AA690">
        <v>0</v>
      </c>
      <c r="AB690">
        <v>0</v>
      </c>
      <c r="AC690">
        <v>0</v>
      </c>
      <c r="AD690">
        <v>0</v>
      </c>
      <c r="AE690">
        <v>0</v>
      </c>
      <c r="AF690">
        <v>0</v>
      </c>
      <c r="AG690">
        <v>0</v>
      </c>
      <c r="AH690">
        <v>0</v>
      </c>
      <c r="AI690">
        <v>0</v>
      </c>
      <c r="AJ690">
        <v>0</v>
      </c>
      <c r="AK690">
        <v>45.72</v>
      </c>
      <c r="AL690">
        <v>0</v>
      </c>
      <c r="AM690">
        <v>0</v>
      </c>
      <c r="AN690">
        <v>0</v>
      </c>
      <c r="AO690">
        <v>0</v>
      </c>
      <c r="AP690">
        <v>0</v>
      </c>
      <c r="AQ690">
        <v>0</v>
      </c>
      <c r="AR690">
        <v>0</v>
      </c>
      <c r="AS690">
        <v>0</v>
      </c>
      <c r="AT690">
        <v>0</v>
      </c>
      <c r="AU690">
        <v>0</v>
      </c>
      <c r="AV690">
        <v>0</v>
      </c>
      <c r="AW690">
        <v>0</v>
      </c>
      <c r="AX690">
        <v>0</v>
      </c>
      <c r="AY690">
        <v>0</v>
      </c>
      <c r="AZ690">
        <v>0</v>
      </c>
      <c r="BA690">
        <v>0</v>
      </c>
      <c r="BB690">
        <v>0</v>
      </c>
      <c r="BC690">
        <v>0</v>
      </c>
      <c r="BD690">
        <v>0</v>
      </c>
      <c r="BE690">
        <v>0</v>
      </c>
      <c r="BF690">
        <v>0</v>
      </c>
      <c r="BG690">
        <v>0</v>
      </c>
      <c r="BH690">
        <v>1</v>
      </c>
      <c r="BI690">
        <v>0.1</v>
      </c>
      <c r="BJ690">
        <v>0.2</v>
      </c>
      <c r="BK690">
        <v>1</v>
      </c>
      <c r="BL690">
        <v>169.72</v>
      </c>
      <c r="BM690">
        <v>25.46</v>
      </c>
      <c r="BN690">
        <v>195.18</v>
      </c>
      <c r="BO690">
        <v>195.18</v>
      </c>
      <c r="BQ690" t="s">
        <v>1793</v>
      </c>
      <c r="BR690" t="s">
        <v>1528</v>
      </c>
      <c r="BS690" s="3">
        <v>44596</v>
      </c>
      <c r="BT690" s="4">
        <v>0.35902777777777778</v>
      </c>
      <c r="BU690" t="s">
        <v>1486</v>
      </c>
      <c r="BV690" t="s">
        <v>101</v>
      </c>
      <c r="BY690">
        <v>1200</v>
      </c>
      <c r="BZ690" t="s">
        <v>137</v>
      </c>
      <c r="CA690" t="s">
        <v>1475</v>
      </c>
      <c r="CC690" t="s">
        <v>385</v>
      </c>
      <c r="CD690">
        <v>2194</v>
      </c>
      <c r="CE690" t="s">
        <v>130</v>
      </c>
      <c r="CF690" s="3">
        <v>44597</v>
      </c>
      <c r="CI690">
        <v>1</v>
      </c>
      <c r="CJ690">
        <v>1</v>
      </c>
      <c r="CK690">
        <v>43</v>
      </c>
      <c r="CL690" t="s">
        <v>84</v>
      </c>
    </row>
    <row r="691" spans="1:90" x14ac:dyDescent="0.25">
      <c r="A691" t="s">
        <v>1417</v>
      </c>
      <c r="B691" t="s">
        <v>1400</v>
      </c>
      <c r="C691" t="s">
        <v>74</v>
      </c>
      <c r="E691" t="str">
        <f>"009942537385"</f>
        <v>009942537385</v>
      </c>
      <c r="F691" s="3">
        <v>44601</v>
      </c>
      <c r="G691">
        <v>202208</v>
      </c>
      <c r="H691" t="s">
        <v>441</v>
      </c>
      <c r="I691" t="s">
        <v>442</v>
      </c>
      <c r="J691" t="s">
        <v>1564</v>
      </c>
      <c r="K691" t="s">
        <v>78</v>
      </c>
      <c r="L691" t="s">
        <v>153</v>
      </c>
      <c r="M691" t="s">
        <v>154</v>
      </c>
      <c r="N691" t="s">
        <v>1401</v>
      </c>
      <c r="O691" t="s">
        <v>125</v>
      </c>
      <c r="P691" t="str">
        <f>"083 601 5869                  "</f>
        <v xml:space="preserve">083 601 5869                  </v>
      </c>
      <c r="Q691">
        <v>0</v>
      </c>
      <c r="R691">
        <v>0</v>
      </c>
      <c r="S691">
        <v>0</v>
      </c>
      <c r="T691">
        <v>0</v>
      </c>
      <c r="U691">
        <v>0</v>
      </c>
      <c r="V691">
        <v>0</v>
      </c>
      <c r="W691">
        <v>0</v>
      </c>
      <c r="X691">
        <v>0</v>
      </c>
      <c r="Y691">
        <v>0</v>
      </c>
      <c r="Z691">
        <v>0</v>
      </c>
      <c r="AA691">
        <v>0</v>
      </c>
      <c r="AB691">
        <v>0</v>
      </c>
      <c r="AC691">
        <v>0</v>
      </c>
      <c r="AD691">
        <v>0</v>
      </c>
      <c r="AE691">
        <v>0</v>
      </c>
      <c r="AF691">
        <v>0</v>
      </c>
      <c r="AG691">
        <v>0</v>
      </c>
      <c r="AH691">
        <v>0</v>
      </c>
      <c r="AI691">
        <v>0</v>
      </c>
      <c r="AJ691">
        <v>0</v>
      </c>
      <c r="AK691">
        <v>146.21</v>
      </c>
      <c r="AL691">
        <v>0</v>
      </c>
      <c r="AM691">
        <v>0</v>
      </c>
      <c r="AN691">
        <v>0</v>
      </c>
      <c r="AO691">
        <v>0</v>
      </c>
      <c r="AP691">
        <v>0</v>
      </c>
      <c r="AQ691">
        <v>15</v>
      </c>
      <c r="AR691">
        <v>0</v>
      </c>
      <c r="AS691">
        <v>0</v>
      </c>
      <c r="AT691">
        <v>0</v>
      </c>
      <c r="AU691">
        <v>0</v>
      </c>
      <c r="AV691">
        <v>0</v>
      </c>
      <c r="AW691">
        <v>0</v>
      </c>
      <c r="AX691">
        <v>0</v>
      </c>
      <c r="AY691">
        <v>0</v>
      </c>
      <c r="AZ691">
        <v>0</v>
      </c>
      <c r="BA691">
        <v>0</v>
      </c>
      <c r="BB691">
        <v>0</v>
      </c>
      <c r="BC691">
        <v>0</v>
      </c>
      <c r="BD691">
        <v>0</v>
      </c>
      <c r="BE691">
        <v>0</v>
      </c>
      <c r="BF691">
        <v>0</v>
      </c>
      <c r="BG691">
        <v>0</v>
      </c>
      <c r="BH691">
        <v>4</v>
      </c>
      <c r="BI691">
        <v>16</v>
      </c>
      <c r="BJ691">
        <v>57.6</v>
      </c>
      <c r="BK691">
        <v>58</v>
      </c>
      <c r="BL691">
        <v>546.22</v>
      </c>
      <c r="BM691">
        <v>81.93</v>
      </c>
      <c r="BN691">
        <v>628.15</v>
      </c>
      <c r="BO691">
        <v>628.15</v>
      </c>
      <c r="BQ691" t="s">
        <v>311</v>
      </c>
      <c r="BR691" t="s">
        <v>1566</v>
      </c>
      <c r="BS691" s="3">
        <v>44602</v>
      </c>
      <c r="BT691" s="4">
        <v>0.50486111111111109</v>
      </c>
      <c r="BU691" t="s">
        <v>1438</v>
      </c>
      <c r="BV691" t="s">
        <v>101</v>
      </c>
      <c r="BY691">
        <v>72000</v>
      </c>
      <c r="BZ691" t="s">
        <v>1463</v>
      </c>
      <c r="CA691" t="s">
        <v>928</v>
      </c>
      <c r="CC691" t="s">
        <v>154</v>
      </c>
      <c r="CD691">
        <v>2000</v>
      </c>
      <c r="CE691" t="s">
        <v>130</v>
      </c>
      <c r="CF691" s="3">
        <v>44603</v>
      </c>
      <c r="CI691">
        <v>1</v>
      </c>
      <c r="CJ691">
        <v>1</v>
      </c>
      <c r="CK691">
        <v>43</v>
      </c>
      <c r="CL691" t="s">
        <v>84</v>
      </c>
    </row>
    <row r="692" spans="1:90" x14ac:dyDescent="0.25">
      <c r="A692" t="s">
        <v>1417</v>
      </c>
      <c r="B692" t="s">
        <v>1400</v>
      </c>
      <c r="C692" t="s">
        <v>74</v>
      </c>
      <c r="E692" t="str">
        <f>"009941108091"</f>
        <v>009941108091</v>
      </c>
      <c r="F692" s="3">
        <v>44595</v>
      </c>
      <c r="G692">
        <v>202208</v>
      </c>
      <c r="H692" t="s">
        <v>282</v>
      </c>
      <c r="I692" t="s">
        <v>283</v>
      </c>
      <c r="J692" t="s">
        <v>1401</v>
      </c>
      <c r="K692" t="s">
        <v>78</v>
      </c>
      <c r="L692" t="s">
        <v>153</v>
      </c>
      <c r="M692" t="s">
        <v>154</v>
      </c>
      <c r="N692" t="s">
        <v>1794</v>
      </c>
      <c r="O692" t="s">
        <v>125</v>
      </c>
      <c r="P692" t="str">
        <f>"                              "</f>
        <v xml:space="preserve">                              </v>
      </c>
      <c r="Q692">
        <v>0</v>
      </c>
      <c r="R692">
        <v>0</v>
      </c>
      <c r="S692">
        <v>0</v>
      </c>
      <c r="T692">
        <v>0</v>
      </c>
      <c r="U692">
        <v>0</v>
      </c>
      <c r="V692">
        <v>0</v>
      </c>
      <c r="W692">
        <v>0</v>
      </c>
      <c r="X692">
        <v>0</v>
      </c>
      <c r="Y692">
        <v>0</v>
      </c>
      <c r="Z692">
        <v>0</v>
      </c>
      <c r="AA692">
        <v>0</v>
      </c>
      <c r="AB692">
        <v>0</v>
      </c>
      <c r="AC692">
        <v>0</v>
      </c>
      <c r="AD692">
        <v>0</v>
      </c>
      <c r="AE692">
        <v>0</v>
      </c>
      <c r="AF692">
        <v>0</v>
      </c>
      <c r="AG692">
        <v>0</v>
      </c>
      <c r="AH692">
        <v>0</v>
      </c>
      <c r="AI692">
        <v>0</v>
      </c>
      <c r="AJ692">
        <v>0</v>
      </c>
      <c r="AK692">
        <v>45.72</v>
      </c>
      <c r="AL692">
        <v>0</v>
      </c>
      <c r="AM692">
        <v>0</v>
      </c>
      <c r="AN692">
        <v>0</v>
      </c>
      <c r="AO692">
        <v>0</v>
      </c>
      <c r="AP692">
        <v>0</v>
      </c>
      <c r="AQ692">
        <v>0</v>
      </c>
      <c r="AR692">
        <v>0</v>
      </c>
      <c r="AS692">
        <v>0</v>
      </c>
      <c r="AT692">
        <v>0</v>
      </c>
      <c r="AU692">
        <v>0</v>
      </c>
      <c r="AV692">
        <v>0</v>
      </c>
      <c r="AW692">
        <v>0</v>
      </c>
      <c r="AX692">
        <v>0</v>
      </c>
      <c r="AY692">
        <v>0</v>
      </c>
      <c r="AZ692">
        <v>0</v>
      </c>
      <c r="BA692">
        <v>0</v>
      </c>
      <c r="BB692">
        <v>0</v>
      </c>
      <c r="BC692">
        <v>0</v>
      </c>
      <c r="BD692">
        <v>0</v>
      </c>
      <c r="BE692">
        <v>0</v>
      </c>
      <c r="BF692">
        <v>0</v>
      </c>
      <c r="BG692">
        <v>0</v>
      </c>
      <c r="BH692">
        <v>1</v>
      </c>
      <c r="BI692">
        <v>1</v>
      </c>
      <c r="BJ692">
        <v>0.2</v>
      </c>
      <c r="BK692">
        <v>1</v>
      </c>
      <c r="BL692">
        <v>169.72</v>
      </c>
      <c r="BM692">
        <v>25.46</v>
      </c>
      <c r="BN692">
        <v>195.18</v>
      </c>
      <c r="BO692">
        <v>195.18</v>
      </c>
      <c r="BQ692" t="s">
        <v>1795</v>
      </c>
      <c r="BR692" t="s">
        <v>1796</v>
      </c>
      <c r="BS692" s="3">
        <v>44596</v>
      </c>
      <c r="BT692" s="4">
        <v>0.40277777777777773</v>
      </c>
      <c r="BU692" t="s">
        <v>1718</v>
      </c>
      <c r="BV692" t="s">
        <v>101</v>
      </c>
      <c r="BY692">
        <v>1200</v>
      </c>
      <c r="BZ692" t="s">
        <v>137</v>
      </c>
      <c r="CA692" t="s">
        <v>928</v>
      </c>
      <c r="CC692" t="s">
        <v>154</v>
      </c>
      <c r="CD692">
        <v>2031</v>
      </c>
      <c r="CE692" t="s">
        <v>130</v>
      </c>
      <c r="CF692" s="3">
        <v>44597</v>
      </c>
      <c r="CI692">
        <v>1</v>
      </c>
      <c r="CJ692">
        <v>1</v>
      </c>
      <c r="CK692">
        <v>43</v>
      </c>
      <c r="CL692" t="s">
        <v>84</v>
      </c>
    </row>
    <row r="693" spans="1:90" x14ac:dyDescent="0.25">
      <c r="A693" t="s">
        <v>1417</v>
      </c>
      <c r="B693" t="s">
        <v>1400</v>
      </c>
      <c r="C693" t="s">
        <v>74</v>
      </c>
      <c r="E693" t="str">
        <f>"009941108088"</f>
        <v>009941108088</v>
      </c>
      <c r="F693" s="3">
        <v>44595</v>
      </c>
      <c r="G693">
        <v>202208</v>
      </c>
      <c r="H693" t="s">
        <v>282</v>
      </c>
      <c r="I693" t="s">
        <v>283</v>
      </c>
      <c r="J693" t="s">
        <v>1401</v>
      </c>
      <c r="K693" t="s">
        <v>78</v>
      </c>
      <c r="L693" t="s">
        <v>435</v>
      </c>
      <c r="M693" t="s">
        <v>436</v>
      </c>
      <c r="N693" t="s">
        <v>1401</v>
      </c>
      <c r="O693" t="s">
        <v>125</v>
      </c>
      <c r="P693" t="str">
        <f>"                              "</f>
        <v xml:space="preserve">                              </v>
      </c>
      <c r="Q693">
        <v>0</v>
      </c>
      <c r="R693">
        <v>0</v>
      </c>
      <c r="S693">
        <v>0</v>
      </c>
      <c r="T693">
        <v>0</v>
      </c>
      <c r="U693">
        <v>0</v>
      </c>
      <c r="V693">
        <v>0</v>
      </c>
      <c r="W693">
        <v>0</v>
      </c>
      <c r="X693">
        <v>0</v>
      </c>
      <c r="Y693">
        <v>0</v>
      </c>
      <c r="Z693">
        <v>0</v>
      </c>
      <c r="AA693">
        <v>0</v>
      </c>
      <c r="AB693">
        <v>0</v>
      </c>
      <c r="AC693">
        <v>0</v>
      </c>
      <c r="AD693">
        <v>0</v>
      </c>
      <c r="AE693">
        <v>0</v>
      </c>
      <c r="AF693">
        <v>0</v>
      </c>
      <c r="AG693">
        <v>0</v>
      </c>
      <c r="AH693">
        <v>0</v>
      </c>
      <c r="AI693">
        <v>0</v>
      </c>
      <c r="AJ693">
        <v>0</v>
      </c>
      <c r="AK693">
        <v>97.13</v>
      </c>
      <c r="AL693">
        <v>0</v>
      </c>
      <c r="AM693">
        <v>0</v>
      </c>
      <c r="AN693">
        <v>0</v>
      </c>
      <c r="AO693">
        <v>0</v>
      </c>
      <c r="AP693">
        <v>0</v>
      </c>
      <c r="AQ693">
        <v>0</v>
      </c>
      <c r="AR693">
        <v>0</v>
      </c>
      <c r="AS693">
        <v>0</v>
      </c>
      <c r="AT693">
        <v>0</v>
      </c>
      <c r="AU693">
        <v>0</v>
      </c>
      <c r="AV693">
        <v>0</v>
      </c>
      <c r="AW693">
        <v>0</v>
      </c>
      <c r="AX693">
        <v>0</v>
      </c>
      <c r="AY693">
        <v>0</v>
      </c>
      <c r="AZ693">
        <v>0</v>
      </c>
      <c r="BA693">
        <v>0</v>
      </c>
      <c r="BB693">
        <v>0</v>
      </c>
      <c r="BC693">
        <v>0</v>
      </c>
      <c r="BD693">
        <v>0</v>
      </c>
      <c r="BE693">
        <v>0</v>
      </c>
      <c r="BF693">
        <v>0</v>
      </c>
      <c r="BG693">
        <v>0</v>
      </c>
      <c r="BH693">
        <v>1</v>
      </c>
      <c r="BI693">
        <v>19.600000000000001</v>
      </c>
      <c r="BJ693">
        <v>36.200000000000003</v>
      </c>
      <c r="BK693">
        <v>37</v>
      </c>
      <c r="BL693">
        <v>354.67</v>
      </c>
      <c r="BM693">
        <v>53.2</v>
      </c>
      <c r="BN693">
        <v>407.87</v>
      </c>
      <c r="BO693">
        <v>407.87</v>
      </c>
      <c r="BQ693" t="s">
        <v>1781</v>
      </c>
      <c r="BR693" t="s">
        <v>1421</v>
      </c>
      <c r="BS693" s="3">
        <v>44596</v>
      </c>
      <c r="BT693" s="4">
        <v>0.45833333333333331</v>
      </c>
      <c r="BU693" t="s">
        <v>1594</v>
      </c>
      <c r="BV693" t="s">
        <v>101</v>
      </c>
      <c r="BY693">
        <v>180792</v>
      </c>
      <c r="BZ693" t="s">
        <v>137</v>
      </c>
      <c r="CA693" t="s">
        <v>1518</v>
      </c>
      <c r="CC693" t="s">
        <v>436</v>
      </c>
      <c r="CD693">
        <v>2570</v>
      </c>
      <c r="CE693" t="s">
        <v>130</v>
      </c>
      <c r="CF693" s="3">
        <v>44599</v>
      </c>
      <c r="CI693">
        <v>1</v>
      </c>
      <c r="CJ693">
        <v>1</v>
      </c>
      <c r="CK693">
        <v>43</v>
      </c>
      <c r="CL693" t="s">
        <v>84</v>
      </c>
    </row>
    <row r="694" spans="1:90" x14ac:dyDescent="0.25">
      <c r="A694" t="s">
        <v>1417</v>
      </c>
      <c r="B694" t="s">
        <v>1400</v>
      </c>
      <c r="C694" t="s">
        <v>74</v>
      </c>
      <c r="E694" t="str">
        <f>"009940790605"</f>
        <v>009940790605</v>
      </c>
      <c r="F694" s="3">
        <v>44601</v>
      </c>
      <c r="G694">
        <v>202208</v>
      </c>
      <c r="H694" t="s">
        <v>466</v>
      </c>
      <c r="I694" t="s">
        <v>467</v>
      </c>
      <c r="J694" t="s">
        <v>1401</v>
      </c>
      <c r="K694" t="s">
        <v>78</v>
      </c>
      <c r="L694" t="s">
        <v>153</v>
      </c>
      <c r="M694" t="s">
        <v>154</v>
      </c>
      <c r="N694" t="s">
        <v>1401</v>
      </c>
      <c r="O694" t="s">
        <v>125</v>
      </c>
      <c r="P694" t="str">
        <f>"                              "</f>
        <v xml:space="preserve">                              </v>
      </c>
      <c r="Q694">
        <v>0</v>
      </c>
      <c r="R694">
        <v>0</v>
      </c>
      <c r="S694">
        <v>0</v>
      </c>
      <c r="T694">
        <v>0</v>
      </c>
      <c r="U694">
        <v>0</v>
      </c>
      <c r="V694">
        <v>0</v>
      </c>
      <c r="W694">
        <v>0</v>
      </c>
      <c r="X694">
        <v>0</v>
      </c>
      <c r="Y694">
        <v>0</v>
      </c>
      <c r="Z694">
        <v>0</v>
      </c>
      <c r="AA694">
        <v>0</v>
      </c>
      <c r="AB694">
        <v>0</v>
      </c>
      <c r="AC694">
        <v>0</v>
      </c>
      <c r="AD694">
        <v>0</v>
      </c>
      <c r="AE694">
        <v>0</v>
      </c>
      <c r="AF694">
        <v>0</v>
      </c>
      <c r="AG694">
        <v>0</v>
      </c>
      <c r="AH694">
        <v>0</v>
      </c>
      <c r="AI694">
        <v>0</v>
      </c>
      <c r="AJ694">
        <v>0</v>
      </c>
      <c r="AK694">
        <v>108.82</v>
      </c>
      <c r="AL694">
        <v>0</v>
      </c>
      <c r="AM694">
        <v>0</v>
      </c>
      <c r="AN694">
        <v>0</v>
      </c>
      <c r="AO694">
        <v>0</v>
      </c>
      <c r="AP694">
        <v>0</v>
      </c>
      <c r="AQ694">
        <v>0</v>
      </c>
      <c r="AR694">
        <v>0</v>
      </c>
      <c r="AS694">
        <v>0</v>
      </c>
      <c r="AT694">
        <v>0</v>
      </c>
      <c r="AU694">
        <v>0</v>
      </c>
      <c r="AV694">
        <v>0</v>
      </c>
      <c r="AW694">
        <v>0</v>
      </c>
      <c r="AX694">
        <v>0</v>
      </c>
      <c r="AY694">
        <v>0</v>
      </c>
      <c r="AZ694">
        <v>0</v>
      </c>
      <c r="BA694">
        <v>0</v>
      </c>
      <c r="BB694">
        <v>0</v>
      </c>
      <c r="BC694">
        <v>0</v>
      </c>
      <c r="BD694">
        <v>0</v>
      </c>
      <c r="BE694">
        <v>0</v>
      </c>
      <c r="BF694">
        <v>0</v>
      </c>
      <c r="BG694">
        <v>0</v>
      </c>
      <c r="BH694">
        <v>1</v>
      </c>
      <c r="BI694">
        <v>28</v>
      </c>
      <c r="BJ694">
        <v>41.2</v>
      </c>
      <c r="BK694">
        <v>42</v>
      </c>
      <c r="BL694">
        <v>396.71</v>
      </c>
      <c r="BM694">
        <v>59.51</v>
      </c>
      <c r="BN694">
        <v>456.22</v>
      </c>
      <c r="BO694">
        <v>456.22</v>
      </c>
      <c r="BQ694" t="s">
        <v>311</v>
      </c>
      <c r="BR694" t="s">
        <v>1797</v>
      </c>
      <c r="BS694" s="3">
        <v>44602</v>
      </c>
      <c r="BT694" s="4">
        <v>0.50347222222222221</v>
      </c>
      <c r="BU694" t="s">
        <v>1438</v>
      </c>
      <c r="BV694" t="s">
        <v>101</v>
      </c>
      <c r="BY694">
        <v>205920</v>
      </c>
      <c r="BZ694" t="s">
        <v>137</v>
      </c>
      <c r="CA694" t="s">
        <v>928</v>
      </c>
      <c r="CC694" t="s">
        <v>154</v>
      </c>
      <c r="CD694">
        <v>2196</v>
      </c>
      <c r="CE694" t="s">
        <v>130</v>
      </c>
      <c r="CF694" s="3">
        <v>44603</v>
      </c>
      <c r="CI694">
        <v>2</v>
      </c>
      <c r="CJ694">
        <v>1</v>
      </c>
      <c r="CK694">
        <v>43</v>
      </c>
      <c r="CL694" t="s">
        <v>84</v>
      </c>
    </row>
    <row r="695" spans="1:90" x14ac:dyDescent="0.25">
      <c r="A695" t="s">
        <v>1417</v>
      </c>
      <c r="B695" t="s">
        <v>1400</v>
      </c>
      <c r="C695" t="s">
        <v>74</v>
      </c>
      <c r="E695" t="str">
        <f>"009940790606"</f>
        <v>009940790606</v>
      </c>
      <c r="F695" s="3">
        <v>44601</v>
      </c>
      <c r="G695">
        <v>202208</v>
      </c>
      <c r="H695" t="s">
        <v>466</v>
      </c>
      <c r="I695" t="s">
        <v>467</v>
      </c>
      <c r="J695" t="s">
        <v>1798</v>
      </c>
      <c r="K695" t="s">
        <v>78</v>
      </c>
      <c r="L695" t="s">
        <v>153</v>
      </c>
      <c r="M695" t="s">
        <v>154</v>
      </c>
      <c r="N695" t="s">
        <v>1401</v>
      </c>
      <c r="O695" t="s">
        <v>125</v>
      </c>
      <c r="P695" t="str">
        <f>"                              "</f>
        <v xml:space="preserve">                              </v>
      </c>
      <c r="Q695">
        <v>0</v>
      </c>
      <c r="R695">
        <v>0</v>
      </c>
      <c r="S695">
        <v>0</v>
      </c>
      <c r="T695">
        <v>0</v>
      </c>
      <c r="U695">
        <v>0</v>
      </c>
      <c r="V695">
        <v>0</v>
      </c>
      <c r="W695">
        <v>0</v>
      </c>
      <c r="X695">
        <v>0</v>
      </c>
      <c r="Y695">
        <v>0</v>
      </c>
      <c r="Z695">
        <v>0</v>
      </c>
      <c r="AA695">
        <v>0</v>
      </c>
      <c r="AB695">
        <v>0</v>
      </c>
      <c r="AC695">
        <v>0</v>
      </c>
      <c r="AD695">
        <v>0</v>
      </c>
      <c r="AE695">
        <v>0</v>
      </c>
      <c r="AF695">
        <v>0</v>
      </c>
      <c r="AG695">
        <v>0</v>
      </c>
      <c r="AH695">
        <v>0</v>
      </c>
      <c r="AI695">
        <v>0</v>
      </c>
      <c r="AJ695">
        <v>0</v>
      </c>
      <c r="AK695">
        <v>106.48</v>
      </c>
      <c r="AL695">
        <v>0</v>
      </c>
      <c r="AM695">
        <v>0</v>
      </c>
      <c r="AN695">
        <v>0</v>
      </c>
      <c r="AO695">
        <v>0</v>
      </c>
      <c r="AP695">
        <v>0</v>
      </c>
      <c r="AQ695">
        <v>0</v>
      </c>
      <c r="AR695">
        <v>0</v>
      </c>
      <c r="AS695">
        <v>0</v>
      </c>
      <c r="AT695">
        <v>0</v>
      </c>
      <c r="AU695">
        <v>0</v>
      </c>
      <c r="AV695">
        <v>0</v>
      </c>
      <c r="AW695">
        <v>0</v>
      </c>
      <c r="AX695">
        <v>0</v>
      </c>
      <c r="AY695">
        <v>0</v>
      </c>
      <c r="AZ695">
        <v>0</v>
      </c>
      <c r="BA695">
        <v>0</v>
      </c>
      <c r="BB695">
        <v>0</v>
      </c>
      <c r="BC695">
        <v>0</v>
      </c>
      <c r="BD695">
        <v>0</v>
      </c>
      <c r="BE695">
        <v>0</v>
      </c>
      <c r="BF695">
        <v>0</v>
      </c>
      <c r="BG695">
        <v>0</v>
      </c>
      <c r="BH695">
        <v>1</v>
      </c>
      <c r="BI695">
        <v>20.8</v>
      </c>
      <c r="BJ695">
        <v>40.6</v>
      </c>
      <c r="BK695">
        <v>41</v>
      </c>
      <c r="BL695">
        <v>388.3</v>
      </c>
      <c r="BM695">
        <v>58.25</v>
      </c>
      <c r="BN695">
        <v>446.55</v>
      </c>
      <c r="BO695">
        <v>446.55</v>
      </c>
      <c r="BQ695" t="s">
        <v>311</v>
      </c>
      <c r="BR695" t="s">
        <v>1797</v>
      </c>
      <c r="BS695" s="3">
        <v>44602</v>
      </c>
      <c r="BT695" s="4">
        <v>0.49027777777777781</v>
      </c>
      <c r="BU695" t="s">
        <v>1438</v>
      </c>
      <c r="BV695" t="s">
        <v>101</v>
      </c>
      <c r="BY695">
        <v>203148</v>
      </c>
      <c r="BZ695" t="s">
        <v>137</v>
      </c>
      <c r="CA695" t="s">
        <v>928</v>
      </c>
      <c r="CC695" t="s">
        <v>154</v>
      </c>
      <c r="CD695">
        <v>2196</v>
      </c>
      <c r="CE695" t="s">
        <v>130</v>
      </c>
      <c r="CF695" s="3">
        <v>44603</v>
      </c>
      <c r="CI695">
        <v>2</v>
      </c>
      <c r="CJ695">
        <v>1</v>
      </c>
      <c r="CK695">
        <v>43</v>
      </c>
      <c r="CL695" t="s">
        <v>84</v>
      </c>
    </row>
    <row r="696" spans="1:90" x14ac:dyDescent="0.25">
      <c r="A696" t="s">
        <v>1417</v>
      </c>
      <c r="B696" t="s">
        <v>1400</v>
      </c>
      <c r="C696" t="s">
        <v>74</v>
      </c>
      <c r="E696" t="str">
        <f>"009940956764"</f>
        <v>009940956764</v>
      </c>
      <c r="F696" s="3">
        <v>44601</v>
      </c>
      <c r="G696">
        <v>202208</v>
      </c>
      <c r="H696" t="s">
        <v>1436</v>
      </c>
      <c r="I696" t="s">
        <v>1437</v>
      </c>
      <c r="J696" t="s">
        <v>1401</v>
      </c>
      <c r="K696" t="s">
        <v>78</v>
      </c>
      <c r="L696" t="s">
        <v>441</v>
      </c>
      <c r="M696" t="s">
        <v>442</v>
      </c>
      <c r="N696" t="s">
        <v>1401</v>
      </c>
      <c r="O696" t="s">
        <v>125</v>
      </c>
      <c r="P696" t="str">
        <f t="shared" ref="P696:P711" si="13">"STORES                        "</f>
        <v xml:space="preserve">STORES                        </v>
      </c>
      <c r="Q696">
        <v>0</v>
      </c>
      <c r="R696">
        <v>0</v>
      </c>
      <c r="S696">
        <v>0</v>
      </c>
      <c r="T696">
        <v>0</v>
      </c>
      <c r="U696">
        <v>0</v>
      </c>
      <c r="V696">
        <v>0</v>
      </c>
      <c r="W696">
        <v>0</v>
      </c>
      <c r="X696">
        <v>0</v>
      </c>
      <c r="Y696">
        <v>0</v>
      </c>
      <c r="Z696">
        <v>0</v>
      </c>
      <c r="AA696">
        <v>0</v>
      </c>
      <c r="AB696">
        <v>0</v>
      </c>
      <c r="AC696">
        <v>0</v>
      </c>
      <c r="AD696">
        <v>0</v>
      </c>
      <c r="AE696">
        <v>0</v>
      </c>
      <c r="AF696">
        <v>0</v>
      </c>
      <c r="AG696">
        <v>0</v>
      </c>
      <c r="AH696">
        <v>0</v>
      </c>
      <c r="AI696">
        <v>0</v>
      </c>
      <c r="AJ696">
        <v>0</v>
      </c>
      <c r="AK696">
        <v>45.72</v>
      </c>
      <c r="AL696">
        <v>0</v>
      </c>
      <c r="AM696">
        <v>0</v>
      </c>
      <c r="AN696">
        <v>0</v>
      </c>
      <c r="AO696">
        <v>0</v>
      </c>
      <c r="AP696">
        <v>0</v>
      </c>
      <c r="AQ696">
        <v>0</v>
      </c>
      <c r="AR696">
        <v>0</v>
      </c>
      <c r="AS696">
        <v>0</v>
      </c>
      <c r="AT696">
        <v>0</v>
      </c>
      <c r="AU696">
        <v>0</v>
      </c>
      <c r="AV696">
        <v>0</v>
      </c>
      <c r="AW696">
        <v>0</v>
      </c>
      <c r="AX696">
        <v>0</v>
      </c>
      <c r="AY696">
        <v>0</v>
      </c>
      <c r="AZ696">
        <v>0</v>
      </c>
      <c r="BA696">
        <v>0</v>
      </c>
      <c r="BB696">
        <v>0</v>
      </c>
      <c r="BC696">
        <v>0</v>
      </c>
      <c r="BD696">
        <v>0</v>
      </c>
      <c r="BE696">
        <v>0</v>
      </c>
      <c r="BF696">
        <v>0</v>
      </c>
      <c r="BG696">
        <v>0</v>
      </c>
      <c r="BH696">
        <v>1</v>
      </c>
      <c r="BI696">
        <v>1</v>
      </c>
      <c r="BJ696">
        <v>4.9000000000000004</v>
      </c>
      <c r="BK696">
        <v>5</v>
      </c>
      <c r="BL696">
        <v>169.72</v>
      </c>
      <c r="BM696">
        <v>25.46</v>
      </c>
      <c r="BN696">
        <v>195.18</v>
      </c>
      <c r="BO696">
        <v>195.18</v>
      </c>
      <c r="BQ696" t="s">
        <v>1799</v>
      </c>
      <c r="BR696" t="s">
        <v>1443</v>
      </c>
      <c r="BS696" s="3">
        <v>44602</v>
      </c>
      <c r="BT696" s="4">
        <v>0.34027777777777773</v>
      </c>
      <c r="BU696" t="s">
        <v>1800</v>
      </c>
      <c r="BV696" t="s">
        <v>101</v>
      </c>
      <c r="BY696">
        <v>24668.06</v>
      </c>
      <c r="BZ696" t="s">
        <v>137</v>
      </c>
      <c r="CA696" t="s">
        <v>1496</v>
      </c>
      <c r="CC696" t="s">
        <v>442</v>
      </c>
      <c r="CD696">
        <v>1034</v>
      </c>
      <c r="CE696" t="s">
        <v>130</v>
      </c>
      <c r="CF696" s="3">
        <v>44602</v>
      </c>
      <c r="CI696">
        <v>1</v>
      </c>
      <c r="CJ696">
        <v>1</v>
      </c>
      <c r="CK696">
        <v>43</v>
      </c>
      <c r="CL696" t="s">
        <v>84</v>
      </c>
    </row>
    <row r="697" spans="1:90" x14ac:dyDescent="0.25">
      <c r="A697" t="s">
        <v>1417</v>
      </c>
      <c r="B697" t="s">
        <v>1400</v>
      </c>
      <c r="C697" t="s">
        <v>74</v>
      </c>
      <c r="E697" t="str">
        <f>"009941171592"</f>
        <v>009941171592</v>
      </c>
      <c r="F697" s="3">
        <v>44601</v>
      </c>
      <c r="G697">
        <v>202208</v>
      </c>
      <c r="H697" t="s">
        <v>1436</v>
      </c>
      <c r="I697" t="s">
        <v>1437</v>
      </c>
      <c r="J697" t="s">
        <v>1401</v>
      </c>
      <c r="K697" t="s">
        <v>78</v>
      </c>
      <c r="L697" t="s">
        <v>466</v>
      </c>
      <c r="M697" t="s">
        <v>467</v>
      </c>
      <c r="N697" t="s">
        <v>1401</v>
      </c>
      <c r="O697" t="s">
        <v>80</v>
      </c>
      <c r="P697" t="str">
        <f t="shared" si="13"/>
        <v xml:space="preserve">STORES                        </v>
      </c>
      <c r="Q697">
        <v>0</v>
      </c>
      <c r="R697">
        <v>0</v>
      </c>
      <c r="S697">
        <v>0</v>
      </c>
      <c r="T697">
        <v>0</v>
      </c>
      <c r="U697">
        <v>0</v>
      </c>
      <c r="V697">
        <v>0</v>
      </c>
      <c r="W697">
        <v>0</v>
      </c>
      <c r="X697">
        <v>0</v>
      </c>
      <c r="Y697">
        <v>0</v>
      </c>
      <c r="Z697">
        <v>0</v>
      </c>
      <c r="AA697">
        <v>0</v>
      </c>
      <c r="AB697">
        <v>0</v>
      </c>
      <c r="AC697">
        <v>0</v>
      </c>
      <c r="AD697">
        <v>0</v>
      </c>
      <c r="AE697">
        <v>0</v>
      </c>
      <c r="AF697">
        <v>0</v>
      </c>
      <c r="AG697">
        <v>0</v>
      </c>
      <c r="AH697">
        <v>0</v>
      </c>
      <c r="AI697">
        <v>0</v>
      </c>
      <c r="AJ697">
        <v>0</v>
      </c>
      <c r="AK697">
        <v>32.479999999999997</v>
      </c>
      <c r="AL697">
        <v>0</v>
      </c>
      <c r="AM697">
        <v>0</v>
      </c>
      <c r="AN697">
        <v>0</v>
      </c>
      <c r="AO697">
        <v>0</v>
      </c>
      <c r="AP697">
        <v>0</v>
      </c>
      <c r="AQ697">
        <v>0</v>
      </c>
      <c r="AR697">
        <v>0</v>
      </c>
      <c r="AS697">
        <v>0</v>
      </c>
      <c r="AT697">
        <v>0</v>
      </c>
      <c r="AU697">
        <v>0</v>
      </c>
      <c r="AV697">
        <v>0</v>
      </c>
      <c r="AW697">
        <v>0</v>
      </c>
      <c r="AX697">
        <v>0</v>
      </c>
      <c r="AY697">
        <v>0</v>
      </c>
      <c r="AZ697">
        <v>0</v>
      </c>
      <c r="BA697">
        <v>0</v>
      </c>
      <c r="BB697">
        <v>0</v>
      </c>
      <c r="BC697">
        <v>0</v>
      </c>
      <c r="BD697">
        <v>0</v>
      </c>
      <c r="BE697">
        <v>0</v>
      </c>
      <c r="BF697">
        <v>0</v>
      </c>
      <c r="BG697">
        <v>0</v>
      </c>
      <c r="BH697">
        <v>1</v>
      </c>
      <c r="BI697">
        <v>1</v>
      </c>
      <c r="BJ697">
        <v>1.2</v>
      </c>
      <c r="BK697">
        <v>1.5</v>
      </c>
      <c r="BL697">
        <v>116.84</v>
      </c>
      <c r="BM697">
        <v>17.53</v>
      </c>
      <c r="BN697">
        <v>134.37</v>
      </c>
      <c r="BO697">
        <v>134.37</v>
      </c>
      <c r="BQ697" t="s">
        <v>1801</v>
      </c>
      <c r="BR697" t="s">
        <v>1802</v>
      </c>
      <c r="BS697" s="3">
        <v>44607</v>
      </c>
      <c r="BT697" s="4">
        <v>0.33333333333333331</v>
      </c>
      <c r="BU697" t="s">
        <v>1653</v>
      </c>
      <c r="BV697" t="s">
        <v>84</v>
      </c>
      <c r="BW697" t="s">
        <v>268</v>
      </c>
      <c r="BX697" t="s">
        <v>1101</v>
      </c>
      <c r="BY697">
        <v>6220.03</v>
      </c>
      <c r="BZ697" t="s">
        <v>87</v>
      </c>
      <c r="CC697" t="s">
        <v>467</v>
      </c>
      <c r="CD697">
        <v>3900</v>
      </c>
      <c r="CE697" t="s">
        <v>130</v>
      </c>
      <c r="CF697" s="3">
        <v>44608</v>
      </c>
      <c r="CI697">
        <v>1</v>
      </c>
      <c r="CJ697">
        <v>4</v>
      </c>
      <c r="CK697">
        <v>23</v>
      </c>
      <c r="CL697" t="s">
        <v>84</v>
      </c>
    </row>
    <row r="698" spans="1:90" x14ac:dyDescent="0.25">
      <c r="A698" t="s">
        <v>1417</v>
      </c>
      <c r="B698" t="s">
        <v>1400</v>
      </c>
      <c r="C698" t="s">
        <v>74</v>
      </c>
      <c r="E698" t="str">
        <f>"009941916041"</f>
        <v>009941916041</v>
      </c>
      <c r="F698" s="3">
        <v>44601</v>
      </c>
      <c r="G698">
        <v>202208</v>
      </c>
      <c r="H698" t="s">
        <v>1436</v>
      </c>
      <c r="I698" t="s">
        <v>1437</v>
      </c>
      <c r="J698" t="s">
        <v>1401</v>
      </c>
      <c r="K698" t="s">
        <v>78</v>
      </c>
      <c r="L698" t="s">
        <v>790</v>
      </c>
      <c r="M698" t="s">
        <v>791</v>
      </c>
      <c r="N698" t="s">
        <v>1803</v>
      </c>
      <c r="O698" t="s">
        <v>125</v>
      </c>
      <c r="P698" t="str">
        <f t="shared" si="13"/>
        <v xml:space="preserve">STORES                        </v>
      </c>
      <c r="Q698">
        <v>0</v>
      </c>
      <c r="R698">
        <v>0</v>
      </c>
      <c r="S698">
        <v>0</v>
      </c>
      <c r="T698">
        <v>0</v>
      </c>
      <c r="U698">
        <v>0</v>
      </c>
      <c r="V698">
        <v>0</v>
      </c>
      <c r="W698">
        <v>0</v>
      </c>
      <c r="X698">
        <v>0</v>
      </c>
      <c r="Y698">
        <v>0</v>
      </c>
      <c r="Z698">
        <v>0</v>
      </c>
      <c r="AA698">
        <v>0</v>
      </c>
      <c r="AB698">
        <v>0</v>
      </c>
      <c r="AC698">
        <v>0</v>
      </c>
      <c r="AD698">
        <v>0</v>
      </c>
      <c r="AE698">
        <v>0</v>
      </c>
      <c r="AF698">
        <v>0</v>
      </c>
      <c r="AG698">
        <v>0</v>
      </c>
      <c r="AH698">
        <v>0</v>
      </c>
      <c r="AI698">
        <v>0</v>
      </c>
      <c r="AJ698">
        <v>0</v>
      </c>
      <c r="AK698">
        <v>45.72</v>
      </c>
      <c r="AL698">
        <v>0</v>
      </c>
      <c r="AM698">
        <v>0</v>
      </c>
      <c r="AN698">
        <v>0</v>
      </c>
      <c r="AO698">
        <v>0</v>
      </c>
      <c r="AP698">
        <v>0</v>
      </c>
      <c r="AQ698">
        <v>0</v>
      </c>
      <c r="AR698">
        <v>0</v>
      </c>
      <c r="AS698">
        <v>0</v>
      </c>
      <c r="AT698">
        <v>0</v>
      </c>
      <c r="AU698">
        <v>0</v>
      </c>
      <c r="AV698">
        <v>0</v>
      </c>
      <c r="AW698">
        <v>0</v>
      </c>
      <c r="AX698">
        <v>0</v>
      </c>
      <c r="AY698">
        <v>0</v>
      </c>
      <c r="AZ698">
        <v>0</v>
      </c>
      <c r="BA698">
        <v>0</v>
      </c>
      <c r="BB698">
        <v>0</v>
      </c>
      <c r="BC698">
        <v>0</v>
      </c>
      <c r="BD698">
        <v>0</v>
      </c>
      <c r="BE698">
        <v>0</v>
      </c>
      <c r="BF698">
        <v>0</v>
      </c>
      <c r="BG698">
        <v>0</v>
      </c>
      <c r="BH698">
        <v>1</v>
      </c>
      <c r="BI698">
        <v>5</v>
      </c>
      <c r="BJ698">
        <v>6.3</v>
      </c>
      <c r="BK698">
        <v>7</v>
      </c>
      <c r="BL698">
        <v>169.72</v>
      </c>
      <c r="BM698">
        <v>25.46</v>
      </c>
      <c r="BN698">
        <v>195.18</v>
      </c>
      <c r="BO698">
        <v>195.18</v>
      </c>
      <c r="BQ698" t="s">
        <v>1804</v>
      </c>
      <c r="BR698" t="s">
        <v>1533</v>
      </c>
      <c r="BS698" s="3">
        <v>44607</v>
      </c>
      <c r="BT698" s="4">
        <v>0.35902777777777778</v>
      </c>
      <c r="BU698" t="s">
        <v>1805</v>
      </c>
      <c r="BV698" t="s">
        <v>84</v>
      </c>
      <c r="BW698" t="s">
        <v>239</v>
      </c>
      <c r="BX698" t="s">
        <v>1685</v>
      </c>
      <c r="BY698">
        <v>31310.67</v>
      </c>
      <c r="BZ698" t="s">
        <v>137</v>
      </c>
      <c r="CC698" t="s">
        <v>791</v>
      </c>
      <c r="CD698">
        <v>5099</v>
      </c>
      <c r="CE698" t="s">
        <v>130</v>
      </c>
      <c r="CF698" s="3">
        <v>44607</v>
      </c>
      <c r="CI698">
        <v>3</v>
      </c>
      <c r="CJ698">
        <v>4</v>
      </c>
      <c r="CK698">
        <v>43</v>
      </c>
      <c r="CL698" t="s">
        <v>84</v>
      </c>
    </row>
    <row r="699" spans="1:90" x14ac:dyDescent="0.25">
      <c r="A699" t="s">
        <v>1417</v>
      </c>
      <c r="B699" t="s">
        <v>1400</v>
      </c>
      <c r="C699" t="s">
        <v>74</v>
      </c>
      <c r="E699" t="str">
        <f>"009941618997"</f>
        <v>009941618997</v>
      </c>
      <c r="F699" s="3">
        <v>44601</v>
      </c>
      <c r="G699">
        <v>202208</v>
      </c>
      <c r="H699" t="s">
        <v>1436</v>
      </c>
      <c r="I699" t="s">
        <v>1437</v>
      </c>
      <c r="J699" t="s">
        <v>1401</v>
      </c>
      <c r="K699" t="s">
        <v>78</v>
      </c>
      <c r="L699" t="s">
        <v>131</v>
      </c>
      <c r="M699" t="s">
        <v>132</v>
      </c>
      <c r="N699" t="s">
        <v>1488</v>
      </c>
      <c r="O699" t="s">
        <v>80</v>
      </c>
      <c r="P699" t="str">
        <f t="shared" si="13"/>
        <v xml:space="preserve">STORES                        </v>
      </c>
      <c r="Q699">
        <v>0</v>
      </c>
      <c r="R699">
        <v>0</v>
      </c>
      <c r="S699">
        <v>0</v>
      </c>
      <c r="T699">
        <v>0</v>
      </c>
      <c r="U699">
        <v>0</v>
      </c>
      <c r="V699">
        <v>0</v>
      </c>
      <c r="W699">
        <v>0</v>
      </c>
      <c r="X699">
        <v>0</v>
      </c>
      <c r="Y699">
        <v>0</v>
      </c>
      <c r="Z699">
        <v>0</v>
      </c>
      <c r="AA699">
        <v>0</v>
      </c>
      <c r="AB699">
        <v>0</v>
      </c>
      <c r="AC699">
        <v>0</v>
      </c>
      <c r="AD699">
        <v>0</v>
      </c>
      <c r="AE699">
        <v>0</v>
      </c>
      <c r="AF699">
        <v>0</v>
      </c>
      <c r="AG699">
        <v>0</v>
      </c>
      <c r="AH699">
        <v>0</v>
      </c>
      <c r="AI699">
        <v>0</v>
      </c>
      <c r="AJ699">
        <v>0</v>
      </c>
      <c r="AK699">
        <v>25.14</v>
      </c>
      <c r="AL699">
        <v>0</v>
      </c>
      <c r="AM699">
        <v>0</v>
      </c>
      <c r="AN699">
        <v>0</v>
      </c>
      <c r="AO699">
        <v>0</v>
      </c>
      <c r="AP699">
        <v>0</v>
      </c>
      <c r="AQ699">
        <v>0</v>
      </c>
      <c r="AR699">
        <v>0</v>
      </c>
      <c r="AS699">
        <v>0</v>
      </c>
      <c r="AT699">
        <v>0</v>
      </c>
      <c r="AU699">
        <v>0</v>
      </c>
      <c r="AV699">
        <v>0</v>
      </c>
      <c r="AW699">
        <v>0</v>
      </c>
      <c r="AX699">
        <v>0</v>
      </c>
      <c r="AY699">
        <v>0</v>
      </c>
      <c r="AZ699">
        <v>0</v>
      </c>
      <c r="BA699">
        <v>0</v>
      </c>
      <c r="BB699">
        <v>0</v>
      </c>
      <c r="BC699">
        <v>0</v>
      </c>
      <c r="BD699">
        <v>0</v>
      </c>
      <c r="BE699">
        <v>0</v>
      </c>
      <c r="BF699">
        <v>0</v>
      </c>
      <c r="BG699">
        <v>0</v>
      </c>
      <c r="BH699">
        <v>1</v>
      </c>
      <c r="BI699">
        <v>2.8</v>
      </c>
      <c r="BJ699">
        <v>2.7</v>
      </c>
      <c r="BK699">
        <v>3</v>
      </c>
      <c r="BL699">
        <v>90.44</v>
      </c>
      <c r="BM699">
        <v>13.57</v>
      </c>
      <c r="BN699">
        <v>104.01</v>
      </c>
      <c r="BO699">
        <v>104.01</v>
      </c>
      <c r="BQ699" t="s">
        <v>733</v>
      </c>
      <c r="BR699" t="s">
        <v>1806</v>
      </c>
      <c r="BS699" s="3">
        <v>44602</v>
      </c>
      <c r="BT699" s="4">
        <v>0.39166666666666666</v>
      </c>
      <c r="BU699" t="s">
        <v>1491</v>
      </c>
      <c r="BV699" t="s">
        <v>101</v>
      </c>
      <c r="BY699">
        <v>13440</v>
      </c>
      <c r="BZ699" t="s">
        <v>87</v>
      </c>
      <c r="CA699" t="s">
        <v>1492</v>
      </c>
      <c r="CC699" t="s">
        <v>132</v>
      </c>
      <c r="CD699">
        <v>4091</v>
      </c>
      <c r="CE699" t="s">
        <v>130</v>
      </c>
      <c r="CF699" s="3">
        <v>44602</v>
      </c>
      <c r="CI699">
        <v>1</v>
      </c>
      <c r="CJ699">
        <v>1</v>
      </c>
      <c r="CK699">
        <v>21</v>
      </c>
      <c r="CL699" t="s">
        <v>84</v>
      </c>
    </row>
    <row r="700" spans="1:90" x14ac:dyDescent="0.25">
      <c r="A700" t="s">
        <v>1417</v>
      </c>
      <c r="B700" t="s">
        <v>1400</v>
      </c>
      <c r="C700" t="s">
        <v>74</v>
      </c>
      <c r="E700" t="str">
        <f>"009940956765"</f>
        <v>009940956765</v>
      </c>
      <c r="F700" s="3">
        <v>44601</v>
      </c>
      <c r="G700">
        <v>202208</v>
      </c>
      <c r="H700" t="s">
        <v>1436</v>
      </c>
      <c r="I700" t="s">
        <v>1437</v>
      </c>
      <c r="J700" t="s">
        <v>1401</v>
      </c>
      <c r="K700" t="s">
        <v>78</v>
      </c>
      <c r="L700" t="s">
        <v>441</v>
      </c>
      <c r="M700" t="s">
        <v>442</v>
      </c>
      <c r="N700" t="s">
        <v>1488</v>
      </c>
      <c r="O700" t="s">
        <v>125</v>
      </c>
      <c r="P700" t="str">
        <f t="shared" si="13"/>
        <v xml:space="preserve">STORES                        </v>
      </c>
      <c r="Q700">
        <v>0</v>
      </c>
      <c r="R700">
        <v>0</v>
      </c>
      <c r="S700">
        <v>0</v>
      </c>
      <c r="T700">
        <v>0</v>
      </c>
      <c r="U700">
        <v>0</v>
      </c>
      <c r="V700">
        <v>0</v>
      </c>
      <c r="W700">
        <v>0</v>
      </c>
      <c r="X700">
        <v>0</v>
      </c>
      <c r="Y700">
        <v>0</v>
      </c>
      <c r="Z700">
        <v>0</v>
      </c>
      <c r="AA700">
        <v>0</v>
      </c>
      <c r="AB700">
        <v>0</v>
      </c>
      <c r="AC700">
        <v>0</v>
      </c>
      <c r="AD700">
        <v>0</v>
      </c>
      <c r="AE700">
        <v>0</v>
      </c>
      <c r="AF700">
        <v>0</v>
      </c>
      <c r="AG700">
        <v>0</v>
      </c>
      <c r="AH700">
        <v>0</v>
      </c>
      <c r="AI700">
        <v>0</v>
      </c>
      <c r="AJ700">
        <v>0</v>
      </c>
      <c r="AK700">
        <v>59.74</v>
      </c>
      <c r="AL700">
        <v>0</v>
      </c>
      <c r="AM700">
        <v>0</v>
      </c>
      <c r="AN700">
        <v>0</v>
      </c>
      <c r="AO700">
        <v>0</v>
      </c>
      <c r="AP700">
        <v>0</v>
      </c>
      <c r="AQ700">
        <v>0</v>
      </c>
      <c r="AR700">
        <v>0</v>
      </c>
      <c r="AS700">
        <v>0</v>
      </c>
      <c r="AT700">
        <v>0</v>
      </c>
      <c r="AU700">
        <v>0</v>
      </c>
      <c r="AV700">
        <v>0</v>
      </c>
      <c r="AW700">
        <v>0</v>
      </c>
      <c r="AX700">
        <v>0</v>
      </c>
      <c r="AY700">
        <v>0</v>
      </c>
      <c r="AZ700">
        <v>0</v>
      </c>
      <c r="BA700">
        <v>0</v>
      </c>
      <c r="BB700">
        <v>0</v>
      </c>
      <c r="BC700">
        <v>0</v>
      </c>
      <c r="BD700">
        <v>0</v>
      </c>
      <c r="BE700">
        <v>0</v>
      </c>
      <c r="BF700">
        <v>0</v>
      </c>
      <c r="BG700">
        <v>0</v>
      </c>
      <c r="BH700">
        <v>1</v>
      </c>
      <c r="BI700">
        <v>20.5</v>
      </c>
      <c r="BJ700">
        <v>14.3</v>
      </c>
      <c r="BK700">
        <v>21</v>
      </c>
      <c r="BL700">
        <v>220.16</v>
      </c>
      <c r="BM700">
        <v>33.020000000000003</v>
      </c>
      <c r="BN700">
        <v>253.18</v>
      </c>
      <c r="BO700">
        <v>253.18</v>
      </c>
      <c r="BQ700" t="s">
        <v>1494</v>
      </c>
      <c r="BR700" t="s">
        <v>1443</v>
      </c>
      <c r="BS700" s="3">
        <v>44602</v>
      </c>
      <c r="BT700" s="4">
        <v>0.34027777777777773</v>
      </c>
      <c r="BU700" t="s">
        <v>1800</v>
      </c>
      <c r="BV700" t="s">
        <v>101</v>
      </c>
      <c r="BY700">
        <v>71570.490000000005</v>
      </c>
      <c r="BZ700" t="s">
        <v>137</v>
      </c>
      <c r="CA700" t="s">
        <v>1496</v>
      </c>
      <c r="CC700" t="s">
        <v>442</v>
      </c>
      <c r="CD700">
        <v>1034</v>
      </c>
      <c r="CE700" t="s">
        <v>130</v>
      </c>
      <c r="CF700" s="3">
        <v>44602</v>
      </c>
      <c r="CI700">
        <v>1</v>
      </c>
      <c r="CJ700">
        <v>1</v>
      </c>
      <c r="CK700">
        <v>43</v>
      </c>
      <c r="CL700" t="s">
        <v>84</v>
      </c>
    </row>
    <row r="701" spans="1:90" x14ac:dyDescent="0.25">
      <c r="A701" t="s">
        <v>1417</v>
      </c>
      <c r="B701" t="s">
        <v>1400</v>
      </c>
      <c r="C701" t="s">
        <v>74</v>
      </c>
      <c r="E701" t="str">
        <f>"009941209338"</f>
        <v>009941209338</v>
      </c>
      <c r="F701" s="3">
        <v>44601</v>
      </c>
      <c r="G701">
        <v>202208</v>
      </c>
      <c r="H701" t="s">
        <v>1436</v>
      </c>
      <c r="I701" t="s">
        <v>1437</v>
      </c>
      <c r="J701" t="s">
        <v>1401</v>
      </c>
      <c r="K701" t="s">
        <v>78</v>
      </c>
      <c r="L701" t="s">
        <v>401</v>
      </c>
      <c r="M701" t="s">
        <v>402</v>
      </c>
      <c r="N701" t="s">
        <v>1401</v>
      </c>
      <c r="O701" t="s">
        <v>80</v>
      </c>
      <c r="P701" t="str">
        <f t="shared" si="13"/>
        <v xml:space="preserve">STORES                        </v>
      </c>
      <c r="Q701">
        <v>0</v>
      </c>
      <c r="R701">
        <v>0</v>
      </c>
      <c r="S701">
        <v>0</v>
      </c>
      <c r="T701">
        <v>0</v>
      </c>
      <c r="U701">
        <v>0</v>
      </c>
      <c r="V701">
        <v>0</v>
      </c>
      <c r="W701">
        <v>0</v>
      </c>
      <c r="X701">
        <v>0</v>
      </c>
      <c r="Y701">
        <v>0</v>
      </c>
      <c r="Z701">
        <v>0</v>
      </c>
      <c r="AA701">
        <v>0</v>
      </c>
      <c r="AB701">
        <v>0</v>
      </c>
      <c r="AC701">
        <v>0</v>
      </c>
      <c r="AD701">
        <v>0</v>
      </c>
      <c r="AE701">
        <v>0</v>
      </c>
      <c r="AF701">
        <v>0</v>
      </c>
      <c r="AG701">
        <v>0</v>
      </c>
      <c r="AH701">
        <v>0</v>
      </c>
      <c r="AI701">
        <v>0</v>
      </c>
      <c r="AJ701">
        <v>0</v>
      </c>
      <c r="AK701">
        <v>16.760000000000002</v>
      </c>
      <c r="AL701">
        <v>0</v>
      </c>
      <c r="AM701">
        <v>0</v>
      </c>
      <c r="AN701">
        <v>0</v>
      </c>
      <c r="AO701">
        <v>0</v>
      </c>
      <c r="AP701">
        <v>0</v>
      </c>
      <c r="AQ701">
        <v>0</v>
      </c>
      <c r="AR701">
        <v>0</v>
      </c>
      <c r="AS701">
        <v>0</v>
      </c>
      <c r="AT701">
        <v>0</v>
      </c>
      <c r="AU701">
        <v>0</v>
      </c>
      <c r="AV701">
        <v>0</v>
      </c>
      <c r="AW701">
        <v>0</v>
      </c>
      <c r="AX701">
        <v>0</v>
      </c>
      <c r="AY701">
        <v>0</v>
      </c>
      <c r="AZ701">
        <v>0</v>
      </c>
      <c r="BA701">
        <v>0</v>
      </c>
      <c r="BB701">
        <v>0</v>
      </c>
      <c r="BC701">
        <v>0</v>
      </c>
      <c r="BD701">
        <v>0</v>
      </c>
      <c r="BE701">
        <v>0</v>
      </c>
      <c r="BF701">
        <v>0</v>
      </c>
      <c r="BG701">
        <v>0</v>
      </c>
      <c r="BH701">
        <v>1</v>
      </c>
      <c r="BI701">
        <v>0.2</v>
      </c>
      <c r="BJ701">
        <v>1.5</v>
      </c>
      <c r="BK701">
        <v>1.5</v>
      </c>
      <c r="BL701">
        <v>60.3</v>
      </c>
      <c r="BM701">
        <v>9.0500000000000007</v>
      </c>
      <c r="BN701">
        <v>69.349999999999994</v>
      </c>
      <c r="BO701">
        <v>69.349999999999994</v>
      </c>
      <c r="BQ701" t="s">
        <v>733</v>
      </c>
      <c r="BR701" t="s">
        <v>733</v>
      </c>
      <c r="BS701" s="3">
        <v>44603</v>
      </c>
      <c r="BT701" s="4">
        <v>0.52083333333333337</v>
      </c>
      <c r="BU701" t="s">
        <v>1807</v>
      </c>
      <c r="BV701" t="s">
        <v>84</v>
      </c>
      <c r="BW701" t="s">
        <v>801</v>
      </c>
      <c r="BX701" t="s">
        <v>766</v>
      </c>
      <c r="BY701">
        <v>7257.17</v>
      </c>
      <c r="BZ701" t="s">
        <v>87</v>
      </c>
      <c r="CA701" t="s">
        <v>1507</v>
      </c>
      <c r="CC701" t="s">
        <v>402</v>
      </c>
      <c r="CD701">
        <v>699</v>
      </c>
      <c r="CE701" t="s">
        <v>130</v>
      </c>
      <c r="CF701" s="3">
        <v>44603</v>
      </c>
      <c r="CI701">
        <v>1</v>
      </c>
      <c r="CJ701">
        <v>2</v>
      </c>
      <c r="CK701">
        <v>21</v>
      </c>
      <c r="CL701" t="s">
        <v>84</v>
      </c>
    </row>
    <row r="702" spans="1:90" x14ac:dyDescent="0.25">
      <c r="A702" t="s">
        <v>1417</v>
      </c>
      <c r="B702" t="s">
        <v>1400</v>
      </c>
      <c r="C702" t="s">
        <v>74</v>
      </c>
      <c r="E702" t="str">
        <f>"009941618963"</f>
        <v>009941618963</v>
      </c>
      <c r="F702" s="3">
        <v>44601</v>
      </c>
      <c r="G702">
        <v>202208</v>
      </c>
      <c r="H702" t="s">
        <v>1436</v>
      </c>
      <c r="I702" t="s">
        <v>1437</v>
      </c>
      <c r="J702" t="s">
        <v>1401</v>
      </c>
      <c r="K702" t="s">
        <v>78</v>
      </c>
      <c r="L702" t="s">
        <v>131</v>
      </c>
      <c r="M702" t="s">
        <v>132</v>
      </c>
      <c r="N702" t="s">
        <v>1401</v>
      </c>
      <c r="O702" t="s">
        <v>125</v>
      </c>
      <c r="P702" t="str">
        <f t="shared" si="13"/>
        <v xml:space="preserve">STORES                        </v>
      </c>
      <c r="Q702">
        <v>0</v>
      </c>
      <c r="R702">
        <v>0</v>
      </c>
      <c r="S702">
        <v>0</v>
      </c>
      <c r="T702">
        <v>0</v>
      </c>
      <c r="U702">
        <v>0</v>
      </c>
      <c r="V702">
        <v>0</v>
      </c>
      <c r="W702">
        <v>0</v>
      </c>
      <c r="X702">
        <v>0</v>
      </c>
      <c r="Y702">
        <v>0</v>
      </c>
      <c r="Z702">
        <v>0</v>
      </c>
      <c r="AA702">
        <v>0</v>
      </c>
      <c r="AB702">
        <v>0</v>
      </c>
      <c r="AC702">
        <v>0</v>
      </c>
      <c r="AD702">
        <v>0</v>
      </c>
      <c r="AE702">
        <v>0</v>
      </c>
      <c r="AF702">
        <v>0</v>
      </c>
      <c r="AG702">
        <v>0</v>
      </c>
      <c r="AH702">
        <v>0</v>
      </c>
      <c r="AI702">
        <v>0</v>
      </c>
      <c r="AJ702">
        <v>0</v>
      </c>
      <c r="AK702">
        <v>32.42</v>
      </c>
      <c r="AL702">
        <v>0</v>
      </c>
      <c r="AM702">
        <v>0</v>
      </c>
      <c r="AN702">
        <v>0</v>
      </c>
      <c r="AO702">
        <v>0</v>
      </c>
      <c r="AP702">
        <v>0</v>
      </c>
      <c r="AQ702">
        <v>0</v>
      </c>
      <c r="AR702">
        <v>0</v>
      </c>
      <c r="AS702">
        <v>0</v>
      </c>
      <c r="AT702">
        <v>0</v>
      </c>
      <c r="AU702">
        <v>0</v>
      </c>
      <c r="AV702">
        <v>0</v>
      </c>
      <c r="AW702">
        <v>0</v>
      </c>
      <c r="AX702">
        <v>0</v>
      </c>
      <c r="AY702">
        <v>0</v>
      </c>
      <c r="AZ702">
        <v>0</v>
      </c>
      <c r="BA702">
        <v>0</v>
      </c>
      <c r="BB702">
        <v>0</v>
      </c>
      <c r="BC702">
        <v>0</v>
      </c>
      <c r="BD702">
        <v>0</v>
      </c>
      <c r="BE702">
        <v>0</v>
      </c>
      <c r="BF702">
        <v>0</v>
      </c>
      <c r="BG702">
        <v>0</v>
      </c>
      <c r="BH702">
        <v>1</v>
      </c>
      <c r="BI702">
        <v>1.3</v>
      </c>
      <c r="BJ702">
        <v>1.2</v>
      </c>
      <c r="BK702">
        <v>2</v>
      </c>
      <c r="BL702">
        <v>121.87</v>
      </c>
      <c r="BM702">
        <v>18.28</v>
      </c>
      <c r="BN702">
        <v>140.15</v>
      </c>
      <c r="BO702">
        <v>140.15</v>
      </c>
      <c r="BQ702" t="s">
        <v>733</v>
      </c>
      <c r="BR702" t="s">
        <v>1443</v>
      </c>
      <c r="BS702" s="3">
        <v>44602</v>
      </c>
      <c r="BT702" s="4">
        <v>0.4993055555555555</v>
      </c>
      <c r="BU702" t="s">
        <v>1491</v>
      </c>
      <c r="BV702" t="s">
        <v>101</v>
      </c>
      <c r="BY702">
        <v>6130.48</v>
      </c>
      <c r="BZ702" t="s">
        <v>137</v>
      </c>
      <c r="CA702" t="s">
        <v>1575</v>
      </c>
      <c r="CC702" t="s">
        <v>132</v>
      </c>
      <c r="CD702">
        <v>4091</v>
      </c>
      <c r="CE702" t="s">
        <v>130</v>
      </c>
      <c r="CF702" s="3">
        <v>44602</v>
      </c>
      <c r="CI702">
        <v>1</v>
      </c>
      <c r="CJ702">
        <v>1</v>
      </c>
      <c r="CK702">
        <v>41</v>
      </c>
      <c r="CL702" t="s">
        <v>84</v>
      </c>
    </row>
    <row r="703" spans="1:90" x14ac:dyDescent="0.25">
      <c r="A703" t="s">
        <v>1417</v>
      </c>
      <c r="B703" t="s">
        <v>1400</v>
      </c>
      <c r="C703" t="s">
        <v>74</v>
      </c>
      <c r="E703" t="str">
        <f>"009941915004"</f>
        <v>009941915004</v>
      </c>
      <c r="F703" s="3">
        <v>44601</v>
      </c>
      <c r="G703">
        <v>202208</v>
      </c>
      <c r="H703" t="s">
        <v>1436</v>
      </c>
      <c r="I703" t="s">
        <v>1437</v>
      </c>
      <c r="J703" t="s">
        <v>1401</v>
      </c>
      <c r="K703" t="s">
        <v>78</v>
      </c>
      <c r="L703" t="s">
        <v>496</v>
      </c>
      <c r="M703" t="s">
        <v>497</v>
      </c>
      <c r="N703" t="s">
        <v>1808</v>
      </c>
      <c r="O703" t="s">
        <v>125</v>
      </c>
      <c r="P703" t="str">
        <f t="shared" si="13"/>
        <v xml:space="preserve">STORES                        </v>
      </c>
      <c r="Q703">
        <v>0</v>
      </c>
      <c r="R703">
        <v>0</v>
      </c>
      <c r="S703">
        <v>0</v>
      </c>
      <c r="T703">
        <v>0</v>
      </c>
      <c r="U703">
        <v>0</v>
      </c>
      <c r="V703">
        <v>0</v>
      </c>
      <c r="W703">
        <v>0</v>
      </c>
      <c r="X703">
        <v>0</v>
      </c>
      <c r="Y703">
        <v>0</v>
      </c>
      <c r="Z703">
        <v>0</v>
      </c>
      <c r="AA703">
        <v>0</v>
      </c>
      <c r="AB703">
        <v>0</v>
      </c>
      <c r="AC703">
        <v>0</v>
      </c>
      <c r="AD703">
        <v>0</v>
      </c>
      <c r="AE703">
        <v>0</v>
      </c>
      <c r="AF703">
        <v>0</v>
      </c>
      <c r="AG703">
        <v>0</v>
      </c>
      <c r="AH703">
        <v>0</v>
      </c>
      <c r="AI703">
        <v>0</v>
      </c>
      <c r="AJ703">
        <v>0</v>
      </c>
      <c r="AK703">
        <v>32.42</v>
      </c>
      <c r="AL703">
        <v>0</v>
      </c>
      <c r="AM703">
        <v>0</v>
      </c>
      <c r="AN703">
        <v>0</v>
      </c>
      <c r="AO703">
        <v>0</v>
      </c>
      <c r="AP703">
        <v>0</v>
      </c>
      <c r="AQ703">
        <v>0</v>
      </c>
      <c r="AR703">
        <v>0</v>
      </c>
      <c r="AS703">
        <v>0</v>
      </c>
      <c r="AT703">
        <v>0</v>
      </c>
      <c r="AU703">
        <v>0</v>
      </c>
      <c r="AV703">
        <v>0</v>
      </c>
      <c r="AW703">
        <v>0</v>
      </c>
      <c r="AX703">
        <v>0</v>
      </c>
      <c r="AY703">
        <v>0</v>
      </c>
      <c r="AZ703">
        <v>0</v>
      </c>
      <c r="BA703">
        <v>0</v>
      </c>
      <c r="BB703">
        <v>0</v>
      </c>
      <c r="BC703">
        <v>0</v>
      </c>
      <c r="BD703">
        <v>0</v>
      </c>
      <c r="BE703">
        <v>0</v>
      </c>
      <c r="BF703">
        <v>0</v>
      </c>
      <c r="BG703">
        <v>0</v>
      </c>
      <c r="BH703">
        <v>1</v>
      </c>
      <c r="BI703">
        <v>9.5</v>
      </c>
      <c r="BJ703">
        <v>8.6999999999999993</v>
      </c>
      <c r="BK703">
        <v>10</v>
      </c>
      <c r="BL703">
        <v>121.87</v>
      </c>
      <c r="BM703">
        <v>18.28</v>
      </c>
      <c r="BN703">
        <v>140.15</v>
      </c>
      <c r="BO703">
        <v>140.15</v>
      </c>
      <c r="BQ703" t="s">
        <v>1606</v>
      </c>
      <c r="BR703" t="s">
        <v>1533</v>
      </c>
      <c r="BS703" s="3">
        <v>44603</v>
      </c>
      <c r="BT703" s="4">
        <v>0.44513888888888892</v>
      </c>
      <c r="BU703" t="s">
        <v>1809</v>
      </c>
      <c r="BV703" t="s">
        <v>101</v>
      </c>
      <c r="BY703">
        <v>43271.97</v>
      </c>
      <c r="BZ703" t="s">
        <v>137</v>
      </c>
      <c r="CA703" t="s">
        <v>976</v>
      </c>
      <c r="CC703" t="s">
        <v>497</v>
      </c>
      <c r="CD703">
        <v>6536</v>
      </c>
      <c r="CE703" t="s">
        <v>130</v>
      </c>
      <c r="CF703" s="3">
        <v>44605</v>
      </c>
      <c r="CI703">
        <v>2</v>
      </c>
      <c r="CJ703">
        <v>2</v>
      </c>
      <c r="CK703">
        <v>41</v>
      </c>
      <c r="CL703" t="s">
        <v>84</v>
      </c>
    </row>
    <row r="704" spans="1:90" x14ac:dyDescent="0.25">
      <c r="A704" t="s">
        <v>1417</v>
      </c>
      <c r="B704" t="s">
        <v>1400</v>
      </c>
      <c r="C704" t="s">
        <v>74</v>
      </c>
      <c r="E704" t="str">
        <f>"009941171591"</f>
        <v>009941171591</v>
      </c>
      <c r="F704" s="3">
        <v>44601</v>
      </c>
      <c r="G704">
        <v>202208</v>
      </c>
      <c r="H704" t="s">
        <v>1436</v>
      </c>
      <c r="I704" t="s">
        <v>1437</v>
      </c>
      <c r="J704" t="s">
        <v>1401</v>
      </c>
      <c r="K704" t="s">
        <v>78</v>
      </c>
      <c r="L704" t="s">
        <v>1529</v>
      </c>
      <c r="M704" t="s">
        <v>1530</v>
      </c>
      <c r="N704" t="s">
        <v>1401</v>
      </c>
      <c r="O704" t="s">
        <v>80</v>
      </c>
      <c r="P704" t="str">
        <f t="shared" si="13"/>
        <v xml:space="preserve">STORES                        </v>
      </c>
      <c r="Q704">
        <v>0</v>
      </c>
      <c r="R704">
        <v>0</v>
      </c>
      <c r="S704">
        <v>0</v>
      </c>
      <c r="T704">
        <v>0</v>
      </c>
      <c r="U704">
        <v>0</v>
      </c>
      <c r="V704">
        <v>0</v>
      </c>
      <c r="W704">
        <v>0</v>
      </c>
      <c r="X704">
        <v>0</v>
      </c>
      <c r="Y704">
        <v>0</v>
      </c>
      <c r="Z704">
        <v>0</v>
      </c>
      <c r="AA704">
        <v>0</v>
      </c>
      <c r="AB704">
        <v>0</v>
      </c>
      <c r="AC704">
        <v>0</v>
      </c>
      <c r="AD704">
        <v>0</v>
      </c>
      <c r="AE704">
        <v>0</v>
      </c>
      <c r="AF704">
        <v>0</v>
      </c>
      <c r="AG704">
        <v>0</v>
      </c>
      <c r="AH704">
        <v>0</v>
      </c>
      <c r="AI704">
        <v>0</v>
      </c>
      <c r="AJ704">
        <v>0</v>
      </c>
      <c r="AK704">
        <v>47.15</v>
      </c>
      <c r="AL704">
        <v>0</v>
      </c>
      <c r="AM704">
        <v>0</v>
      </c>
      <c r="AN704">
        <v>0</v>
      </c>
      <c r="AO704">
        <v>0</v>
      </c>
      <c r="AP704">
        <v>0</v>
      </c>
      <c r="AQ704">
        <v>15</v>
      </c>
      <c r="AR704">
        <v>0</v>
      </c>
      <c r="AS704">
        <v>0</v>
      </c>
      <c r="AT704">
        <v>0</v>
      </c>
      <c r="AU704">
        <v>0</v>
      </c>
      <c r="AV704">
        <v>0</v>
      </c>
      <c r="AW704">
        <v>0</v>
      </c>
      <c r="AX704">
        <v>0</v>
      </c>
      <c r="AY704">
        <v>0</v>
      </c>
      <c r="AZ704">
        <v>0</v>
      </c>
      <c r="BA704">
        <v>0</v>
      </c>
      <c r="BB704">
        <v>0</v>
      </c>
      <c r="BC704">
        <v>0</v>
      </c>
      <c r="BD704">
        <v>0</v>
      </c>
      <c r="BE704">
        <v>0</v>
      </c>
      <c r="BF704">
        <v>0</v>
      </c>
      <c r="BG704">
        <v>0</v>
      </c>
      <c r="BH704">
        <v>1</v>
      </c>
      <c r="BI704">
        <v>0.9</v>
      </c>
      <c r="BJ704">
        <v>2.7</v>
      </c>
      <c r="BK704">
        <v>3</v>
      </c>
      <c r="BL704">
        <v>184.61</v>
      </c>
      <c r="BM704">
        <v>27.69</v>
      </c>
      <c r="BN704">
        <v>212.3</v>
      </c>
      <c r="BO704">
        <v>212.3</v>
      </c>
      <c r="BQ704" t="s">
        <v>1810</v>
      </c>
      <c r="BR704" t="s">
        <v>1440</v>
      </c>
      <c r="BS704" s="3">
        <v>44602</v>
      </c>
      <c r="BT704" s="4">
        <v>0.47500000000000003</v>
      </c>
      <c r="BU704" t="s">
        <v>1811</v>
      </c>
      <c r="BV704" t="s">
        <v>101</v>
      </c>
      <c r="BY704">
        <v>13450.5</v>
      </c>
      <c r="BZ704" t="s">
        <v>121</v>
      </c>
      <c r="CA704" t="s">
        <v>1532</v>
      </c>
      <c r="CC704" t="s">
        <v>1530</v>
      </c>
      <c r="CD704">
        <v>450</v>
      </c>
      <c r="CE704" t="s">
        <v>130</v>
      </c>
      <c r="CF704" s="3">
        <v>44602</v>
      </c>
      <c r="CI704">
        <v>1</v>
      </c>
      <c r="CJ704">
        <v>1</v>
      </c>
      <c r="CK704">
        <v>23</v>
      </c>
      <c r="CL704" t="s">
        <v>84</v>
      </c>
    </row>
    <row r="705" spans="1:90" x14ac:dyDescent="0.25">
      <c r="A705" t="s">
        <v>1417</v>
      </c>
      <c r="B705" t="s">
        <v>1400</v>
      </c>
      <c r="C705" t="s">
        <v>74</v>
      </c>
      <c r="E705" t="str">
        <f>"009941916043"</f>
        <v>009941916043</v>
      </c>
      <c r="F705" s="3">
        <v>44601</v>
      </c>
      <c r="G705">
        <v>202208</v>
      </c>
      <c r="H705" t="s">
        <v>1436</v>
      </c>
      <c r="I705" t="s">
        <v>1437</v>
      </c>
      <c r="J705" t="s">
        <v>1401</v>
      </c>
      <c r="K705" t="s">
        <v>78</v>
      </c>
      <c r="L705" t="s">
        <v>159</v>
      </c>
      <c r="M705" t="s">
        <v>160</v>
      </c>
      <c r="N705" t="s">
        <v>1401</v>
      </c>
      <c r="O705" t="s">
        <v>125</v>
      </c>
      <c r="P705" t="str">
        <f t="shared" si="13"/>
        <v xml:space="preserve">STORES                        </v>
      </c>
      <c r="Q705">
        <v>0</v>
      </c>
      <c r="R705">
        <v>0</v>
      </c>
      <c r="S705">
        <v>0</v>
      </c>
      <c r="T705">
        <v>0</v>
      </c>
      <c r="U705">
        <v>0</v>
      </c>
      <c r="V705">
        <v>0</v>
      </c>
      <c r="W705">
        <v>0</v>
      </c>
      <c r="X705">
        <v>0</v>
      </c>
      <c r="Y705">
        <v>0</v>
      </c>
      <c r="Z705">
        <v>0</v>
      </c>
      <c r="AA705">
        <v>0</v>
      </c>
      <c r="AB705">
        <v>0</v>
      </c>
      <c r="AC705">
        <v>0</v>
      </c>
      <c r="AD705">
        <v>0</v>
      </c>
      <c r="AE705">
        <v>0</v>
      </c>
      <c r="AF705">
        <v>0</v>
      </c>
      <c r="AG705">
        <v>0</v>
      </c>
      <c r="AH705">
        <v>0</v>
      </c>
      <c r="AI705">
        <v>0</v>
      </c>
      <c r="AJ705">
        <v>0</v>
      </c>
      <c r="AK705">
        <v>45.72</v>
      </c>
      <c r="AL705">
        <v>0</v>
      </c>
      <c r="AM705">
        <v>0</v>
      </c>
      <c r="AN705">
        <v>0</v>
      </c>
      <c r="AO705">
        <v>0</v>
      </c>
      <c r="AP705">
        <v>0</v>
      </c>
      <c r="AQ705">
        <v>0</v>
      </c>
      <c r="AR705">
        <v>0</v>
      </c>
      <c r="AS705">
        <v>0</v>
      </c>
      <c r="AT705">
        <v>0</v>
      </c>
      <c r="AU705">
        <v>0</v>
      </c>
      <c r="AV705">
        <v>0</v>
      </c>
      <c r="AW705">
        <v>0</v>
      </c>
      <c r="AX705">
        <v>0</v>
      </c>
      <c r="AY705">
        <v>0</v>
      </c>
      <c r="AZ705">
        <v>0</v>
      </c>
      <c r="BA705">
        <v>0</v>
      </c>
      <c r="BB705">
        <v>0</v>
      </c>
      <c r="BC705">
        <v>0</v>
      </c>
      <c r="BD705">
        <v>0</v>
      </c>
      <c r="BE705">
        <v>0</v>
      </c>
      <c r="BF705">
        <v>0</v>
      </c>
      <c r="BG705">
        <v>0</v>
      </c>
      <c r="BH705">
        <v>1</v>
      </c>
      <c r="BI705">
        <v>2.1</v>
      </c>
      <c r="BJ705">
        <v>6</v>
      </c>
      <c r="BK705">
        <v>6</v>
      </c>
      <c r="BL705">
        <v>169.72</v>
      </c>
      <c r="BM705">
        <v>25.46</v>
      </c>
      <c r="BN705">
        <v>195.18</v>
      </c>
      <c r="BO705">
        <v>195.18</v>
      </c>
      <c r="BQ705" t="s">
        <v>1812</v>
      </c>
      <c r="BR705" t="s">
        <v>1533</v>
      </c>
      <c r="BS705" s="3">
        <v>44602</v>
      </c>
      <c r="BT705" s="4">
        <v>0.35416666666666669</v>
      </c>
      <c r="BU705" t="s">
        <v>1454</v>
      </c>
      <c r="BV705" t="s">
        <v>101</v>
      </c>
      <c r="BY705">
        <v>29784.35</v>
      </c>
      <c r="BZ705" t="s">
        <v>137</v>
      </c>
      <c r="CC705" t="s">
        <v>160</v>
      </c>
      <c r="CD705">
        <v>9459</v>
      </c>
      <c r="CE705" t="s">
        <v>130</v>
      </c>
      <c r="CF705" s="3">
        <v>44602</v>
      </c>
      <c r="CI705">
        <v>1</v>
      </c>
      <c r="CJ705">
        <v>1</v>
      </c>
      <c r="CK705">
        <v>43</v>
      </c>
      <c r="CL705" t="s">
        <v>84</v>
      </c>
    </row>
    <row r="706" spans="1:90" x14ac:dyDescent="0.25">
      <c r="A706" t="s">
        <v>1417</v>
      </c>
      <c r="B706" t="s">
        <v>1400</v>
      </c>
      <c r="C706" t="s">
        <v>74</v>
      </c>
      <c r="E706" t="str">
        <f>"009941567774"</f>
        <v>009941567774</v>
      </c>
      <c r="F706" s="3">
        <v>44601</v>
      </c>
      <c r="G706">
        <v>202208</v>
      </c>
      <c r="H706" t="s">
        <v>1436</v>
      </c>
      <c r="I706" t="s">
        <v>1437</v>
      </c>
      <c r="J706" t="s">
        <v>1401</v>
      </c>
      <c r="K706" t="s">
        <v>78</v>
      </c>
      <c r="L706" t="s">
        <v>1407</v>
      </c>
      <c r="M706" t="s">
        <v>1408</v>
      </c>
      <c r="N706" t="s">
        <v>1401</v>
      </c>
      <c r="O706" t="s">
        <v>80</v>
      </c>
      <c r="P706" t="str">
        <f t="shared" si="13"/>
        <v xml:space="preserve">STORES                        </v>
      </c>
      <c r="Q706">
        <v>0</v>
      </c>
      <c r="R706">
        <v>0</v>
      </c>
      <c r="S706">
        <v>0</v>
      </c>
      <c r="T706">
        <v>0</v>
      </c>
      <c r="U706">
        <v>0</v>
      </c>
      <c r="V706">
        <v>0</v>
      </c>
      <c r="W706">
        <v>0</v>
      </c>
      <c r="X706">
        <v>0</v>
      </c>
      <c r="Y706">
        <v>0</v>
      </c>
      <c r="Z706">
        <v>0</v>
      </c>
      <c r="AA706">
        <v>0</v>
      </c>
      <c r="AB706">
        <v>0</v>
      </c>
      <c r="AC706">
        <v>0</v>
      </c>
      <c r="AD706">
        <v>0</v>
      </c>
      <c r="AE706">
        <v>0</v>
      </c>
      <c r="AF706">
        <v>0</v>
      </c>
      <c r="AG706">
        <v>0</v>
      </c>
      <c r="AH706">
        <v>0</v>
      </c>
      <c r="AI706">
        <v>0</v>
      </c>
      <c r="AJ706">
        <v>0</v>
      </c>
      <c r="AK706">
        <v>47.15</v>
      </c>
      <c r="AL706">
        <v>0</v>
      </c>
      <c r="AM706">
        <v>0</v>
      </c>
      <c r="AN706">
        <v>0</v>
      </c>
      <c r="AO706">
        <v>0</v>
      </c>
      <c r="AP706">
        <v>0</v>
      </c>
      <c r="AQ706">
        <v>0</v>
      </c>
      <c r="AR706">
        <v>0</v>
      </c>
      <c r="AS706">
        <v>0</v>
      </c>
      <c r="AT706">
        <v>0</v>
      </c>
      <c r="AU706">
        <v>0</v>
      </c>
      <c r="AV706">
        <v>0</v>
      </c>
      <c r="AW706">
        <v>0</v>
      </c>
      <c r="AX706">
        <v>0</v>
      </c>
      <c r="AY706">
        <v>0</v>
      </c>
      <c r="AZ706">
        <v>0</v>
      </c>
      <c r="BA706">
        <v>0</v>
      </c>
      <c r="BB706">
        <v>0</v>
      </c>
      <c r="BC706">
        <v>0</v>
      </c>
      <c r="BD706">
        <v>0</v>
      </c>
      <c r="BE706">
        <v>0</v>
      </c>
      <c r="BF706">
        <v>0</v>
      </c>
      <c r="BG706">
        <v>0</v>
      </c>
      <c r="BH706">
        <v>1</v>
      </c>
      <c r="BI706">
        <v>1.1000000000000001</v>
      </c>
      <c r="BJ706">
        <v>2.7</v>
      </c>
      <c r="BK706">
        <v>3</v>
      </c>
      <c r="BL706">
        <v>169.61</v>
      </c>
      <c r="BM706">
        <v>25.44</v>
      </c>
      <c r="BN706">
        <v>195.05</v>
      </c>
      <c r="BO706">
        <v>195.05</v>
      </c>
      <c r="BQ706" t="s">
        <v>1813</v>
      </c>
      <c r="BR706" t="s">
        <v>1440</v>
      </c>
      <c r="BS706" t="s">
        <v>653</v>
      </c>
      <c r="BY706">
        <v>13334.24</v>
      </c>
      <c r="BZ706" t="s">
        <v>87</v>
      </c>
      <c r="CC706" t="s">
        <v>1408</v>
      </c>
      <c r="CD706">
        <v>2940</v>
      </c>
      <c r="CE706" t="s">
        <v>130</v>
      </c>
      <c r="CI706">
        <v>1</v>
      </c>
      <c r="CJ706" t="s">
        <v>653</v>
      </c>
      <c r="CK706">
        <v>23</v>
      </c>
      <c r="CL706" t="s">
        <v>84</v>
      </c>
    </row>
    <row r="707" spans="1:90" x14ac:dyDescent="0.25">
      <c r="A707" t="s">
        <v>1417</v>
      </c>
      <c r="B707" t="s">
        <v>1400</v>
      </c>
      <c r="C707" t="s">
        <v>74</v>
      </c>
      <c r="E707" t="str">
        <f>"009941618558"</f>
        <v>009941618558</v>
      </c>
      <c r="F707" s="3">
        <v>44601</v>
      </c>
      <c r="G707">
        <v>202208</v>
      </c>
      <c r="H707" t="s">
        <v>1436</v>
      </c>
      <c r="I707" t="s">
        <v>1437</v>
      </c>
      <c r="J707" t="s">
        <v>1401</v>
      </c>
      <c r="K707" t="s">
        <v>78</v>
      </c>
      <c r="L707" t="s">
        <v>282</v>
      </c>
      <c r="M707" t="s">
        <v>283</v>
      </c>
      <c r="N707" t="s">
        <v>1401</v>
      </c>
      <c r="O707" t="s">
        <v>80</v>
      </c>
      <c r="P707" t="str">
        <f t="shared" si="13"/>
        <v xml:space="preserve">STORES                        </v>
      </c>
      <c r="Q707">
        <v>0</v>
      </c>
      <c r="R707">
        <v>0</v>
      </c>
      <c r="S707">
        <v>0</v>
      </c>
      <c r="T707">
        <v>0</v>
      </c>
      <c r="U707">
        <v>0</v>
      </c>
      <c r="V707">
        <v>0</v>
      </c>
      <c r="W707">
        <v>0</v>
      </c>
      <c r="X707">
        <v>0</v>
      </c>
      <c r="Y707">
        <v>0</v>
      </c>
      <c r="Z707">
        <v>0</v>
      </c>
      <c r="AA707">
        <v>0</v>
      </c>
      <c r="AB707">
        <v>0</v>
      </c>
      <c r="AC707">
        <v>0</v>
      </c>
      <c r="AD707">
        <v>0</v>
      </c>
      <c r="AE707">
        <v>0</v>
      </c>
      <c r="AF707">
        <v>0</v>
      </c>
      <c r="AG707">
        <v>0</v>
      </c>
      <c r="AH707">
        <v>0</v>
      </c>
      <c r="AI707">
        <v>0</v>
      </c>
      <c r="AJ707">
        <v>0</v>
      </c>
      <c r="AK707">
        <v>32.479999999999997</v>
      </c>
      <c r="AL707">
        <v>0</v>
      </c>
      <c r="AM707">
        <v>0</v>
      </c>
      <c r="AN707">
        <v>0</v>
      </c>
      <c r="AO707">
        <v>0</v>
      </c>
      <c r="AP707">
        <v>0</v>
      </c>
      <c r="AQ707">
        <v>0</v>
      </c>
      <c r="AR707">
        <v>0</v>
      </c>
      <c r="AS707">
        <v>0</v>
      </c>
      <c r="AT707">
        <v>0</v>
      </c>
      <c r="AU707">
        <v>0</v>
      </c>
      <c r="AV707">
        <v>0</v>
      </c>
      <c r="AW707">
        <v>0</v>
      </c>
      <c r="AX707">
        <v>0</v>
      </c>
      <c r="AY707">
        <v>0</v>
      </c>
      <c r="AZ707">
        <v>0</v>
      </c>
      <c r="BA707">
        <v>0</v>
      </c>
      <c r="BB707">
        <v>0</v>
      </c>
      <c r="BC707">
        <v>0</v>
      </c>
      <c r="BD707">
        <v>0</v>
      </c>
      <c r="BE707">
        <v>0</v>
      </c>
      <c r="BF707">
        <v>0</v>
      </c>
      <c r="BG707">
        <v>0</v>
      </c>
      <c r="BH707">
        <v>1</v>
      </c>
      <c r="BI707">
        <v>0.7</v>
      </c>
      <c r="BJ707">
        <v>1.5</v>
      </c>
      <c r="BK707">
        <v>1.5</v>
      </c>
      <c r="BL707">
        <v>116.84</v>
      </c>
      <c r="BM707">
        <v>17.53</v>
      </c>
      <c r="BN707">
        <v>134.37</v>
      </c>
      <c r="BO707">
        <v>134.37</v>
      </c>
      <c r="BQ707" t="s">
        <v>1528</v>
      </c>
      <c r="BR707" t="s">
        <v>1814</v>
      </c>
      <c r="BS707" s="3">
        <v>44602</v>
      </c>
      <c r="BT707" s="4">
        <v>0.37916666666666665</v>
      </c>
      <c r="BU707" t="s">
        <v>1510</v>
      </c>
      <c r="BV707" t="s">
        <v>101</v>
      </c>
      <c r="BY707">
        <v>7470.01</v>
      </c>
      <c r="BZ707" t="s">
        <v>87</v>
      </c>
      <c r="CA707" t="s">
        <v>1089</v>
      </c>
      <c r="CC707" t="s">
        <v>283</v>
      </c>
      <c r="CD707">
        <v>300</v>
      </c>
      <c r="CE707" t="s">
        <v>130</v>
      </c>
      <c r="CF707" s="3">
        <v>44602</v>
      </c>
      <c r="CI707">
        <v>1</v>
      </c>
      <c r="CJ707">
        <v>1</v>
      </c>
      <c r="CK707">
        <v>23</v>
      </c>
      <c r="CL707" t="s">
        <v>84</v>
      </c>
    </row>
    <row r="708" spans="1:90" x14ac:dyDescent="0.25">
      <c r="A708" t="s">
        <v>1417</v>
      </c>
      <c r="B708" t="s">
        <v>1400</v>
      </c>
      <c r="C708" t="s">
        <v>74</v>
      </c>
      <c r="E708" t="str">
        <f>"009941171593"</f>
        <v>009941171593</v>
      </c>
      <c r="F708" s="3">
        <v>44601</v>
      </c>
      <c r="G708">
        <v>202208</v>
      </c>
      <c r="H708" t="s">
        <v>1436</v>
      </c>
      <c r="I708" t="s">
        <v>1437</v>
      </c>
      <c r="J708" t="s">
        <v>1401</v>
      </c>
      <c r="K708" t="s">
        <v>78</v>
      </c>
      <c r="L708" t="s">
        <v>435</v>
      </c>
      <c r="M708" t="s">
        <v>436</v>
      </c>
      <c r="N708" t="s">
        <v>1401</v>
      </c>
      <c r="O708" t="s">
        <v>80</v>
      </c>
      <c r="P708" t="str">
        <f t="shared" si="13"/>
        <v xml:space="preserve">STORES                        </v>
      </c>
      <c r="Q708">
        <v>0</v>
      </c>
      <c r="R708">
        <v>0</v>
      </c>
      <c r="S708">
        <v>0</v>
      </c>
      <c r="T708">
        <v>0</v>
      </c>
      <c r="U708">
        <v>0</v>
      </c>
      <c r="V708">
        <v>0</v>
      </c>
      <c r="W708">
        <v>0</v>
      </c>
      <c r="X708">
        <v>0</v>
      </c>
      <c r="Y708">
        <v>0</v>
      </c>
      <c r="Z708">
        <v>0</v>
      </c>
      <c r="AA708">
        <v>0</v>
      </c>
      <c r="AB708">
        <v>0</v>
      </c>
      <c r="AC708">
        <v>0</v>
      </c>
      <c r="AD708">
        <v>0</v>
      </c>
      <c r="AE708">
        <v>0</v>
      </c>
      <c r="AF708">
        <v>0</v>
      </c>
      <c r="AG708">
        <v>0</v>
      </c>
      <c r="AH708">
        <v>0</v>
      </c>
      <c r="AI708">
        <v>0</v>
      </c>
      <c r="AJ708">
        <v>0</v>
      </c>
      <c r="AK708">
        <v>32.479999999999997</v>
      </c>
      <c r="AL708">
        <v>0</v>
      </c>
      <c r="AM708">
        <v>0</v>
      </c>
      <c r="AN708">
        <v>0</v>
      </c>
      <c r="AO708">
        <v>0</v>
      </c>
      <c r="AP708">
        <v>0</v>
      </c>
      <c r="AQ708">
        <v>0</v>
      </c>
      <c r="AR708">
        <v>0</v>
      </c>
      <c r="AS708">
        <v>0</v>
      </c>
      <c r="AT708">
        <v>0</v>
      </c>
      <c r="AU708">
        <v>0</v>
      </c>
      <c r="AV708">
        <v>0</v>
      </c>
      <c r="AW708">
        <v>0</v>
      </c>
      <c r="AX708">
        <v>0</v>
      </c>
      <c r="AY708">
        <v>0</v>
      </c>
      <c r="AZ708">
        <v>0</v>
      </c>
      <c r="BA708">
        <v>0</v>
      </c>
      <c r="BB708">
        <v>0</v>
      </c>
      <c r="BC708">
        <v>0</v>
      </c>
      <c r="BD708">
        <v>0</v>
      </c>
      <c r="BE708">
        <v>0</v>
      </c>
      <c r="BF708">
        <v>0</v>
      </c>
      <c r="BG708">
        <v>0</v>
      </c>
      <c r="BH708">
        <v>1</v>
      </c>
      <c r="BI708">
        <v>0.7</v>
      </c>
      <c r="BJ708">
        <v>1.6</v>
      </c>
      <c r="BK708">
        <v>2</v>
      </c>
      <c r="BL708">
        <v>116.84</v>
      </c>
      <c r="BM708">
        <v>17.53</v>
      </c>
      <c r="BN708">
        <v>134.37</v>
      </c>
      <c r="BO708">
        <v>134.37</v>
      </c>
      <c r="BQ708" t="s">
        <v>1815</v>
      </c>
      <c r="BR708" t="s">
        <v>1440</v>
      </c>
      <c r="BS708" s="3">
        <v>44602</v>
      </c>
      <c r="BT708" s="4">
        <v>0.66666666666666663</v>
      </c>
      <c r="BU708" t="s">
        <v>1594</v>
      </c>
      <c r="BV708" t="s">
        <v>84</v>
      </c>
      <c r="BY708">
        <v>8238.2099999999991</v>
      </c>
      <c r="BZ708" t="s">
        <v>87</v>
      </c>
      <c r="CA708" t="s">
        <v>1518</v>
      </c>
      <c r="CC708" t="s">
        <v>436</v>
      </c>
      <c r="CD708">
        <v>2570</v>
      </c>
      <c r="CE708" t="s">
        <v>130</v>
      </c>
      <c r="CF708" s="3">
        <v>44603</v>
      </c>
      <c r="CI708">
        <v>1</v>
      </c>
      <c r="CJ708">
        <v>1</v>
      </c>
      <c r="CK708">
        <v>23</v>
      </c>
      <c r="CL708" t="s">
        <v>84</v>
      </c>
    </row>
    <row r="709" spans="1:90" x14ac:dyDescent="0.25">
      <c r="A709" t="s">
        <v>1417</v>
      </c>
      <c r="B709" t="s">
        <v>1400</v>
      </c>
      <c r="C709" t="s">
        <v>74</v>
      </c>
      <c r="E709" t="str">
        <f>"009941916042"</f>
        <v>009941916042</v>
      </c>
      <c r="F709" s="3">
        <v>44601</v>
      </c>
      <c r="G709">
        <v>202208</v>
      </c>
      <c r="H709" t="s">
        <v>1436</v>
      </c>
      <c r="I709" t="s">
        <v>1437</v>
      </c>
      <c r="J709" t="s">
        <v>1401</v>
      </c>
      <c r="K709" t="s">
        <v>78</v>
      </c>
      <c r="L709" t="s">
        <v>481</v>
      </c>
      <c r="M709" t="s">
        <v>482</v>
      </c>
      <c r="N709" t="s">
        <v>1401</v>
      </c>
      <c r="O709" t="s">
        <v>125</v>
      </c>
      <c r="P709" t="str">
        <f t="shared" si="13"/>
        <v xml:space="preserve">STORES                        </v>
      </c>
      <c r="Q709">
        <v>0</v>
      </c>
      <c r="R709">
        <v>0</v>
      </c>
      <c r="S709">
        <v>0</v>
      </c>
      <c r="T709">
        <v>0</v>
      </c>
      <c r="U709">
        <v>0</v>
      </c>
      <c r="V709">
        <v>0</v>
      </c>
      <c r="W709">
        <v>0</v>
      </c>
      <c r="X709">
        <v>0</v>
      </c>
      <c r="Y709">
        <v>0</v>
      </c>
      <c r="Z709">
        <v>0</v>
      </c>
      <c r="AA709">
        <v>0</v>
      </c>
      <c r="AB709">
        <v>0</v>
      </c>
      <c r="AC709">
        <v>0</v>
      </c>
      <c r="AD709">
        <v>0</v>
      </c>
      <c r="AE709">
        <v>0</v>
      </c>
      <c r="AF709">
        <v>0</v>
      </c>
      <c r="AG709">
        <v>0</v>
      </c>
      <c r="AH709">
        <v>0</v>
      </c>
      <c r="AI709">
        <v>0</v>
      </c>
      <c r="AJ709">
        <v>0</v>
      </c>
      <c r="AK709">
        <v>48.06</v>
      </c>
      <c r="AL709">
        <v>0</v>
      </c>
      <c r="AM709">
        <v>0</v>
      </c>
      <c r="AN709">
        <v>0</v>
      </c>
      <c r="AO709">
        <v>0</v>
      </c>
      <c r="AP709">
        <v>0</v>
      </c>
      <c r="AQ709">
        <v>0</v>
      </c>
      <c r="AR709">
        <v>0</v>
      </c>
      <c r="AS709">
        <v>0</v>
      </c>
      <c r="AT709">
        <v>0</v>
      </c>
      <c r="AU709">
        <v>0</v>
      </c>
      <c r="AV709">
        <v>0</v>
      </c>
      <c r="AW709">
        <v>0</v>
      </c>
      <c r="AX709">
        <v>0</v>
      </c>
      <c r="AY709">
        <v>0</v>
      </c>
      <c r="AZ709">
        <v>0</v>
      </c>
      <c r="BA709">
        <v>0</v>
      </c>
      <c r="BB709">
        <v>0</v>
      </c>
      <c r="BC709">
        <v>0</v>
      </c>
      <c r="BD709">
        <v>0</v>
      </c>
      <c r="BE709">
        <v>0</v>
      </c>
      <c r="BF709">
        <v>0</v>
      </c>
      <c r="BG709">
        <v>0</v>
      </c>
      <c r="BH709">
        <v>2</v>
      </c>
      <c r="BI709">
        <v>10</v>
      </c>
      <c r="BJ709">
        <v>15.7</v>
      </c>
      <c r="BK709">
        <v>16</v>
      </c>
      <c r="BL709">
        <v>178.13</v>
      </c>
      <c r="BM709">
        <v>26.72</v>
      </c>
      <c r="BN709">
        <v>204.85</v>
      </c>
      <c r="BO709">
        <v>204.85</v>
      </c>
      <c r="BQ709" t="s">
        <v>1784</v>
      </c>
      <c r="BR709" t="s">
        <v>1533</v>
      </c>
      <c r="BS709" s="3">
        <v>44602</v>
      </c>
      <c r="BT709" s="4">
        <v>0.34027777777777773</v>
      </c>
      <c r="BU709" t="s">
        <v>1771</v>
      </c>
      <c r="BV709" t="s">
        <v>101</v>
      </c>
      <c r="BY709">
        <v>78339.44</v>
      </c>
      <c r="BZ709" t="s">
        <v>137</v>
      </c>
      <c r="CC709" t="s">
        <v>482</v>
      </c>
      <c r="CD709">
        <v>9700</v>
      </c>
      <c r="CE709" t="s">
        <v>130</v>
      </c>
      <c r="CF709" s="3">
        <v>44603</v>
      </c>
      <c r="CI709">
        <v>1</v>
      </c>
      <c r="CJ709">
        <v>1</v>
      </c>
      <c r="CK709">
        <v>43</v>
      </c>
      <c r="CL709" t="s">
        <v>84</v>
      </c>
    </row>
    <row r="710" spans="1:90" x14ac:dyDescent="0.25">
      <c r="A710" t="s">
        <v>1417</v>
      </c>
      <c r="B710" t="s">
        <v>1400</v>
      </c>
      <c r="C710" t="s">
        <v>74</v>
      </c>
      <c r="E710" t="str">
        <f>"009941567773"</f>
        <v>009941567773</v>
      </c>
      <c r="F710" s="3">
        <v>44601</v>
      </c>
      <c r="G710">
        <v>202208</v>
      </c>
      <c r="H710" t="s">
        <v>1436</v>
      </c>
      <c r="I710" t="s">
        <v>1437</v>
      </c>
      <c r="J710" t="s">
        <v>1401</v>
      </c>
      <c r="K710" t="s">
        <v>78</v>
      </c>
      <c r="L710" t="s">
        <v>159</v>
      </c>
      <c r="M710" t="s">
        <v>160</v>
      </c>
      <c r="N710" t="s">
        <v>1401</v>
      </c>
      <c r="O710" t="s">
        <v>80</v>
      </c>
      <c r="P710" t="str">
        <f t="shared" si="13"/>
        <v xml:space="preserve">STORES                        </v>
      </c>
      <c r="Q710">
        <v>0</v>
      </c>
      <c r="R710">
        <v>0</v>
      </c>
      <c r="S710">
        <v>0</v>
      </c>
      <c r="T710">
        <v>0</v>
      </c>
      <c r="U710">
        <v>0</v>
      </c>
      <c r="V710">
        <v>0</v>
      </c>
      <c r="W710">
        <v>0</v>
      </c>
      <c r="X710">
        <v>0</v>
      </c>
      <c r="Y710">
        <v>0</v>
      </c>
      <c r="Z710">
        <v>0</v>
      </c>
      <c r="AA710">
        <v>0</v>
      </c>
      <c r="AB710">
        <v>0</v>
      </c>
      <c r="AC710">
        <v>0</v>
      </c>
      <c r="AD710">
        <v>0</v>
      </c>
      <c r="AE710">
        <v>0</v>
      </c>
      <c r="AF710">
        <v>0</v>
      </c>
      <c r="AG710">
        <v>0</v>
      </c>
      <c r="AH710">
        <v>0</v>
      </c>
      <c r="AI710">
        <v>0</v>
      </c>
      <c r="AJ710">
        <v>0</v>
      </c>
      <c r="AK710">
        <v>32.479999999999997</v>
      </c>
      <c r="AL710">
        <v>0</v>
      </c>
      <c r="AM710">
        <v>0</v>
      </c>
      <c r="AN710">
        <v>0</v>
      </c>
      <c r="AO710">
        <v>0</v>
      </c>
      <c r="AP710">
        <v>0</v>
      </c>
      <c r="AQ710">
        <v>0</v>
      </c>
      <c r="AR710">
        <v>0</v>
      </c>
      <c r="AS710">
        <v>0</v>
      </c>
      <c r="AT710">
        <v>0</v>
      </c>
      <c r="AU710">
        <v>0</v>
      </c>
      <c r="AV710">
        <v>0</v>
      </c>
      <c r="AW710">
        <v>0</v>
      </c>
      <c r="AX710">
        <v>0</v>
      </c>
      <c r="AY710">
        <v>0</v>
      </c>
      <c r="AZ710">
        <v>0</v>
      </c>
      <c r="BA710">
        <v>0</v>
      </c>
      <c r="BB710">
        <v>0</v>
      </c>
      <c r="BC710">
        <v>0</v>
      </c>
      <c r="BD710">
        <v>0</v>
      </c>
      <c r="BE710">
        <v>0</v>
      </c>
      <c r="BF710">
        <v>0</v>
      </c>
      <c r="BG710">
        <v>0</v>
      </c>
      <c r="BH710">
        <v>1</v>
      </c>
      <c r="BI710">
        <v>1</v>
      </c>
      <c r="BJ710">
        <v>0.2</v>
      </c>
      <c r="BK710">
        <v>1</v>
      </c>
      <c r="BL710">
        <v>116.84</v>
      </c>
      <c r="BM710">
        <v>17.53</v>
      </c>
      <c r="BN710">
        <v>134.37</v>
      </c>
      <c r="BO710">
        <v>134.37</v>
      </c>
      <c r="BQ710" t="s">
        <v>1454</v>
      </c>
      <c r="BR710" t="s">
        <v>1440</v>
      </c>
      <c r="BS710" s="3">
        <v>44602</v>
      </c>
      <c r="BT710" s="4">
        <v>0.37222222222222223</v>
      </c>
      <c r="BU710" t="s">
        <v>1816</v>
      </c>
      <c r="BV710" t="s">
        <v>101</v>
      </c>
      <c r="BY710">
        <v>1200</v>
      </c>
      <c r="BZ710" t="s">
        <v>87</v>
      </c>
      <c r="CC710" t="s">
        <v>160</v>
      </c>
      <c r="CD710">
        <v>9459</v>
      </c>
      <c r="CE710" t="s">
        <v>130</v>
      </c>
      <c r="CF710" s="3">
        <v>44602</v>
      </c>
      <c r="CI710">
        <v>1</v>
      </c>
      <c r="CJ710">
        <v>1</v>
      </c>
      <c r="CK710">
        <v>23</v>
      </c>
      <c r="CL710" t="s">
        <v>84</v>
      </c>
    </row>
    <row r="711" spans="1:90" x14ac:dyDescent="0.25">
      <c r="A711" t="s">
        <v>1417</v>
      </c>
      <c r="B711" t="s">
        <v>1400</v>
      </c>
      <c r="C711" t="s">
        <v>74</v>
      </c>
      <c r="E711" t="str">
        <f>"009941209235"</f>
        <v>009941209235</v>
      </c>
      <c r="F711" s="3">
        <v>44601</v>
      </c>
      <c r="G711">
        <v>202208</v>
      </c>
      <c r="H711" t="s">
        <v>1436</v>
      </c>
      <c r="I711" t="s">
        <v>1437</v>
      </c>
      <c r="J711" t="s">
        <v>1401</v>
      </c>
      <c r="K711" t="s">
        <v>78</v>
      </c>
      <c r="L711" t="s">
        <v>761</v>
      </c>
      <c r="M711" t="s">
        <v>762</v>
      </c>
      <c r="N711" t="s">
        <v>1401</v>
      </c>
      <c r="O711" t="s">
        <v>125</v>
      </c>
      <c r="P711" t="str">
        <f t="shared" si="13"/>
        <v xml:space="preserve">STORES                        </v>
      </c>
      <c r="Q711">
        <v>0</v>
      </c>
      <c r="R711">
        <v>0</v>
      </c>
      <c r="S711">
        <v>0</v>
      </c>
      <c r="T711">
        <v>0</v>
      </c>
      <c r="U711">
        <v>0</v>
      </c>
      <c r="V711">
        <v>0</v>
      </c>
      <c r="W711">
        <v>0</v>
      </c>
      <c r="X711">
        <v>0</v>
      </c>
      <c r="Y711">
        <v>0</v>
      </c>
      <c r="Z711">
        <v>0</v>
      </c>
      <c r="AA711">
        <v>0</v>
      </c>
      <c r="AB711">
        <v>0</v>
      </c>
      <c r="AC711">
        <v>0</v>
      </c>
      <c r="AD711">
        <v>0</v>
      </c>
      <c r="AE711">
        <v>0</v>
      </c>
      <c r="AF711">
        <v>0</v>
      </c>
      <c r="AG711">
        <v>0</v>
      </c>
      <c r="AH711">
        <v>0</v>
      </c>
      <c r="AI711">
        <v>0</v>
      </c>
      <c r="AJ711">
        <v>0</v>
      </c>
      <c r="AK711">
        <v>182.04</v>
      </c>
      <c r="AL711">
        <v>0</v>
      </c>
      <c r="AM711">
        <v>0</v>
      </c>
      <c r="AN711">
        <v>0</v>
      </c>
      <c r="AO711">
        <v>0</v>
      </c>
      <c r="AP711">
        <v>0</v>
      </c>
      <c r="AQ711">
        <v>0</v>
      </c>
      <c r="AR711">
        <v>0</v>
      </c>
      <c r="AS711">
        <v>0</v>
      </c>
      <c r="AT711">
        <v>0</v>
      </c>
      <c r="AU711">
        <v>0</v>
      </c>
      <c r="AV711">
        <v>0</v>
      </c>
      <c r="AW711">
        <v>0</v>
      </c>
      <c r="AX711">
        <v>0</v>
      </c>
      <c r="AY711">
        <v>0</v>
      </c>
      <c r="AZ711">
        <v>0</v>
      </c>
      <c r="BA711">
        <v>0</v>
      </c>
      <c r="BB711">
        <v>0</v>
      </c>
      <c r="BC711">
        <v>0</v>
      </c>
      <c r="BD711">
        <v>0</v>
      </c>
      <c r="BE711">
        <v>0</v>
      </c>
      <c r="BF711">
        <v>0</v>
      </c>
      <c r="BG711">
        <v>0</v>
      </c>
      <c r="BH711">
        <v>3</v>
      </c>
      <c r="BI711">
        <v>87.2</v>
      </c>
      <c r="BJ711">
        <v>126.1</v>
      </c>
      <c r="BK711">
        <v>127</v>
      </c>
      <c r="BL711">
        <v>660.13</v>
      </c>
      <c r="BM711">
        <v>99.02</v>
      </c>
      <c r="BN711">
        <v>759.15</v>
      </c>
      <c r="BO711">
        <v>759.15</v>
      </c>
      <c r="BQ711" t="s">
        <v>1526</v>
      </c>
      <c r="BR711" t="s">
        <v>1533</v>
      </c>
      <c r="BS711" s="3">
        <v>44602</v>
      </c>
      <c r="BT711" s="4">
        <v>0.46736111111111112</v>
      </c>
      <c r="BU711" t="s">
        <v>1630</v>
      </c>
      <c r="BV711" t="s">
        <v>101</v>
      </c>
      <c r="BY711">
        <v>335979.68</v>
      </c>
      <c r="BZ711" t="s">
        <v>137</v>
      </c>
      <c r="CA711" t="s">
        <v>767</v>
      </c>
      <c r="CC711" t="s">
        <v>762</v>
      </c>
      <c r="CD711">
        <v>9300</v>
      </c>
      <c r="CE711" t="s">
        <v>130</v>
      </c>
      <c r="CF711" s="3">
        <v>44603</v>
      </c>
      <c r="CI711">
        <v>1</v>
      </c>
      <c r="CJ711">
        <v>1</v>
      </c>
      <c r="CK711">
        <v>41</v>
      </c>
      <c r="CL711" t="s">
        <v>84</v>
      </c>
    </row>
    <row r="712" spans="1:90" x14ac:dyDescent="0.25">
      <c r="A712" t="s">
        <v>1417</v>
      </c>
      <c r="B712" t="s">
        <v>1400</v>
      </c>
      <c r="C712" t="s">
        <v>74</v>
      </c>
      <c r="E712" t="str">
        <f>"009940901451"</f>
        <v>009940901451</v>
      </c>
      <c r="F712" s="3">
        <v>44601</v>
      </c>
      <c r="G712">
        <v>202208</v>
      </c>
      <c r="H712" t="s">
        <v>401</v>
      </c>
      <c r="I712" t="s">
        <v>402</v>
      </c>
      <c r="J712" t="s">
        <v>1401</v>
      </c>
      <c r="K712" t="s">
        <v>78</v>
      </c>
      <c r="L712" t="s">
        <v>1436</v>
      </c>
      <c r="M712" t="s">
        <v>1437</v>
      </c>
      <c r="N712" t="s">
        <v>1817</v>
      </c>
      <c r="O712" t="s">
        <v>125</v>
      </c>
      <c r="P712" t="str">
        <f>"                              "</f>
        <v xml:space="preserve">                              </v>
      </c>
      <c r="Q712">
        <v>0</v>
      </c>
      <c r="R712">
        <v>0</v>
      </c>
      <c r="S712">
        <v>0</v>
      </c>
      <c r="T712">
        <v>0</v>
      </c>
      <c r="U712">
        <v>0</v>
      </c>
      <c r="V712">
        <v>0</v>
      </c>
      <c r="W712">
        <v>0</v>
      </c>
      <c r="X712">
        <v>0</v>
      </c>
      <c r="Y712">
        <v>0</v>
      </c>
      <c r="Z712">
        <v>0</v>
      </c>
      <c r="AA712">
        <v>0</v>
      </c>
      <c r="AB712">
        <v>0</v>
      </c>
      <c r="AC712">
        <v>0</v>
      </c>
      <c r="AD712">
        <v>0</v>
      </c>
      <c r="AE712">
        <v>0</v>
      </c>
      <c r="AF712">
        <v>0</v>
      </c>
      <c r="AG712">
        <v>0</v>
      </c>
      <c r="AH712">
        <v>0</v>
      </c>
      <c r="AI712">
        <v>0</v>
      </c>
      <c r="AJ712">
        <v>0</v>
      </c>
      <c r="AK712">
        <v>32.42</v>
      </c>
      <c r="AL712">
        <v>0</v>
      </c>
      <c r="AM712">
        <v>0</v>
      </c>
      <c r="AN712">
        <v>0</v>
      </c>
      <c r="AO712">
        <v>0</v>
      </c>
      <c r="AP712">
        <v>0</v>
      </c>
      <c r="AQ712">
        <v>0</v>
      </c>
      <c r="AR712">
        <v>0</v>
      </c>
      <c r="AS712">
        <v>0</v>
      </c>
      <c r="AT712">
        <v>0</v>
      </c>
      <c r="AU712">
        <v>0</v>
      </c>
      <c r="AV712">
        <v>0</v>
      </c>
      <c r="AW712">
        <v>0</v>
      </c>
      <c r="AX712">
        <v>0</v>
      </c>
      <c r="AY712">
        <v>0</v>
      </c>
      <c r="AZ712">
        <v>0</v>
      </c>
      <c r="BA712">
        <v>0</v>
      </c>
      <c r="BB712">
        <v>0</v>
      </c>
      <c r="BC712">
        <v>0</v>
      </c>
      <c r="BD712">
        <v>0</v>
      </c>
      <c r="BE712">
        <v>0</v>
      </c>
      <c r="BF712">
        <v>0</v>
      </c>
      <c r="BG712">
        <v>0</v>
      </c>
      <c r="BH712">
        <v>2</v>
      </c>
      <c r="BI712">
        <v>10</v>
      </c>
      <c r="BJ712">
        <v>12.2</v>
      </c>
      <c r="BK712">
        <v>13</v>
      </c>
      <c r="BL712">
        <v>121.87</v>
      </c>
      <c r="BM712">
        <v>18.28</v>
      </c>
      <c r="BN712">
        <v>140.15</v>
      </c>
      <c r="BO712">
        <v>140.15</v>
      </c>
      <c r="BQ712" t="s">
        <v>1818</v>
      </c>
      <c r="BS712" s="3">
        <v>44602</v>
      </c>
      <c r="BT712" s="4">
        <v>0.48958333333333331</v>
      </c>
      <c r="BU712" t="s">
        <v>1438</v>
      </c>
      <c r="BV712" t="s">
        <v>101</v>
      </c>
      <c r="BY712">
        <v>61166</v>
      </c>
      <c r="BZ712" t="s">
        <v>137</v>
      </c>
      <c r="CA712" t="s">
        <v>928</v>
      </c>
      <c r="CC712" t="s">
        <v>1437</v>
      </c>
      <c r="CD712">
        <v>2146</v>
      </c>
      <c r="CE712" t="s">
        <v>130</v>
      </c>
      <c r="CF712" s="3">
        <v>44603</v>
      </c>
      <c r="CI712">
        <v>1</v>
      </c>
      <c r="CJ712">
        <v>1</v>
      </c>
      <c r="CK712">
        <v>41</v>
      </c>
      <c r="CL712" t="s">
        <v>84</v>
      </c>
    </row>
    <row r="713" spans="1:90" x14ac:dyDescent="0.25">
      <c r="A713" t="s">
        <v>1417</v>
      </c>
      <c r="B713" t="s">
        <v>1400</v>
      </c>
      <c r="C713" t="s">
        <v>74</v>
      </c>
      <c r="E713" t="str">
        <f>"009941939290"</f>
        <v>009941939290</v>
      </c>
      <c r="F713" s="3">
        <v>44601</v>
      </c>
      <c r="G713">
        <v>202208</v>
      </c>
      <c r="H713" t="s">
        <v>159</v>
      </c>
      <c r="I713" t="s">
        <v>160</v>
      </c>
      <c r="J713" t="s">
        <v>1523</v>
      </c>
      <c r="K713" t="s">
        <v>78</v>
      </c>
      <c r="L713" t="s">
        <v>153</v>
      </c>
      <c r="M713" t="s">
        <v>154</v>
      </c>
      <c r="N713" t="s">
        <v>1401</v>
      </c>
      <c r="O713" t="s">
        <v>125</v>
      </c>
      <c r="P713" t="str">
        <f>"                              "</f>
        <v xml:space="preserve">                              </v>
      </c>
      <c r="Q713">
        <v>0</v>
      </c>
      <c r="R713">
        <v>0</v>
      </c>
      <c r="S713">
        <v>0</v>
      </c>
      <c r="T713">
        <v>0</v>
      </c>
      <c r="U713">
        <v>0</v>
      </c>
      <c r="V713">
        <v>0</v>
      </c>
      <c r="W713">
        <v>0</v>
      </c>
      <c r="X713">
        <v>0</v>
      </c>
      <c r="Y713">
        <v>0</v>
      </c>
      <c r="Z713">
        <v>0</v>
      </c>
      <c r="AA713">
        <v>0</v>
      </c>
      <c r="AB713">
        <v>0</v>
      </c>
      <c r="AC713">
        <v>0</v>
      </c>
      <c r="AD713">
        <v>0</v>
      </c>
      <c r="AE713">
        <v>0</v>
      </c>
      <c r="AF713">
        <v>0</v>
      </c>
      <c r="AG713">
        <v>0</v>
      </c>
      <c r="AH713">
        <v>0</v>
      </c>
      <c r="AI713">
        <v>0</v>
      </c>
      <c r="AJ713">
        <v>0</v>
      </c>
      <c r="AK713">
        <v>85.45</v>
      </c>
      <c r="AL713">
        <v>0</v>
      </c>
      <c r="AM713">
        <v>0</v>
      </c>
      <c r="AN713">
        <v>0</v>
      </c>
      <c r="AO713">
        <v>0</v>
      </c>
      <c r="AP713">
        <v>0</v>
      </c>
      <c r="AQ713">
        <v>0</v>
      </c>
      <c r="AR713">
        <v>0</v>
      </c>
      <c r="AS713">
        <v>0</v>
      </c>
      <c r="AT713">
        <v>0</v>
      </c>
      <c r="AU713">
        <v>0</v>
      </c>
      <c r="AV713">
        <v>0</v>
      </c>
      <c r="AW713">
        <v>0</v>
      </c>
      <c r="AX713">
        <v>0</v>
      </c>
      <c r="AY713">
        <v>0</v>
      </c>
      <c r="AZ713">
        <v>0</v>
      </c>
      <c r="BA713">
        <v>0</v>
      </c>
      <c r="BB713">
        <v>0</v>
      </c>
      <c r="BC713">
        <v>0</v>
      </c>
      <c r="BD713">
        <v>0</v>
      </c>
      <c r="BE713">
        <v>0</v>
      </c>
      <c r="BF713">
        <v>0</v>
      </c>
      <c r="BG713">
        <v>0</v>
      </c>
      <c r="BH713">
        <v>4</v>
      </c>
      <c r="BI713">
        <v>32</v>
      </c>
      <c r="BJ713">
        <v>31.5</v>
      </c>
      <c r="BK713">
        <v>32</v>
      </c>
      <c r="BL713">
        <v>312.64</v>
      </c>
      <c r="BM713">
        <v>46.9</v>
      </c>
      <c r="BN713">
        <v>359.54</v>
      </c>
      <c r="BO713">
        <v>359.54</v>
      </c>
      <c r="BR713" t="s">
        <v>1819</v>
      </c>
      <c r="BS713" s="3">
        <v>44602</v>
      </c>
      <c r="BT713" s="4">
        <v>0.4916666666666667</v>
      </c>
      <c r="BU713" t="s">
        <v>1438</v>
      </c>
      <c r="BV713" t="s">
        <v>101</v>
      </c>
      <c r="BY713">
        <v>157440</v>
      </c>
      <c r="CA713" t="s">
        <v>928</v>
      </c>
      <c r="CC713" t="s">
        <v>154</v>
      </c>
      <c r="CD713">
        <v>2196</v>
      </c>
      <c r="CE713" t="s">
        <v>1820</v>
      </c>
      <c r="CF713" s="3">
        <v>44603</v>
      </c>
      <c r="CI713">
        <v>1</v>
      </c>
      <c r="CJ713">
        <v>1</v>
      </c>
      <c r="CK713">
        <v>43</v>
      </c>
      <c r="CL713" t="s">
        <v>84</v>
      </c>
    </row>
    <row r="714" spans="1:90" x14ac:dyDescent="0.25">
      <c r="A714" t="s">
        <v>1417</v>
      </c>
      <c r="B714" t="s">
        <v>1400</v>
      </c>
      <c r="C714" t="s">
        <v>74</v>
      </c>
      <c r="E714" t="str">
        <f>"009941567807"</f>
        <v>009941567807</v>
      </c>
      <c r="F714" s="3">
        <v>44596</v>
      </c>
      <c r="G714">
        <v>202208</v>
      </c>
      <c r="H714" t="s">
        <v>1436</v>
      </c>
      <c r="I714" t="s">
        <v>1437</v>
      </c>
      <c r="J714" t="s">
        <v>1401</v>
      </c>
      <c r="K714" t="s">
        <v>78</v>
      </c>
      <c r="L714" t="s">
        <v>510</v>
      </c>
      <c r="M714" t="s">
        <v>511</v>
      </c>
      <c r="N714" t="s">
        <v>1401</v>
      </c>
      <c r="O714" t="s">
        <v>80</v>
      </c>
      <c r="P714" t="str">
        <f>"LOCKS                         "</f>
        <v xml:space="preserve">LOCKS                         </v>
      </c>
      <c r="Q714">
        <v>0</v>
      </c>
      <c r="R714">
        <v>0</v>
      </c>
      <c r="S714">
        <v>0</v>
      </c>
      <c r="T714">
        <v>0</v>
      </c>
      <c r="U714">
        <v>0</v>
      </c>
      <c r="V714">
        <v>0</v>
      </c>
      <c r="W714">
        <v>0</v>
      </c>
      <c r="X714">
        <v>0</v>
      </c>
      <c r="Y714">
        <v>0</v>
      </c>
      <c r="Z714">
        <v>0</v>
      </c>
      <c r="AA714">
        <v>0</v>
      </c>
      <c r="AB714">
        <v>0</v>
      </c>
      <c r="AC714">
        <v>0</v>
      </c>
      <c r="AD714">
        <v>0</v>
      </c>
      <c r="AE714">
        <v>0</v>
      </c>
      <c r="AF714">
        <v>0</v>
      </c>
      <c r="AG714">
        <v>0</v>
      </c>
      <c r="AH714">
        <v>0</v>
      </c>
      <c r="AI714">
        <v>0</v>
      </c>
      <c r="AJ714">
        <v>0</v>
      </c>
      <c r="AK714">
        <v>16.760000000000002</v>
      </c>
      <c r="AL714">
        <v>0</v>
      </c>
      <c r="AM714">
        <v>0</v>
      </c>
      <c r="AN714">
        <v>0</v>
      </c>
      <c r="AO714">
        <v>0</v>
      </c>
      <c r="AP714">
        <v>0</v>
      </c>
      <c r="AQ714">
        <v>0</v>
      </c>
      <c r="AR714">
        <v>0</v>
      </c>
      <c r="AS714">
        <v>0</v>
      </c>
      <c r="AT714">
        <v>0</v>
      </c>
      <c r="AU714">
        <v>0</v>
      </c>
      <c r="AV714">
        <v>0</v>
      </c>
      <c r="AW714">
        <v>0</v>
      </c>
      <c r="AX714">
        <v>0</v>
      </c>
      <c r="AY714">
        <v>0</v>
      </c>
      <c r="AZ714">
        <v>0</v>
      </c>
      <c r="BA714">
        <v>0</v>
      </c>
      <c r="BB714">
        <v>0</v>
      </c>
      <c r="BC714">
        <v>0</v>
      </c>
      <c r="BD714">
        <v>0</v>
      </c>
      <c r="BE714">
        <v>0</v>
      </c>
      <c r="BF714">
        <v>0</v>
      </c>
      <c r="BG714">
        <v>0</v>
      </c>
      <c r="BH714">
        <v>1</v>
      </c>
      <c r="BI714">
        <v>1</v>
      </c>
      <c r="BJ714">
        <v>0.2</v>
      </c>
      <c r="BK714">
        <v>1</v>
      </c>
      <c r="BL714">
        <v>60.3</v>
      </c>
      <c r="BM714">
        <v>9.0500000000000007</v>
      </c>
      <c r="BN714">
        <v>69.349999999999994</v>
      </c>
      <c r="BO714">
        <v>69.349999999999994</v>
      </c>
      <c r="BQ714" t="s">
        <v>1821</v>
      </c>
      <c r="BR714" t="s">
        <v>1822</v>
      </c>
      <c r="BS714" s="3">
        <v>44609</v>
      </c>
      <c r="BT714" s="4">
        <v>0.40069444444444446</v>
      </c>
      <c r="BU714" t="s">
        <v>1823</v>
      </c>
      <c r="BV714" t="s">
        <v>84</v>
      </c>
      <c r="BW714" t="s">
        <v>801</v>
      </c>
      <c r="BX714" t="s">
        <v>1824</v>
      </c>
      <c r="BY714">
        <v>1200</v>
      </c>
      <c r="BZ714" t="s">
        <v>87</v>
      </c>
      <c r="CA714" t="s">
        <v>1825</v>
      </c>
      <c r="CC714" t="s">
        <v>511</v>
      </c>
      <c r="CD714">
        <v>1200</v>
      </c>
      <c r="CE714" t="s">
        <v>130</v>
      </c>
      <c r="CF714" s="3">
        <v>44610</v>
      </c>
      <c r="CI714">
        <v>1</v>
      </c>
      <c r="CJ714">
        <v>9</v>
      </c>
      <c r="CK714">
        <v>21</v>
      </c>
      <c r="CL714" t="s">
        <v>84</v>
      </c>
    </row>
    <row r="715" spans="1:90" x14ac:dyDescent="0.25">
      <c r="A715" t="s">
        <v>1417</v>
      </c>
      <c r="B715" t="s">
        <v>1400</v>
      </c>
      <c r="C715" t="s">
        <v>74</v>
      </c>
      <c r="E715" t="str">
        <f>"009936115818"</f>
        <v>009936115818</v>
      </c>
      <c r="F715" s="3">
        <v>44596</v>
      </c>
      <c r="G715">
        <v>202208</v>
      </c>
      <c r="H715" t="s">
        <v>1436</v>
      </c>
      <c r="I715" t="s">
        <v>1437</v>
      </c>
      <c r="J715" t="s">
        <v>1401</v>
      </c>
      <c r="K715" t="s">
        <v>78</v>
      </c>
      <c r="L715" t="s">
        <v>123</v>
      </c>
      <c r="M715" t="s">
        <v>124</v>
      </c>
      <c r="N715" t="s">
        <v>1826</v>
      </c>
      <c r="O715" t="s">
        <v>125</v>
      </c>
      <c r="P715" t="str">
        <f>"FIELD SRVICES                 "</f>
        <v xml:space="preserve">FIELD SRVICES                 </v>
      </c>
      <c r="Q715">
        <v>0</v>
      </c>
      <c r="R715">
        <v>0</v>
      </c>
      <c r="S715">
        <v>0</v>
      </c>
      <c r="T715">
        <v>0</v>
      </c>
      <c r="U715">
        <v>0</v>
      </c>
      <c r="V715">
        <v>0</v>
      </c>
      <c r="W715">
        <v>0</v>
      </c>
      <c r="X715">
        <v>0</v>
      </c>
      <c r="Y715">
        <v>0</v>
      </c>
      <c r="Z715">
        <v>0</v>
      </c>
      <c r="AA715">
        <v>0</v>
      </c>
      <c r="AB715">
        <v>0</v>
      </c>
      <c r="AC715">
        <v>0</v>
      </c>
      <c r="AD715">
        <v>0</v>
      </c>
      <c r="AE715">
        <v>0</v>
      </c>
      <c r="AF715">
        <v>0</v>
      </c>
      <c r="AG715">
        <v>0</v>
      </c>
      <c r="AH715">
        <v>0</v>
      </c>
      <c r="AI715">
        <v>0</v>
      </c>
      <c r="AJ715">
        <v>0</v>
      </c>
      <c r="AK715">
        <v>39.1</v>
      </c>
      <c r="AL715">
        <v>0</v>
      </c>
      <c r="AM715">
        <v>0</v>
      </c>
      <c r="AN715">
        <v>0</v>
      </c>
      <c r="AO715">
        <v>0</v>
      </c>
      <c r="AP715">
        <v>0</v>
      </c>
      <c r="AQ715">
        <v>0</v>
      </c>
      <c r="AR715">
        <v>0</v>
      </c>
      <c r="AS715">
        <v>0</v>
      </c>
      <c r="AT715">
        <v>0</v>
      </c>
      <c r="AU715">
        <v>0</v>
      </c>
      <c r="AV715">
        <v>0</v>
      </c>
      <c r="AW715">
        <v>0</v>
      </c>
      <c r="AX715">
        <v>0</v>
      </c>
      <c r="AY715">
        <v>0</v>
      </c>
      <c r="AZ715">
        <v>0</v>
      </c>
      <c r="BA715">
        <v>0</v>
      </c>
      <c r="BB715">
        <v>0</v>
      </c>
      <c r="BC715">
        <v>0</v>
      </c>
      <c r="BD715">
        <v>0</v>
      </c>
      <c r="BE715">
        <v>0</v>
      </c>
      <c r="BF715">
        <v>0</v>
      </c>
      <c r="BG715">
        <v>0</v>
      </c>
      <c r="BH715">
        <v>1</v>
      </c>
      <c r="BI715">
        <v>4.4000000000000004</v>
      </c>
      <c r="BJ715">
        <v>19.7</v>
      </c>
      <c r="BK715">
        <v>20</v>
      </c>
      <c r="BL715">
        <v>145.9</v>
      </c>
      <c r="BM715">
        <v>21.89</v>
      </c>
      <c r="BN715">
        <v>167.79</v>
      </c>
      <c r="BO715">
        <v>167.79</v>
      </c>
      <c r="BQ715" t="s">
        <v>1827</v>
      </c>
      <c r="BR715" t="s">
        <v>1443</v>
      </c>
      <c r="BS715" s="3">
        <v>44599</v>
      </c>
      <c r="BT715" s="4">
        <v>0.45902777777777781</v>
      </c>
      <c r="BU715" t="s">
        <v>1444</v>
      </c>
      <c r="BV715" t="s">
        <v>101</v>
      </c>
      <c r="BY715">
        <v>98450.3</v>
      </c>
      <c r="BZ715" t="s">
        <v>137</v>
      </c>
      <c r="CA715" t="s">
        <v>1445</v>
      </c>
      <c r="CC715" t="s">
        <v>124</v>
      </c>
      <c r="CD715">
        <v>6045</v>
      </c>
      <c r="CE715" t="s">
        <v>130</v>
      </c>
      <c r="CF715" s="3">
        <v>44599</v>
      </c>
      <c r="CI715">
        <v>2</v>
      </c>
      <c r="CJ715">
        <v>1</v>
      </c>
      <c r="CK715">
        <v>41</v>
      </c>
      <c r="CL715" t="s">
        <v>84</v>
      </c>
    </row>
    <row r="716" spans="1:90" x14ac:dyDescent="0.25">
      <c r="A716" t="s">
        <v>1417</v>
      </c>
      <c r="B716" t="s">
        <v>1400</v>
      </c>
      <c r="C716" t="s">
        <v>74</v>
      </c>
      <c r="E716" t="str">
        <f>"009941332804"</f>
        <v>009941332804</v>
      </c>
      <c r="F716" s="3">
        <v>44596</v>
      </c>
      <c r="G716">
        <v>202208</v>
      </c>
      <c r="H716" t="s">
        <v>1436</v>
      </c>
      <c r="I716" t="s">
        <v>1437</v>
      </c>
      <c r="J716" t="s">
        <v>1401</v>
      </c>
      <c r="K716" t="s">
        <v>78</v>
      </c>
      <c r="L716" t="s">
        <v>75</v>
      </c>
      <c r="M716" t="s">
        <v>76</v>
      </c>
      <c r="N716" t="s">
        <v>1744</v>
      </c>
      <c r="O716" t="s">
        <v>125</v>
      </c>
      <c r="P716" t="str">
        <f>"STORES                        "</f>
        <v xml:space="preserve">STORES                        </v>
      </c>
      <c r="Q716">
        <v>0</v>
      </c>
      <c r="R716">
        <v>0</v>
      </c>
      <c r="S716">
        <v>0</v>
      </c>
      <c r="T716">
        <v>0</v>
      </c>
      <c r="U716">
        <v>0</v>
      </c>
      <c r="V716">
        <v>0</v>
      </c>
      <c r="W716">
        <v>0</v>
      </c>
      <c r="X716">
        <v>0</v>
      </c>
      <c r="Y716">
        <v>0</v>
      </c>
      <c r="Z716">
        <v>0</v>
      </c>
      <c r="AA716">
        <v>0</v>
      </c>
      <c r="AB716">
        <v>0</v>
      </c>
      <c r="AC716">
        <v>0</v>
      </c>
      <c r="AD716">
        <v>0</v>
      </c>
      <c r="AE716">
        <v>0</v>
      </c>
      <c r="AF716">
        <v>0</v>
      </c>
      <c r="AG716">
        <v>0</v>
      </c>
      <c r="AH716">
        <v>0</v>
      </c>
      <c r="AI716">
        <v>0</v>
      </c>
      <c r="AJ716">
        <v>0</v>
      </c>
      <c r="AK716">
        <v>95.21</v>
      </c>
      <c r="AL716">
        <v>0</v>
      </c>
      <c r="AM716">
        <v>0</v>
      </c>
      <c r="AN716">
        <v>0</v>
      </c>
      <c r="AO716">
        <v>0</v>
      </c>
      <c r="AP716">
        <v>0</v>
      </c>
      <c r="AQ716">
        <v>0</v>
      </c>
      <c r="AR716">
        <v>0</v>
      </c>
      <c r="AS716">
        <v>0</v>
      </c>
      <c r="AT716">
        <v>0</v>
      </c>
      <c r="AU716">
        <v>0</v>
      </c>
      <c r="AV716">
        <v>0</v>
      </c>
      <c r="AW716">
        <v>0</v>
      </c>
      <c r="AX716">
        <v>0</v>
      </c>
      <c r="AY716">
        <v>0</v>
      </c>
      <c r="AZ716">
        <v>0</v>
      </c>
      <c r="BA716">
        <v>0</v>
      </c>
      <c r="BB716">
        <v>0</v>
      </c>
      <c r="BC716">
        <v>0</v>
      </c>
      <c r="BD716">
        <v>0</v>
      </c>
      <c r="BE716">
        <v>0</v>
      </c>
      <c r="BF716">
        <v>0</v>
      </c>
      <c r="BG716">
        <v>0</v>
      </c>
      <c r="BH716">
        <v>2</v>
      </c>
      <c r="BI716">
        <v>42.9</v>
      </c>
      <c r="BJ716">
        <v>61.8</v>
      </c>
      <c r="BK716">
        <v>62</v>
      </c>
      <c r="BL716">
        <v>347.75</v>
      </c>
      <c r="BM716">
        <v>52.16</v>
      </c>
      <c r="BN716">
        <v>399.91</v>
      </c>
      <c r="BO716">
        <v>399.91</v>
      </c>
      <c r="BQ716" t="s">
        <v>1581</v>
      </c>
      <c r="BR716" t="s">
        <v>733</v>
      </c>
      <c r="BS716" s="3">
        <v>44599</v>
      </c>
      <c r="BT716" s="4">
        <v>0.37847222222222227</v>
      </c>
      <c r="BU716" t="s">
        <v>1513</v>
      </c>
      <c r="BV716" t="s">
        <v>101</v>
      </c>
      <c r="BY716">
        <v>309218.11</v>
      </c>
      <c r="BZ716" t="s">
        <v>137</v>
      </c>
      <c r="CA716" t="s">
        <v>1649</v>
      </c>
      <c r="CC716" t="s">
        <v>76</v>
      </c>
      <c r="CD716">
        <v>8000</v>
      </c>
      <c r="CE716" t="s">
        <v>130</v>
      </c>
      <c r="CF716" s="3">
        <v>44600</v>
      </c>
      <c r="CI716">
        <v>2</v>
      </c>
      <c r="CJ716">
        <v>1</v>
      </c>
      <c r="CK716">
        <v>41</v>
      </c>
      <c r="CL716" t="s">
        <v>84</v>
      </c>
    </row>
    <row r="717" spans="1:90" x14ac:dyDescent="0.25">
      <c r="A717" t="s">
        <v>1417</v>
      </c>
      <c r="B717" t="s">
        <v>1400</v>
      </c>
      <c r="C717" t="s">
        <v>74</v>
      </c>
      <c r="E717" t="str">
        <f>"009941567808"</f>
        <v>009941567808</v>
      </c>
      <c r="F717" s="3">
        <v>44596</v>
      </c>
      <c r="G717">
        <v>202208</v>
      </c>
      <c r="H717" t="s">
        <v>1436</v>
      </c>
      <c r="I717" t="s">
        <v>1437</v>
      </c>
      <c r="J717" t="s">
        <v>1401</v>
      </c>
      <c r="K717" t="s">
        <v>78</v>
      </c>
      <c r="L717" t="s">
        <v>1249</v>
      </c>
      <c r="M717" t="s">
        <v>1250</v>
      </c>
      <c r="N717" t="s">
        <v>1828</v>
      </c>
      <c r="O717" t="s">
        <v>80</v>
      </c>
      <c r="P717" t="str">
        <f>"LOCKS                         "</f>
        <v xml:space="preserve">LOCKS                         </v>
      </c>
      <c r="Q717">
        <v>0</v>
      </c>
      <c r="R717">
        <v>0</v>
      </c>
      <c r="S717">
        <v>0</v>
      </c>
      <c r="T717">
        <v>0</v>
      </c>
      <c r="U717">
        <v>0</v>
      </c>
      <c r="V717">
        <v>0</v>
      </c>
      <c r="W717">
        <v>0</v>
      </c>
      <c r="X717">
        <v>0</v>
      </c>
      <c r="Y717">
        <v>0</v>
      </c>
      <c r="Z717">
        <v>0</v>
      </c>
      <c r="AA717">
        <v>0</v>
      </c>
      <c r="AB717">
        <v>0</v>
      </c>
      <c r="AC717">
        <v>0</v>
      </c>
      <c r="AD717">
        <v>0</v>
      </c>
      <c r="AE717">
        <v>0</v>
      </c>
      <c r="AF717">
        <v>0</v>
      </c>
      <c r="AG717">
        <v>0</v>
      </c>
      <c r="AH717">
        <v>0</v>
      </c>
      <c r="AI717">
        <v>0</v>
      </c>
      <c r="AJ717">
        <v>0</v>
      </c>
      <c r="AK717">
        <v>32.479999999999997</v>
      </c>
      <c r="AL717">
        <v>0</v>
      </c>
      <c r="AM717">
        <v>0</v>
      </c>
      <c r="AN717">
        <v>0</v>
      </c>
      <c r="AO717">
        <v>0</v>
      </c>
      <c r="AP717">
        <v>0</v>
      </c>
      <c r="AQ717">
        <v>0</v>
      </c>
      <c r="AR717">
        <v>0</v>
      </c>
      <c r="AS717">
        <v>0</v>
      </c>
      <c r="AT717">
        <v>0</v>
      </c>
      <c r="AU717">
        <v>0</v>
      </c>
      <c r="AV717">
        <v>0</v>
      </c>
      <c r="AW717">
        <v>0</v>
      </c>
      <c r="AX717">
        <v>0</v>
      </c>
      <c r="AY717">
        <v>0</v>
      </c>
      <c r="AZ717">
        <v>0</v>
      </c>
      <c r="BA717">
        <v>0</v>
      </c>
      <c r="BB717">
        <v>0</v>
      </c>
      <c r="BC717">
        <v>0</v>
      </c>
      <c r="BD717">
        <v>0</v>
      </c>
      <c r="BE717">
        <v>0</v>
      </c>
      <c r="BF717">
        <v>0</v>
      </c>
      <c r="BG717">
        <v>0</v>
      </c>
      <c r="BH717">
        <v>1</v>
      </c>
      <c r="BI717">
        <v>1</v>
      </c>
      <c r="BJ717">
        <v>0.2</v>
      </c>
      <c r="BK717">
        <v>1</v>
      </c>
      <c r="BL717">
        <v>116.84</v>
      </c>
      <c r="BM717">
        <v>17.53</v>
      </c>
      <c r="BN717">
        <v>134.37</v>
      </c>
      <c r="BO717">
        <v>134.37</v>
      </c>
      <c r="BQ717" t="s">
        <v>1829</v>
      </c>
      <c r="BR717" t="s">
        <v>1440</v>
      </c>
      <c r="BS717" s="3">
        <v>44599</v>
      </c>
      <c r="BT717" s="4">
        <v>0.56041666666666667</v>
      </c>
      <c r="BU717" t="s">
        <v>1830</v>
      </c>
      <c r="BV717" t="s">
        <v>101</v>
      </c>
      <c r="BY717">
        <v>1200</v>
      </c>
      <c r="BZ717" t="s">
        <v>87</v>
      </c>
      <c r="CA717" t="s">
        <v>1666</v>
      </c>
      <c r="CC717" t="s">
        <v>1250</v>
      </c>
      <c r="CD717">
        <v>4240</v>
      </c>
      <c r="CE717" t="s">
        <v>130</v>
      </c>
      <c r="CF717" s="3">
        <v>44600</v>
      </c>
      <c r="CI717">
        <v>2</v>
      </c>
      <c r="CJ717">
        <v>1</v>
      </c>
      <c r="CK717">
        <v>23</v>
      </c>
      <c r="CL717" t="s">
        <v>84</v>
      </c>
    </row>
    <row r="718" spans="1:90" x14ac:dyDescent="0.25">
      <c r="A718" t="s">
        <v>1417</v>
      </c>
      <c r="B718" t="s">
        <v>1400</v>
      </c>
      <c r="C718" t="s">
        <v>74</v>
      </c>
      <c r="E718" t="str">
        <f>"009941915231"</f>
        <v>009941915231</v>
      </c>
      <c r="F718" s="3">
        <v>44596</v>
      </c>
      <c r="G718">
        <v>202208</v>
      </c>
      <c r="H718" t="s">
        <v>1436</v>
      </c>
      <c r="I718" t="s">
        <v>1437</v>
      </c>
      <c r="J718" t="s">
        <v>1401</v>
      </c>
      <c r="K718" t="s">
        <v>78</v>
      </c>
      <c r="L718" t="s">
        <v>75</v>
      </c>
      <c r="M718" t="s">
        <v>76</v>
      </c>
      <c r="N718" t="s">
        <v>1744</v>
      </c>
      <c r="O718" t="s">
        <v>125</v>
      </c>
      <c r="P718" t="str">
        <f>"....                          "</f>
        <v xml:space="preserve">....                          </v>
      </c>
      <c r="Q718">
        <v>0</v>
      </c>
      <c r="R718">
        <v>0</v>
      </c>
      <c r="S718">
        <v>0</v>
      </c>
      <c r="T718">
        <v>0</v>
      </c>
      <c r="U718">
        <v>0</v>
      </c>
      <c r="V718">
        <v>0</v>
      </c>
      <c r="W718">
        <v>0</v>
      </c>
      <c r="X718">
        <v>0</v>
      </c>
      <c r="Y718">
        <v>0</v>
      </c>
      <c r="Z718">
        <v>0</v>
      </c>
      <c r="AA718">
        <v>0</v>
      </c>
      <c r="AB718">
        <v>0</v>
      </c>
      <c r="AC718">
        <v>0</v>
      </c>
      <c r="AD718">
        <v>0</v>
      </c>
      <c r="AE718">
        <v>0</v>
      </c>
      <c r="AF718">
        <v>0</v>
      </c>
      <c r="AG718">
        <v>0</v>
      </c>
      <c r="AH718">
        <v>0</v>
      </c>
      <c r="AI718">
        <v>0</v>
      </c>
      <c r="AJ718">
        <v>0</v>
      </c>
      <c r="AK718">
        <v>32.42</v>
      </c>
      <c r="AL718">
        <v>0</v>
      </c>
      <c r="AM718">
        <v>0</v>
      </c>
      <c r="AN718">
        <v>0</v>
      </c>
      <c r="AO718">
        <v>0</v>
      </c>
      <c r="AP718">
        <v>0</v>
      </c>
      <c r="AQ718">
        <v>0</v>
      </c>
      <c r="AR718">
        <v>0</v>
      </c>
      <c r="AS718">
        <v>0</v>
      </c>
      <c r="AT718">
        <v>0</v>
      </c>
      <c r="AU718">
        <v>0</v>
      </c>
      <c r="AV718">
        <v>0</v>
      </c>
      <c r="AW718">
        <v>0</v>
      </c>
      <c r="AX718">
        <v>0</v>
      </c>
      <c r="AY718">
        <v>0</v>
      </c>
      <c r="AZ718">
        <v>0</v>
      </c>
      <c r="BA718">
        <v>0</v>
      </c>
      <c r="BB718">
        <v>0</v>
      </c>
      <c r="BC718">
        <v>0</v>
      </c>
      <c r="BD718">
        <v>0</v>
      </c>
      <c r="BE718">
        <v>0</v>
      </c>
      <c r="BF718">
        <v>0</v>
      </c>
      <c r="BG718">
        <v>0</v>
      </c>
      <c r="BH718">
        <v>1</v>
      </c>
      <c r="BI718">
        <v>3.8</v>
      </c>
      <c r="BJ718">
        <v>11.9</v>
      </c>
      <c r="BK718">
        <v>12</v>
      </c>
      <c r="BL718">
        <v>121.87</v>
      </c>
      <c r="BM718">
        <v>18.28</v>
      </c>
      <c r="BN718">
        <v>140.15</v>
      </c>
      <c r="BO718">
        <v>140.15</v>
      </c>
      <c r="BQ718" t="s">
        <v>1581</v>
      </c>
      <c r="BR718" t="s">
        <v>733</v>
      </c>
      <c r="BS718" s="3">
        <v>44599</v>
      </c>
      <c r="BT718" s="4">
        <v>0.42569444444444443</v>
      </c>
      <c r="BU718" t="s">
        <v>1513</v>
      </c>
      <c r="BV718" t="s">
        <v>101</v>
      </c>
      <c r="BY718">
        <v>59439.21</v>
      </c>
      <c r="BZ718" t="s">
        <v>137</v>
      </c>
      <c r="CC718" t="s">
        <v>76</v>
      </c>
      <c r="CD718">
        <v>8000</v>
      </c>
      <c r="CE718" t="s">
        <v>130</v>
      </c>
      <c r="CF718" s="3">
        <v>44600</v>
      </c>
      <c r="CI718">
        <v>2</v>
      </c>
      <c r="CJ718">
        <v>1</v>
      </c>
      <c r="CK718">
        <v>41</v>
      </c>
      <c r="CL718" t="s">
        <v>84</v>
      </c>
    </row>
    <row r="719" spans="1:90" x14ac:dyDescent="0.25">
      <c r="A719" t="s">
        <v>1417</v>
      </c>
      <c r="B719" t="s">
        <v>1400</v>
      </c>
      <c r="C719" t="s">
        <v>74</v>
      </c>
      <c r="E719" t="str">
        <f>"009941050343"</f>
        <v>009941050343</v>
      </c>
      <c r="F719" s="3">
        <v>44602</v>
      </c>
      <c r="G719">
        <v>202208</v>
      </c>
      <c r="H719" t="s">
        <v>131</v>
      </c>
      <c r="I719" t="s">
        <v>132</v>
      </c>
      <c r="J719" t="s">
        <v>1406</v>
      </c>
      <c r="K719" t="s">
        <v>78</v>
      </c>
      <c r="L719" t="s">
        <v>1436</v>
      </c>
      <c r="M719" t="s">
        <v>1437</v>
      </c>
      <c r="N719" t="s">
        <v>1523</v>
      </c>
      <c r="O719" t="s">
        <v>125</v>
      </c>
      <c r="P719" t="str">
        <f>"DUR0212500019                 "</f>
        <v xml:space="preserve">DUR0212500019                 </v>
      </c>
      <c r="Q719">
        <v>0</v>
      </c>
      <c r="R719">
        <v>0</v>
      </c>
      <c r="S719">
        <v>0</v>
      </c>
      <c r="T719">
        <v>0</v>
      </c>
      <c r="U719">
        <v>0</v>
      </c>
      <c r="V719">
        <v>0</v>
      </c>
      <c r="W719">
        <v>0</v>
      </c>
      <c r="X719">
        <v>0</v>
      </c>
      <c r="Y719">
        <v>0</v>
      </c>
      <c r="Z719">
        <v>0</v>
      </c>
      <c r="AA719">
        <v>0</v>
      </c>
      <c r="AB719">
        <v>0</v>
      </c>
      <c r="AC719">
        <v>0</v>
      </c>
      <c r="AD719">
        <v>0</v>
      </c>
      <c r="AE719">
        <v>0</v>
      </c>
      <c r="AF719">
        <v>0</v>
      </c>
      <c r="AG719">
        <v>0</v>
      </c>
      <c r="AH719">
        <v>0</v>
      </c>
      <c r="AI719">
        <v>0</v>
      </c>
      <c r="AJ719">
        <v>0</v>
      </c>
      <c r="AK719">
        <v>124.6</v>
      </c>
      <c r="AL719">
        <v>0</v>
      </c>
      <c r="AM719">
        <v>0</v>
      </c>
      <c r="AN719">
        <v>0</v>
      </c>
      <c r="AO719">
        <v>0</v>
      </c>
      <c r="AP719">
        <v>0</v>
      </c>
      <c r="AQ719">
        <v>0</v>
      </c>
      <c r="AR719">
        <v>0</v>
      </c>
      <c r="AS719">
        <v>0</v>
      </c>
      <c r="AT719">
        <v>0</v>
      </c>
      <c r="AU719">
        <v>0</v>
      </c>
      <c r="AV719">
        <v>0</v>
      </c>
      <c r="AW719">
        <v>0</v>
      </c>
      <c r="AX719">
        <v>0</v>
      </c>
      <c r="AY719">
        <v>0</v>
      </c>
      <c r="AZ719">
        <v>0</v>
      </c>
      <c r="BA719">
        <v>0</v>
      </c>
      <c r="BB719">
        <v>0</v>
      </c>
      <c r="BC719">
        <v>0</v>
      </c>
      <c r="BD719">
        <v>0</v>
      </c>
      <c r="BE719">
        <v>0</v>
      </c>
      <c r="BF719">
        <v>0</v>
      </c>
      <c r="BG719">
        <v>0</v>
      </c>
      <c r="BH719">
        <v>2</v>
      </c>
      <c r="BI719">
        <v>44.2</v>
      </c>
      <c r="BJ719">
        <v>83.2</v>
      </c>
      <c r="BK719">
        <v>84</v>
      </c>
      <c r="BL719">
        <v>453.48</v>
      </c>
      <c r="BM719">
        <v>68.02</v>
      </c>
      <c r="BN719">
        <v>521.5</v>
      </c>
      <c r="BO719">
        <v>521.5</v>
      </c>
      <c r="BQ719" t="s">
        <v>311</v>
      </c>
      <c r="BR719" t="s">
        <v>1411</v>
      </c>
      <c r="BS719" s="3">
        <v>44603</v>
      </c>
      <c r="BT719" s="4">
        <v>0.45624999999999999</v>
      </c>
      <c r="BU719" t="s">
        <v>1831</v>
      </c>
      <c r="BV719" t="s">
        <v>101</v>
      </c>
      <c r="BY719">
        <v>416000</v>
      </c>
      <c r="BZ719" t="s">
        <v>137</v>
      </c>
      <c r="CA719" t="s">
        <v>928</v>
      </c>
      <c r="CC719" t="s">
        <v>1437</v>
      </c>
      <c r="CD719">
        <v>2146</v>
      </c>
      <c r="CE719" t="s">
        <v>130</v>
      </c>
      <c r="CF719" s="3">
        <v>44603</v>
      </c>
      <c r="CI719">
        <v>1</v>
      </c>
      <c r="CJ719">
        <v>1</v>
      </c>
      <c r="CK719">
        <v>41</v>
      </c>
      <c r="CL719" t="s">
        <v>84</v>
      </c>
    </row>
    <row r="720" spans="1:90" x14ac:dyDescent="0.25">
      <c r="A720" t="s">
        <v>1417</v>
      </c>
      <c r="B720" t="s">
        <v>1400</v>
      </c>
      <c r="C720" t="s">
        <v>74</v>
      </c>
      <c r="E720" t="str">
        <f>"009941050273"</f>
        <v>009941050273</v>
      </c>
      <c r="F720" s="3">
        <v>44602</v>
      </c>
      <c r="G720">
        <v>202208</v>
      </c>
      <c r="H720" t="s">
        <v>131</v>
      </c>
      <c r="I720" t="s">
        <v>132</v>
      </c>
      <c r="J720" t="s">
        <v>1401</v>
      </c>
      <c r="K720" t="s">
        <v>78</v>
      </c>
      <c r="L720" t="s">
        <v>153</v>
      </c>
      <c r="M720" t="s">
        <v>154</v>
      </c>
      <c r="N720" t="s">
        <v>1401</v>
      </c>
      <c r="O720" t="s">
        <v>80</v>
      </c>
      <c r="P720" t="str">
        <f>"DUR0212500019                 "</f>
        <v xml:space="preserve">DUR0212500019                 </v>
      </c>
      <c r="Q720">
        <v>0</v>
      </c>
      <c r="R720">
        <v>0</v>
      </c>
      <c r="S720">
        <v>0</v>
      </c>
      <c r="T720">
        <v>0</v>
      </c>
      <c r="U720">
        <v>0</v>
      </c>
      <c r="V720">
        <v>0</v>
      </c>
      <c r="W720">
        <v>0</v>
      </c>
      <c r="X720">
        <v>0</v>
      </c>
      <c r="Y720">
        <v>0</v>
      </c>
      <c r="Z720">
        <v>0</v>
      </c>
      <c r="AA720">
        <v>0</v>
      </c>
      <c r="AB720">
        <v>0</v>
      </c>
      <c r="AC720">
        <v>0</v>
      </c>
      <c r="AD720">
        <v>0</v>
      </c>
      <c r="AE720">
        <v>0</v>
      </c>
      <c r="AF720">
        <v>0</v>
      </c>
      <c r="AG720">
        <v>0</v>
      </c>
      <c r="AH720">
        <v>0</v>
      </c>
      <c r="AI720">
        <v>0</v>
      </c>
      <c r="AJ720">
        <v>0</v>
      </c>
      <c r="AK720">
        <v>196.88</v>
      </c>
      <c r="AL720">
        <v>0</v>
      </c>
      <c r="AM720">
        <v>0</v>
      </c>
      <c r="AN720">
        <v>0</v>
      </c>
      <c r="AO720">
        <v>0</v>
      </c>
      <c r="AP720">
        <v>0</v>
      </c>
      <c r="AQ720">
        <v>0</v>
      </c>
      <c r="AR720">
        <v>0</v>
      </c>
      <c r="AS720">
        <v>0</v>
      </c>
      <c r="AT720">
        <v>0</v>
      </c>
      <c r="AU720">
        <v>0</v>
      </c>
      <c r="AV720">
        <v>0</v>
      </c>
      <c r="AW720">
        <v>0</v>
      </c>
      <c r="AX720">
        <v>0</v>
      </c>
      <c r="AY720">
        <v>0</v>
      </c>
      <c r="AZ720">
        <v>0</v>
      </c>
      <c r="BA720">
        <v>0</v>
      </c>
      <c r="BB720">
        <v>0</v>
      </c>
      <c r="BC720">
        <v>0</v>
      </c>
      <c r="BD720">
        <v>0</v>
      </c>
      <c r="BE720">
        <v>0</v>
      </c>
      <c r="BF720">
        <v>0</v>
      </c>
      <c r="BG720">
        <v>0</v>
      </c>
      <c r="BH720">
        <v>1</v>
      </c>
      <c r="BI720">
        <v>10.7</v>
      </c>
      <c r="BJ720">
        <v>23.3</v>
      </c>
      <c r="BK720">
        <v>23.5</v>
      </c>
      <c r="BL720">
        <v>708.26</v>
      </c>
      <c r="BM720">
        <v>106.24</v>
      </c>
      <c r="BN720">
        <v>814.5</v>
      </c>
      <c r="BO720">
        <v>814.5</v>
      </c>
      <c r="BR720" t="s">
        <v>1832</v>
      </c>
      <c r="BS720" s="3">
        <v>44603</v>
      </c>
      <c r="BT720" s="4">
        <v>0.45763888888888887</v>
      </c>
      <c r="BU720" t="s">
        <v>1831</v>
      </c>
      <c r="BV720" t="s">
        <v>84</v>
      </c>
      <c r="BW720" t="s">
        <v>95</v>
      </c>
      <c r="BX720" t="s">
        <v>1006</v>
      </c>
      <c r="BY720">
        <v>116388</v>
      </c>
      <c r="BZ720" t="s">
        <v>87</v>
      </c>
      <c r="CA720" t="s">
        <v>928</v>
      </c>
      <c r="CC720" t="s">
        <v>154</v>
      </c>
      <c r="CD720">
        <v>2090</v>
      </c>
      <c r="CE720" t="s">
        <v>130</v>
      </c>
      <c r="CF720" s="3">
        <v>44603</v>
      </c>
      <c r="CI720">
        <v>1</v>
      </c>
      <c r="CJ720">
        <v>1</v>
      </c>
      <c r="CK720">
        <v>21</v>
      </c>
      <c r="CL720" t="s">
        <v>84</v>
      </c>
    </row>
    <row r="721" spans="1:90" x14ac:dyDescent="0.25">
      <c r="A721" t="s">
        <v>1417</v>
      </c>
      <c r="B721" t="s">
        <v>1400</v>
      </c>
      <c r="C721" t="s">
        <v>74</v>
      </c>
      <c r="E721" t="str">
        <f>"009941952151"</f>
        <v>009941952151</v>
      </c>
      <c r="F721" s="3">
        <v>44602</v>
      </c>
      <c r="G721">
        <v>202208</v>
      </c>
      <c r="H721" t="s">
        <v>131</v>
      </c>
      <c r="I721" t="s">
        <v>132</v>
      </c>
      <c r="J721" t="s">
        <v>1833</v>
      </c>
      <c r="K721" t="s">
        <v>78</v>
      </c>
      <c r="L721" t="s">
        <v>153</v>
      </c>
      <c r="M721" t="s">
        <v>154</v>
      </c>
      <c r="N721" t="s">
        <v>1834</v>
      </c>
      <c r="O721" t="s">
        <v>125</v>
      </c>
      <c r="P721" t="str">
        <f>"                              "</f>
        <v xml:space="preserve">                              </v>
      </c>
      <c r="Q721">
        <v>0</v>
      </c>
      <c r="R721">
        <v>0</v>
      </c>
      <c r="S721">
        <v>0</v>
      </c>
      <c r="T721">
        <v>0</v>
      </c>
      <c r="U721">
        <v>0</v>
      </c>
      <c r="V721">
        <v>0</v>
      </c>
      <c r="W721">
        <v>0</v>
      </c>
      <c r="X721">
        <v>0</v>
      </c>
      <c r="Y721">
        <v>0</v>
      </c>
      <c r="Z721">
        <v>0</v>
      </c>
      <c r="AA721">
        <v>0</v>
      </c>
      <c r="AB721">
        <v>0</v>
      </c>
      <c r="AC721">
        <v>0</v>
      </c>
      <c r="AD721">
        <v>0</v>
      </c>
      <c r="AE721">
        <v>0</v>
      </c>
      <c r="AF721">
        <v>0</v>
      </c>
      <c r="AG721">
        <v>0</v>
      </c>
      <c r="AH721">
        <v>0</v>
      </c>
      <c r="AI721">
        <v>0</v>
      </c>
      <c r="AJ721">
        <v>0</v>
      </c>
      <c r="AK721">
        <v>32.42</v>
      </c>
      <c r="AL721">
        <v>0</v>
      </c>
      <c r="AM721">
        <v>0</v>
      </c>
      <c r="AN721">
        <v>0</v>
      </c>
      <c r="AO721">
        <v>0</v>
      </c>
      <c r="AP721">
        <v>0</v>
      </c>
      <c r="AQ721">
        <v>0</v>
      </c>
      <c r="AR721">
        <v>0</v>
      </c>
      <c r="AS721">
        <v>0</v>
      </c>
      <c r="AT721">
        <v>0</v>
      </c>
      <c r="AU721">
        <v>0</v>
      </c>
      <c r="AV721">
        <v>0</v>
      </c>
      <c r="AW721">
        <v>0</v>
      </c>
      <c r="AX721">
        <v>0</v>
      </c>
      <c r="AY721">
        <v>0</v>
      </c>
      <c r="AZ721">
        <v>0</v>
      </c>
      <c r="BA721">
        <v>0</v>
      </c>
      <c r="BB721">
        <v>0</v>
      </c>
      <c r="BC721">
        <v>0</v>
      </c>
      <c r="BD721">
        <v>0</v>
      </c>
      <c r="BE721">
        <v>0</v>
      </c>
      <c r="BF721">
        <v>0</v>
      </c>
      <c r="BG721">
        <v>0</v>
      </c>
      <c r="BH721">
        <v>1</v>
      </c>
      <c r="BI721">
        <v>1</v>
      </c>
      <c r="BJ721">
        <v>2.4</v>
      </c>
      <c r="BK721">
        <v>3</v>
      </c>
      <c r="BL721">
        <v>121.87</v>
      </c>
      <c r="BM721">
        <v>18.28</v>
      </c>
      <c r="BN721">
        <v>140.15</v>
      </c>
      <c r="BO721">
        <v>140.15</v>
      </c>
      <c r="BR721" t="s">
        <v>1835</v>
      </c>
      <c r="BS721" s="3">
        <v>44603</v>
      </c>
      <c r="BT721" s="4">
        <v>0.28055555555555556</v>
      </c>
      <c r="BU721" t="s">
        <v>1836</v>
      </c>
      <c r="BV721" t="s">
        <v>101</v>
      </c>
      <c r="BY721">
        <v>12000</v>
      </c>
      <c r="BZ721" t="s">
        <v>137</v>
      </c>
      <c r="CA721" t="s">
        <v>1145</v>
      </c>
      <c r="CC721" t="s">
        <v>154</v>
      </c>
      <c r="CD721">
        <v>2193</v>
      </c>
      <c r="CE721" t="s">
        <v>130</v>
      </c>
      <c r="CF721" s="3">
        <v>44603</v>
      </c>
      <c r="CI721">
        <v>1</v>
      </c>
      <c r="CJ721">
        <v>1</v>
      </c>
      <c r="CK721">
        <v>41</v>
      </c>
      <c r="CL721" t="s">
        <v>84</v>
      </c>
    </row>
    <row r="722" spans="1:90" x14ac:dyDescent="0.25">
      <c r="A722" t="s">
        <v>1417</v>
      </c>
      <c r="B722" t="s">
        <v>1400</v>
      </c>
      <c r="C722" t="s">
        <v>74</v>
      </c>
      <c r="E722" t="str">
        <f>"009940746426"</f>
        <v>009940746426</v>
      </c>
      <c r="F722" s="3">
        <v>44602</v>
      </c>
      <c r="G722">
        <v>202208</v>
      </c>
      <c r="H722" t="s">
        <v>75</v>
      </c>
      <c r="I722" t="s">
        <v>76</v>
      </c>
      <c r="J722" t="s">
        <v>1837</v>
      </c>
      <c r="K722" t="s">
        <v>78</v>
      </c>
      <c r="L722" t="s">
        <v>1436</v>
      </c>
      <c r="M722" t="s">
        <v>1437</v>
      </c>
      <c r="N722" t="s">
        <v>1838</v>
      </c>
      <c r="O722" t="s">
        <v>125</v>
      </c>
      <c r="P722" t="str">
        <f>"                              "</f>
        <v xml:space="preserve">                              </v>
      </c>
      <c r="Q722">
        <v>0</v>
      </c>
      <c r="R722">
        <v>0</v>
      </c>
      <c r="S722">
        <v>0</v>
      </c>
      <c r="T722">
        <v>0</v>
      </c>
      <c r="U722">
        <v>0</v>
      </c>
      <c r="V722">
        <v>0</v>
      </c>
      <c r="W722">
        <v>0</v>
      </c>
      <c r="X722">
        <v>0</v>
      </c>
      <c r="Y722">
        <v>0</v>
      </c>
      <c r="Z722">
        <v>0</v>
      </c>
      <c r="AA722">
        <v>0</v>
      </c>
      <c r="AB722">
        <v>0</v>
      </c>
      <c r="AC722">
        <v>0</v>
      </c>
      <c r="AD722">
        <v>0</v>
      </c>
      <c r="AE722">
        <v>0</v>
      </c>
      <c r="AF722">
        <v>0</v>
      </c>
      <c r="AG722">
        <v>0</v>
      </c>
      <c r="AH722">
        <v>0</v>
      </c>
      <c r="AI722">
        <v>0</v>
      </c>
      <c r="AJ722">
        <v>0</v>
      </c>
      <c r="AK722">
        <v>79.180000000000007</v>
      </c>
      <c r="AL722">
        <v>0</v>
      </c>
      <c r="AM722">
        <v>0</v>
      </c>
      <c r="AN722">
        <v>0</v>
      </c>
      <c r="AO722">
        <v>0</v>
      </c>
      <c r="AP722">
        <v>0</v>
      </c>
      <c r="AQ722">
        <v>15</v>
      </c>
      <c r="AR722">
        <v>0</v>
      </c>
      <c r="AS722">
        <v>0</v>
      </c>
      <c r="AT722">
        <v>0</v>
      </c>
      <c r="AU722">
        <v>0</v>
      </c>
      <c r="AV722">
        <v>0</v>
      </c>
      <c r="AW722">
        <v>0</v>
      </c>
      <c r="AX722">
        <v>0</v>
      </c>
      <c r="AY722">
        <v>0</v>
      </c>
      <c r="AZ722">
        <v>0</v>
      </c>
      <c r="BA722">
        <v>0</v>
      </c>
      <c r="BB722">
        <v>0</v>
      </c>
      <c r="BC722">
        <v>0</v>
      </c>
      <c r="BD722">
        <v>0</v>
      </c>
      <c r="BE722">
        <v>0</v>
      </c>
      <c r="BF722">
        <v>0</v>
      </c>
      <c r="BG722">
        <v>0</v>
      </c>
      <c r="BH722">
        <v>1</v>
      </c>
      <c r="BI722">
        <v>37.200000000000003</v>
      </c>
      <c r="BJ722">
        <v>49.7</v>
      </c>
      <c r="BK722">
        <v>50</v>
      </c>
      <c r="BL722">
        <v>305.08</v>
      </c>
      <c r="BM722">
        <v>45.76</v>
      </c>
      <c r="BN722">
        <v>350.84</v>
      </c>
      <c r="BO722">
        <v>350.84</v>
      </c>
      <c r="BR722" t="s">
        <v>1581</v>
      </c>
      <c r="BS722" s="3">
        <v>44606</v>
      </c>
      <c r="BT722" s="4">
        <v>0.47500000000000003</v>
      </c>
      <c r="BU722" t="s">
        <v>1831</v>
      </c>
      <c r="BV722" t="s">
        <v>101</v>
      </c>
      <c r="BY722">
        <v>248454</v>
      </c>
      <c r="BZ722" t="s">
        <v>1463</v>
      </c>
      <c r="CA722" t="s">
        <v>928</v>
      </c>
      <c r="CC722" t="s">
        <v>1437</v>
      </c>
      <c r="CD722">
        <v>2146</v>
      </c>
      <c r="CE722" t="s">
        <v>130</v>
      </c>
      <c r="CF722" s="3">
        <v>44607</v>
      </c>
      <c r="CI722">
        <v>2</v>
      </c>
      <c r="CJ722">
        <v>2</v>
      </c>
      <c r="CK722">
        <v>41</v>
      </c>
      <c r="CL722" t="s">
        <v>84</v>
      </c>
    </row>
    <row r="723" spans="1:90" x14ac:dyDescent="0.25">
      <c r="A723" t="s">
        <v>1417</v>
      </c>
      <c r="B723" t="s">
        <v>1400</v>
      </c>
      <c r="C723" t="s">
        <v>74</v>
      </c>
      <c r="E723" t="str">
        <f>"009941618996"</f>
        <v>009941618996</v>
      </c>
      <c r="F723" s="3">
        <v>44602</v>
      </c>
      <c r="G723">
        <v>202208</v>
      </c>
      <c r="H723" t="s">
        <v>1436</v>
      </c>
      <c r="I723" t="s">
        <v>1437</v>
      </c>
      <c r="J723" t="s">
        <v>1523</v>
      </c>
      <c r="K723" t="s">
        <v>78</v>
      </c>
      <c r="L723" t="s">
        <v>131</v>
      </c>
      <c r="M723" t="s">
        <v>132</v>
      </c>
      <c r="N723" t="s">
        <v>1401</v>
      </c>
      <c r="O723" t="s">
        <v>80</v>
      </c>
      <c r="P723" t="str">
        <f>"LOCKS                         "</f>
        <v xml:space="preserve">LOCKS                         </v>
      </c>
      <c r="Q723">
        <v>0</v>
      </c>
      <c r="R723">
        <v>0</v>
      </c>
      <c r="S723">
        <v>0</v>
      </c>
      <c r="T723">
        <v>0</v>
      </c>
      <c r="U723">
        <v>0</v>
      </c>
      <c r="V723">
        <v>0</v>
      </c>
      <c r="W723">
        <v>0</v>
      </c>
      <c r="X723">
        <v>0</v>
      </c>
      <c r="Y723">
        <v>0</v>
      </c>
      <c r="Z723">
        <v>0</v>
      </c>
      <c r="AA723">
        <v>0</v>
      </c>
      <c r="AB723">
        <v>0</v>
      </c>
      <c r="AC723">
        <v>0</v>
      </c>
      <c r="AD723">
        <v>0</v>
      </c>
      <c r="AE723">
        <v>0</v>
      </c>
      <c r="AF723">
        <v>0</v>
      </c>
      <c r="AG723">
        <v>0</v>
      </c>
      <c r="AH723">
        <v>0</v>
      </c>
      <c r="AI723">
        <v>0</v>
      </c>
      <c r="AJ723">
        <v>0</v>
      </c>
      <c r="AK723">
        <v>16.760000000000002</v>
      </c>
      <c r="AL723">
        <v>0</v>
      </c>
      <c r="AM723">
        <v>0</v>
      </c>
      <c r="AN723">
        <v>0</v>
      </c>
      <c r="AO723">
        <v>0</v>
      </c>
      <c r="AP723">
        <v>0</v>
      </c>
      <c r="AQ723">
        <v>0</v>
      </c>
      <c r="AR723">
        <v>0</v>
      </c>
      <c r="AS723">
        <v>0</v>
      </c>
      <c r="AT723">
        <v>0</v>
      </c>
      <c r="AU723">
        <v>0</v>
      </c>
      <c r="AV723">
        <v>0</v>
      </c>
      <c r="AW723">
        <v>0</v>
      </c>
      <c r="AX723">
        <v>0</v>
      </c>
      <c r="AY723">
        <v>0</v>
      </c>
      <c r="AZ723">
        <v>0</v>
      </c>
      <c r="BA723">
        <v>0</v>
      </c>
      <c r="BB723">
        <v>0</v>
      </c>
      <c r="BC723">
        <v>0</v>
      </c>
      <c r="BD723">
        <v>0</v>
      </c>
      <c r="BE723">
        <v>0</v>
      </c>
      <c r="BF723">
        <v>0</v>
      </c>
      <c r="BG723">
        <v>0</v>
      </c>
      <c r="BH723">
        <v>1</v>
      </c>
      <c r="BI723">
        <v>0.6</v>
      </c>
      <c r="BJ723">
        <v>1.8</v>
      </c>
      <c r="BK723">
        <v>2</v>
      </c>
      <c r="BL723">
        <v>60.3</v>
      </c>
      <c r="BM723">
        <v>9.0500000000000007</v>
      </c>
      <c r="BN723">
        <v>69.349999999999994</v>
      </c>
      <c r="BO723">
        <v>69.349999999999994</v>
      </c>
      <c r="BQ723" t="s">
        <v>1573</v>
      </c>
      <c r="BR723" t="s">
        <v>1440</v>
      </c>
      <c r="BS723" s="3">
        <v>44603</v>
      </c>
      <c r="BT723" s="4">
        <v>0.38194444444444442</v>
      </c>
      <c r="BU723" t="s">
        <v>1491</v>
      </c>
      <c r="BV723" t="s">
        <v>101</v>
      </c>
      <c r="BY723">
        <v>9190.94</v>
      </c>
      <c r="BZ723" t="s">
        <v>87</v>
      </c>
      <c r="CA723" t="s">
        <v>1492</v>
      </c>
      <c r="CC723" t="s">
        <v>132</v>
      </c>
      <c r="CD723">
        <v>4091</v>
      </c>
      <c r="CE723" t="s">
        <v>130</v>
      </c>
      <c r="CF723" s="3">
        <v>44603</v>
      </c>
      <c r="CI723">
        <v>1</v>
      </c>
      <c r="CJ723">
        <v>1</v>
      </c>
      <c r="CK723">
        <v>21</v>
      </c>
      <c r="CL723" t="s">
        <v>84</v>
      </c>
    </row>
    <row r="724" spans="1:90" x14ac:dyDescent="0.25">
      <c r="A724" t="s">
        <v>1417</v>
      </c>
      <c r="B724" t="s">
        <v>1400</v>
      </c>
      <c r="C724" t="s">
        <v>74</v>
      </c>
      <c r="E724" t="str">
        <f>"009936115819"</f>
        <v>009936115819</v>
      </c>
      <c r="F724" s="3">
        <v>44602</v>
      </c>
      <c r="G724">
        <v>202208</v>
      </c>
      <c r="H724" t="s">
        <v>1436</v>
      </c>
      <c r="I724" t="s">
        <v>1437</v>
      </c>
      <c r="J724" t="s">
        <v>1523</v>
      </c>
      <c r="K724" t="s">
        <v>78</v>
      </c>
      <c r="L724" t="s">
        <v>123</v>
      </c>
      <c r="M724" t="s">
        <v>124</v>
      </c>
      <c r="N724" t="s">
        <v>1401</v>
      </c>
      <c r="O724" t="s">
        <v>80</v>
      </c>
      <c r="P724" t="str">
        <f>"STORES                        "</f>
        <v xml:space="preserve">STORES                        </v>
      </c>
      <c r="Q724">
        <v>0</v>
      </c>
      <c r="R724">
        <v>0</v>
      </c>
      <c r="S724">
        <v>0</v>
      </c>
      <c r="T724">
        <v>0</v>
      </c>
      <c r="U724">
        <v>0</v>
      </c>
      <c r="V724">
        <v>0</v>
      </c>
      <c r="W724">
        <v>0</v>
      </c>
      <c r="X724">
        <v>0</v>
      </c>
      <c r="Y724">
        <v>0</v>
      </c>
      <c r="Z724">
        <v>0</v>
      </c>
      <c r="AA724">
        <v>0</v>
      </c>
      <c r="AB724">
        <v>0</v>
      </c>
      <c r="AC724">
        <v>0</v>
      </c>
      <c r="AD724">
        <v>0</v>
      </c>
      <c r="AE724">
        <v>0</v>
      </c>
      <c r="AF724">
        <v>0</v>
      </c>
      <c r="AG724">
        <v>0</v>
      </c>
      <c r="AH724">
        <v>0</v>
      </c>
      <c r="AI724">
        <v>0</v>
      </c>
      <c r="AJ724">
        <v>0</v>
      </c>
      <c r="AK724">
        <v>16.760000000000002</v>
      </c>
      <c r="AL724">
        <v>0</v>
      </c>
      <c r="AM724">
        <v>0</v>
      </c>
      <c r="AN724">
        <v>0</v>
      </c>
      <c r="AO724">
        <v>0</v>
      </c>
      <c r="AP724">
        <v>0</v>
      </c>
      <c r="AQ724">
        <v>0</v>
      </c>
      <c r="AR724">
        <v>0</v>
      </c>
      <c r="AS724">
        <v>0</v>
      </c>
      <c r="AT724">
        <v>0</v>
      </c>
      <c r="AU724">
        <v>0</v>
      </c>
      <c r="AV724">
        <v>0</v>
      </c>
      <c r="AW724">
        <v>0</v>
      </c>
      <c r="AX724">
        <v>0</v>
      </c>
      <c r="AY724">
        <v>0</v>
      </c>
      <c r="AZ724">
        <v>0</v>
      </c>
      <c r="BA724">
        <v>0</v>
      </c>
      <c r="BB724">
        <v>0</v>
      </c>
      <c r="BC724">
        <v>0</v>
      </c>
      <c r="BD724">
        <v>0</v>
      </c>
      <c r="BE724">
        <v>0</v>
      </c>
      <c r="BF724">
        <v>0</v>
      </c>
      <c r="BG724">
        <v>0</v>
      </c>
      <c r="BH724">
        <v>1</v>
      </c>
      <c r="BI724">
        <v>1</v>
      </c>
      <c r="BJ724">
        <v>0.2</v>
      </c>
      <c r="BK724">
        <v>1</v>
      </c>
      <c r="BL724">
        <v>60.3</v>
      </c>
      <c r="BM724">
        <v>9.0500000000000007</v>
      </c>
      <c r="BN724">
        <v>69.349999999999994</v>
      </c>
      <c r="BO724">
        <v>69.349999999999994</v>
      </c>
      <c r="BQ724" t="s">
        <v>1827</v>
      </c>
      <c r="BR724" t="s">
        <v>1839</v>
      </c>
      <c r="BS724" s="3">
        <v>44603</v>
      </c>
      <c r="BT724" s="4">
        <v>0.40138888888888885</v>
      </c>
      <c r="BU724" t="s">
        <v>1840</v>
      </c>
      <c r="BV724" t="s">
        <v>101</v>
      </c>
      <c r="BY724">
        <v>1200</v>
      </c>
      <c r="BZ724" t="s">
        <v>87</v>
      </c>
      <c r="CA724" t="s">
        <v>1445</v>
      </c>
      <c r="CC724" t="s">
        <v>124</v>
      </c>
      <c r="CD724">
        <v>6045</v>
      </c>
      <c r="CE724" t="s">
        <v>130</v>
      </c>
      <c r="CF724" s="3">
        <v>44603</v>
      </c>
      <c r="CI724">
        <v>1</v>
      </c>
      <c r="CJ724">
        <v>1</v>
      </c>
      <c r="CK724">
        <v>21</v>
      </c>
      <c r="CL724" t="s">
        <v>84</v>
      </c>
    </row>
    <row r="725" spans="1:90" x14ac:dyDescent="0.25">
      <c r="A725" t="s">
        <v>1417</v>
      </c>
      <c r="B725" t="s">
        <v>1400</v>
      </c>
      <c r="C725" t="s">
        <v>74</v>
      </c>
      <c r="E725" t="str">
        <f>"009941915243"</f>
        <v>009941915243</v>
      </c>
      <c r="F725" s="3">
        <v>44602</v>
      </c>
      <c r="G725">
        <v>202208</v>
      </c>
      <c r="H725" t="s">
        <v>1436</v>
      </c>
      <c r="I725" t="s">
        <v>1437</v>
      </c>
      <c r="J725" t="s">
        <v>1523</v>
      </c>
      <c r="K725" t="s">
        <v>78</v>
      </c>
      <c r="L725" t="s">
        <v>1447</v>
      </c>
      <c r="M725" t="s">
        <v>1448</v>
      </c>
      <c r="N725" t="s">
        <v>1401</v>
      </c>
      <c r="O725" t="s">
        <v>125</v>
      </c>
      <c r="P725" t="str">
        <f>"STORES                        "</f>
        <v xml:space="preserve">STORES                        </v>
      </c>
      <c r="Q725">
        <v>0</v>
      </c>
      <c r="R725">
        <v>0</v>
      </c>
      <c r="S725">
        <v>0</v>
      </c>
      <c r="T725">
        <v>0</v>
      </c>
      <c r="U725">
        <v>0</v>
      </c>
      <c r="V725">
        <v>0</v>
      </c>
      <c r="W725">
        <v>0</v>
      </c>
      <c r="X725">
        <v>0</v>
      </c>
      <c r="Y725">
        <v>0</v>
      </c>
      <c r="Z725">
        <v>0</v>
      </c>
      <c r="AA725">
        <v>0</v>
      </c>
      <c r="AB725">
        <v>0</v>
      </c>
      <c r="AC725">
        <v>0</v>
      </c>
      <c r="AD725">
        <v>0</v>
      </c>
      <c r="AE725">
        <v>0</v>
      </c>
      <c r="AF725">
        <v>0</v>
      </c>
      <c r="AG725">
        <v>0</v>
      </c>
      <c r="AH725">
        <v>0</v>
      </c>
      <c r="AI725">
        <v>0</v>
      </c>
      <c r="AJ725">
        <v>0</v>
      </c>
      <c r="AK725">
        <v>92.46</v>
      </c>
      <c r="AL725">
        <v>0</v>
      </c>
      <c r="AM725">
        <v>0</v>
      </c>
      <c r="AN725">
        <v>0</v>
      </c>
      <c r="AO725">
        <v>0</v>
      </c>
      <c r="AP725">
        <v>0</v>
      </c>
      <c r="AQ725">
        <v>15</v>
      </c>
      <c r="AR725">
        <v>0</v>
      </c>
      <c r="AS725">
        <v>0</v>
      </c>
      <c r="AT725">
        <v>0</v>
      </c>
      <c r="AU725">
        <v>0</v>
      </c>
      <c r="AV725">
        <v>0</v>
      </c>
      <c r="AW725">
        <v>0</v>
      </c>
      <c r="AX725">
        <v>0</v>
      </c>
      <c r="AY725">
        <v>0</v>
      </c>
      <c r="AZ725">
        <v>0</v>
      </c>
      <c r="BA725">
        <v>0</v>
      </c>
      <c r="BB725">
        <v>0</v>
      </c>
      <c r="BC725">
        <v>0</v>
      </c>
      <c r="BD725">
        <v>0</v>
      </c>
      <c r="BE725">
        <v>0</v>
      </c>
      <c r="BF725">
        <v>0</v>
      </c>
      <c r="BG725">
        <v>0</v>
      </c>
      <c r="BH725">
        <v>3</v>
      </c>
      <c r="BI725">
        <v>23.9</v>
      </c>
      <c r="BJ725">
        <v>34.9</v>
      </c>
      <c r="BK725">
        <v>35</v>
      </c>
      <c r="BL725">
        <v>352.86</v>
      </c>
      <c r="BM725">
        <v>52.93</v>
      </c>
      <c r="BN725">
        <v>405.79</v>
      </c>
      <c r="BO725">
        <v>405.79</v>
      </c>
      <c r="BQ725" t="s">
        <v>1500</v>
      </c>
      <c r="BR725" t="s">
        <v>733</v>
      </c>
      <c r="BS725" s="3">
        <v>44607</v>
      </c>
      <c r="BT725" s="4">
        <v>0.47569444444444442</v>
      </c>
      <c r="BU725" t="s">
        <v>1841</v>
      </c>
      <c r="BV725" t="s">
        <v>84</v>
      </c>
      <c r="BW725" t="s">
        <v>801</v>
      </c>
      <c r="BX725" t="s">
        <v>1842</v>
      </c>
      <c r="BY725">
        <v>174681.72</v>
      </c>
      <c r="BZ725" t="s">
        <v>1463</v>
      </c>
      <c r="CA725" t="s">
        <v>976</v>
      </c>
      <c r="CC725" t="s">
        <v>1448</v>
      </c>
      <c r="CD725">
        <v>8460</v>
      </c>
      <c r="CE725" t="s">
        <v>130</v>
      </c>
      <c r="CF725" s="3">
        <v>44608</v>
      </c>
      <c r="CI725">
        <v>1</v>
      </c>
      <c r="CJ725">
        <v>3</v>
      </c>
      <c r="CK725">
        <v>43</v>
      </c>
      <c r="CL725" t="s">
        <v>84</v>
      </c>
    </row>
    <row r="726" spans="1:90" x14ac:dyDescent="0.25">
      <c r="A726" t="s">
        <v>1417</v>
      </c>
      <c r="B726" t="s">
        <v>1400</v>
      </c>
      <c r="C726" t="s">
        <v>74</v>
      </c>
      <c r="E726" t="str">
        <f>"009941567777"</f>
        <v>009941567777</v>
      </c>
      <c r="F726" s="3">
        <v>44602</v>
      </c>
      <c r="G726">
        <v>202208</v>
      </c>
      <c r="H726" t="s">
        <v>1436</v>
      </c>
      <c r="I726" t="s">
        <v>1437</v>
      </c>
      <c r="J726" t="s">
        <v>1523</v>
      </c>
      <c r="K726" t="s">
        <v>78</v>
      </c>
      <c r="L726" t="s">
        <v>466</v>
      </c>
      <c r="M726" t="s">
        <v>467</v>
      </c>
      <c r="N726" t="s">
        <v>1401</v>
      </c>
      <c r="O726" t="s">
        <v>80</v>
      </c>
      <c r="P726" t="str">
        <f>"LOCKS                         "</f>
        <v xml:space="preserve">LOCKS                         </v>
      </c>
      <c r="Q726">
        <v>0</v>
      </c>
      <c r="R726">
        <v>0</v>
      </c>
      <c r="S726">
        <v>0</v>
      </c>
      <c r="T726">
        <v>0</v>
      </c>
      <c r="U726">
        <v>0</v>
      </c>
      <c r="V726">
        <v>0</v>
      </c>
      <c r="W726">
        <v>0</v>
      </c>
      <c r="X726">
        <v>0</v>
      </c>
      <c r="Y726">
        <v>0</v>
      </c>
      <c r="Z726">
        <v>0</v>
      </c>
      <c r="AA726">
        <v>0</v>
      </c>
      <c r="AB726">
        <v>0</v>
      </c>
      <c r="AC726">
        <v>0</v>
      </c>
      <c r="AD726">
        <v>0</v>
      </c>
      <c r="AE726">
        <v>0</v>
      </c>
      <c r="AF726">
        <v>0</v>
      </c>
      <c r="AG726">
        <v>0</v>
      </c>
      <c r="AH726">
        <v>0</v>
      </c>
      <c r="AI726">
        <v>0</v>
      </c>
      <c r="AJ726">
        <v>0</v>
      </c>
      <c r="AK726">
        <v>32.479999999999997</v>
      </c>
      <c r="AL726">
        <v>0</v>
      </c>
      <c r="AM726">
        <v>0</v>
      </c>
      <c r="AN726">
        <v>0</v>
      </c>
      <c r="AO726">
        <v>0</v>
      </c>
      <c r="AP726">
        <v>0</v>
      </c>
      <c r="AQ726">
        <v>0</v>
      </c>
      <c r="AR726">
        <v>0</v>
      </c>
      <c r="AS726">
        <v>0</v>
      </c>
      <c r="AT726">
        <v>0</v>
      </c>
      <c r="AU726">
        <v>0</v>
      </c>
      <c r="AV726">
        <v>0</v>
      </c>
      <c r="AW726">
        <v>0</v>
      </c>
      <c r="AX726">
        <v>0</v>
      </c>
      <c r="AY726">
        <v>0</v>
      </c>
      <c r="AZ726">
        <v>0</v>
      </c>
      <c r="BA726">
        <v>0</v>
      </c>
      <c r="BB726">
        <v>0</v>
      </c>
      <c r="BC726">
        <v>0</v>
      </c>
      <c r="BD726">
        <v>0</v>
      </c>
      <c r="BE726">
        <v>0</v>
      </c>
      <c r="BF726">
        <v>0</v>
      </c>
      <c r="BG726">
        <v>0</v>
      </c>
      <c r="BH726">
        <v>1</v>
      </c>
      <c r="BI726">
        <v>0.9</v>
      </c>
      <c r="BJ726">
        <v>1.2</v>
      </c>
      <c r="BK726">
        <v>1.5</v>
      </c>
      <c r="BL726">
        <v>116.84</v>
      </c>
      <c r="BM726">
        <v>17.53</v>
      </c>
      <c r="BN726">
        <v>134.37</v>
      </c>
      <c r="BO726">
        <v>134.37</v>
      </c>
      <c r="BQ726" t="s">
        <v>1801</v>
      </c>
      <c r="BR726" t="s">
        <v>1440</v>
      </c>
      <c r="BS726" s="3">
        <v>44607</v>
      </c>
      <c r="BT726" s="4">
        <v>0.33333333333333331</v>
      </c>
      <c r="BU726" t="s">
        <v>1002</v>
      </c>
      <c r="BV726" t="s">
        <v>84</v>
      </c>
      <c r="BW726" t="s">
        <v>268</v>
      </c>
      <c r="BX726" t="s">
        <v>1101</v>
      </c>
      <c r="BY726">
        <v>5905.33</v>
      </c>
      <c r="BZ726" t="s">
        <v>87</v>
      </c>
      <c r="CA726" t="s">
        <v>976</v>
      </c>
      <c r="CC726" t="s">
        <v>467</v>
      </c>
      <c r="CD726">
        <v>3900</v>
      </c>
      <c r="CE726" t="s">
        <v>130</v>
      </c>
      <c r="CF726" s="3">
        <v>44608</v>
      </c>
      <c r="CI726">
        <v>1</v>
      </c>
      <c r="CJ726">
        <v>3</v>
      </c>
      <c r="CK726">
        <v>23</v>
      </c>
      <c r="CL726" t="s">
        <v>84</v>
      </c>
    </row>
    <row r="727" spans="1:90" x14ac:dyDescent="0.25">
      <c r="A727" t="s">
        <v>1417</v>
      </c>
      <c r="B727" t="s">
        <v>1400</v>
      </c>
      <c r="C727" t="s">
        <v>74</v>
      </c>
      <c r="E727" t="str">
        <f>"009941916044"</f>
        <v>009941916044</v>
      </c>
      <c r="F727" s="3">
        <v>44602</v>
      </c>
      <c r="G727">
        <v>202208</v>
      </c>
      <c r="H727" t="s">
        <v>1436</v>
      </c>
      <c r="I727" t="s">
        <v>1437</v>
      </c>
      <c r="J727" t="s">
        <v>1523</v>
      </c>
      <c r="K727" t="s">
        <v>78</v>
      </c>
      <c r="L727" t="s">
        <v>109</v>
      </c>
      <c r="M727" t="s">
        <v>110</v>
      </c>
      <c r="N727" t="s">
        <v>1843</v>
      </c>
      <c r="O727" t="s">
        <v>125</v>
      </c>
      <c r="P727" t="str">
        <f>"STORES                        "</f>
        <v xml:space="preserve">STORES                        </v>
      </c>
      <c r="Q727">
        <v>0</v>
      </c>
      <c r="R727">
        <v>0</v>
      </c>
      <c r="S727">
        <v>0</v>
      </c>
      <c r="T727">
        <v>0</v>
      </c>
      <c r="U727">
        <v>0</v>
      </c>
      <c r="V727">
        <v>0</v>
      </c>
      <c r="W727">
        <v>0</v>
      </c>
      <c r="X727">
        <v>0</v>
      </c>
      <c r="Y727">
        <v>0</v>
      </c>
      <c r="Z727">
        <v>0</v>
      </c>
      <c r="AA727">
        <v>0</v>
      </c>
      <c r="AB727">
        <v>0</v>
      </c>
      <c r="AC727">
        <v>0</v>
      </c>
      <c r="AD727">
        <v>0</v>
      </c>
      <c r="AE727">
        <v>0</v>
      </c>
      <c r="AF727">
        <v>0</v>
      </c>
      <c r="AG727">
        <v>0</v>
      </c>
      <c r="AH727">
        <v>0</v>
      </c>
      <c r="AI727">
        <v>0</v>
      </c>
      <c r="AJ727">
        <v>0</v>
      </c>
      <c r="AK727">
        <v>32.42</v>
      </c>
      <c r="AL727">
        <v>0</v>
      </c>
      <c r="AM727">
        <v>0</v>
      </c>
      <c r="AN727">
        <v>0</v>
      </c>
      <c r="AO727">
        <v>0</v>
      </c>
      <c r="AP727">
        <v>0</v>
      </c>
      <c r="AQ727">
        <v>0</v>
      </c>
      <c r="AR727">
        <v>0</v>
      </c>
      <c r="AS727">
        <v>0</v>
      </c>
      <c r="AT727">
        <v>0</v>
      </c>
      <c r="AU727">
        <v>0</v>
      </c>
      <c r="AV727">
        <v>0</v>
      </c>
      <c r="AW727">
        <v>0</v>
      </c>
      <c r="AX727">
        <v>0</v>
      </c>
      <c r="AY727">
        <v>0</v>
      </c>
      <c r="AZ727">
        <v>0</v>
      </c>
      <c r="BA727">
        <v>0</v>
      </c>
      <c r="BB727">
        <v>0</v>
      </c>
      <c r="BC727">
        <v>0</v>
      </c>
      <c r="BD727">
        <v>0</v>
      </c>
      <c r="BE727">
        <v>0</v>
      </c>
      <c r="BF727">
        <v>0</v>
      </c>
      <c r="BG727">
        <v>0</v>
      </c>
      <c r="BH727">
        <v>1</v>
      </c>
      <c r="BI727">
        <v>4.5999999999999996</v>
      </c>
      <c r="BJ727">
        <v>7</v>
      </c>
      <c r="BK727">
        <v>7</v>
      </c>
      <c r="BL727">
        <v>121.87</v>
      </c>
      <c r="BM727">
        <v>18.28</v>
      </c>
      <c r="BN727">
        <v>140.15</v>
      </c>
      <c r="BO727">
        <v>140.15</v>
      </c>
      <c r="BQ727" t="s">
        <v>1061</v>
      </c>
      <c r="BR727" t="s">
        <v>733</v>
      </c>
      <c r="BS727" s="3">
        <v>44603</v>
      </c>
      <c r="BT727" s="4">
        <v>0.47916666666666669</v>
      </c>
      <c r="BU727" t="s">
        <v>1844</v>
      </c>
      <c r="BV727" t="s">
        <v>101</v>
      </c>
      <c r="BY727">
        <v>34977.019999999997</v>
      </c>
      <c r="BZ727" t="s">
        <v>137</v>
      </c>
      <c r="CA727" t="s">
        <v>219</v>
      </c>
      <c r="CC727" t="s">
        <v>110</v>
      </c>
      <c r="CD727">
        <v>46</v>
      </c>
      <c r="CE727" t="s">
        <v>130</v>
      </c>
      <c r="CF727" s="3">
        <v>44603</v>
      </c>
      <c r="CI727">
        <v>1</v>
      </c>
      <c r="CJ727">
        <v>1</v>
      </c>
      <c r="CK727">
        <v>41</v>
      </c>
      <c r="CL727" t="s">
        <v>84</v>
      </c>
    </row>
    <row r="728" spans="1:90" x14ac:dyDescent="0.25">
      <c r="A728" t="s">
        <v>1417</v>
      </c>
      <c r="B728" t="s">
        <v>1400</v>
      </c>
      <c r="C728" t="s">
        <v>74</v>
      </c>
      <c r="E728" t="str">
        <f>"009939616544"</f>
        <v>009939616544</v>
      </c>
      <c r="F728" s="3">
        <v>44602</v>
      </c>
      <c r="G728">
        <v>202208</v>
      </c>
      <c r="H728" t="s">
        <v>1436</v>
      </c>
      <c r="I728" t="s">
        <v>1437</v>
      </c>
      <c r="J728" t="s">
        <v>1523</v>
      </c>
      <c r="K728" t="s">
        <v>78</v>
      </c>
      <c r="L728" t="s">
        <v>971</v>
      </c>
      <c r="M728" t="s">
        <v>972</v>
      </c>
      <c r="N728" t="s">
        <v>1401</v>
      </c>
      <c r="O728" t="s">
        <v>125</v>
      </c>
      <c r="P728" t="str">
        <f>"STORES                        "</f>
        <v xml:space="preserve">STORES                        </v>
      </c>
      <c r="Q728">
        <v>0</v>
      </c>
      <c r="R728">
        <v>0</v>
      </c>
      <c r="S728">
        <v>0</v>
      </c>
      <c r="T728">
        <v>0</v>
      </c>
      <c r="U728">
        <v>0</v>
      </c>
      <c r="V728">
        <v>0</v>
      </c>
      <c r="W728">
        <v>0</v>
      </c>
      <c r="X728">
        <v>0</v>
      </c>
      <c r="Y728">
        <v>0</v>
      </c>
      <c r="Z728">
        <v>0</v>
      </c>
      <c r="AA728">
        <v>0</v>
      </c>
      <c r="AB728">
        <v>0</v>
      </c>
      <c r="AC728">
        <v>0</v>
      </c>
      <c r="AD728">
        <v>0</v>
      </c>
      <c r="AE728">
        <v>0</v>
      </c>
      <c r="AF728">
        <v>0</v>
      </c>
      <c r="AG728">
        <v>0</v>
      </c>
      <c r="AH728">
        <v>0</v>
      </c>
      <c r="AI728">
        <v>0</v>
      </c>
      <c r="AJ728">
        <v>0</v>
      </c>
      <c r="AK728">
        <v>45.72</v>
      </c>
      <c r="AL728">
        <v>0</v>
      </c>
      <c r="AM728">
        <v>0</v>
      </c>
      <c r="AN728">
        <v>0</v>
      </c>
      <c r="AO728">
        <v>0</v>
      </c>
      <c r="AP728">
        <v>0</v>
      </c>
      <c r="AQ728">
        <v>0</v>
      </c>
      <c r="AR728">
        <v>0</v>
      </c>
      <c r="AS728">
        <v>0</v>
      </c>
      <c r="AT728">
        <v>0</v>
      </c>
      <c r="AU728">
        <v>0</v>
      </c>
      <c r="AV728">
        <v>0</v>
      </c>
      <c r="AW728">
        <v>0</v>
      </c>
      <c r="AX728">
        <v>0</v>
      </c>
      <c r="AY728">
        <v>0</v>
      </c>
      <c r="AZ728">
        <v>0</v>
      </c>
      <c r="BA728">
        <v>0</v>
      </c>
      <c r="BB728">
        <v>0</v>
      </c>
      <c r="BC728">
        <v>0</v>
      </c>
      <c r="BD728">
        <v>0</v>
      </c>
      <c r="BE728">
        <v>0</v>
      </c>
      <c r="BF728">
        <v>0</v>
      </c>
      <c r="BG728">
        <v>0</v>
      </c>
      <c r="BH728">
        <v>1</v>
      </c>
      <c r="BI728">
        <v>6.3</v>
      </c>
      <c r="BJ728">
        <v>8.4</v>
      </c>
      <c r="BK728">
        <v>9</v>
      </c>
      <c r="BL728">
        <v>169.72</v>
      </c>
      <c r="BM728">
        <v>25.46</v>
      </c>
      <c r="BN728">
        <v>195.18</v>
      </c>
      <c r="BO728">
        <v>195.18</v>
      </c>
      <c r="BQ728" t="s">
        <v>1845</v>
      </c>
      <c r="BR728" t="s">
        <v>733</v>
      </c>
      <c r="BS728" s="3">
        <v>44606</v>
      </c>
      <c r="BT728" s="4">
        <v>0.41666666666666669</v>
      </c>
      <c r="BU728" t="s">
        <v>1846</v>
      </c>
      <c r="BV728" t="s">
        <v>101</v>
      </c>
      <c r="BY728">
        <v>42200.69</v>
      </c>
      <c r="BZ728" t="s">
        <v>137</v>
      </c>
      <c r="CC728" t="s">
        <v>972</v>
      </c>
      <c r="CD728">
        <v>5319</v>
      </c>
      <c r="CE728" t="s">
        <v>130</v>
      </c>
      <c r="CF728" s="3">
        <v>44608</v>
      </c>
      <c r="CI728">
        <v>6</v>
      </c>
      <c r="CJ728">
        <v>2</v>
      </c>
      <c r="CK728">
        <v>43</v>
      </c>
      <c r="CL728" t="s">
        <v>84</v>
      </c>
    </row>
    <row r="729" spans="1:90" x14ac:dyDescent="0.25">
      <c r="A729" t="s">
        <v>1417</v>
      </c>
      <c r="B729" t="s">
        <v>1400</v>
      </c>
      <c r="C729" t="s">
        <v>74</v>
      </c>
      <c r="E729" t="str">
        <f>"009941677895"</f>
        <v>009941677895</v>
      </c>
      <c r="F729" s="3">
        <v>44601</v>
      </c>
      <c r="G729">
        <v>202208</v>
      </c>
      <c r="H729" t="s">
        <v>649</v>
      </c>
      <c r="I729" t="s">
        <v>650</v>
      </c>
      <c r="J729" t="s">
        <v>1847</v>
      </c>
      <c r="K729" t="s">
        <v>78</v>
      </c>
      <c r="N729" t="s">
        <v>1848</v>
      </c>
      <c r="O729" t="s">
        <v>125</v>
      </c>
      <c r="P729" t="str">
        <f>"                              "</f>
        <v xml:space="preserve">                              </v>
      </c>
      <c r="Q729">
        <v>0</v>
      </c>
      <c r="R729">
        <v>0</v>
      </c>
      <c r="S729">
        <v>0</v>
      </c>
      <c r="T729">
        <v>0</v>
      </c>
      <c r="U729">
        <v>0</v>
      </c>
      <c r="V729">
        <v>0</v>
      </c>
      <c r="W729">
        <v>0</v>
      </c>
      <c r="X729">
        <v>0</v>
      </c>
      <c r="Y729">
        <v>0</v>
      </c>
      <c r="Z729">
        <v>0</v>
      </c>
      <c r="AA729">
        <v>0</v>
      </c>
      <c r="AB729">
        <v>0</v>
      </c>
      <c r="AC729">
        <v>0</v>
      </c>
      <c r="AD729">
        <v>0</v>
      </c>
      <c r="AE729">
        <v>0</v>
      </c>
      <c r="AF729">
        <v>0</v>
      </c>
      <c r="AG729">
        <v>0</v>
      </c>
      <c r="AH729">
        <v>0</v>
      </c>
      <c r="AI729">
        <v>0</v>
      </c>
      <c r="AJ729">
        <v>0</v>
      </c>
      <c r="AK729">
        <v>32.42</v>
      </c>
      <c r="AL729">
        <v>0</v>
      </c>
      <c r="AM729">
        <v>0</v>
      </c>
      <c r="AN729">
        <v>0</v>
      </c>
      <c r="AO729">
        <v>0</v>
      </c>
      <c r="AP729">
        <v>0</v>
      </c>
      <c r="AQ729">
        <v>0</v>
      </c>
      <c r="AR729">
        <v>0</v>
      </c>
      <c r="AS729">
        <v>0</v>
      </c>
      <c r="AT729">
        <v>0</v>
      </c>
      <c r="AU729">
        <v>0</v>
      </c>
      <c r="AV729">
        <v>0</v>
      </c>
      <c r="AW729">
        <v>0</v>
      </c>
      <c r="AX729">
        <v>0</v>
      </c>
      <c r="AY729">
        <v>0</v>
      </c>
      <c r="AZ729">
        <v>0</v>
      </c>
      <c r="BA729">
        <v>0</v>
      </c>
      <c r="BB729">
        <v>0</v>
      </c>
      <c r="BC729">
        <v>0</v>
      </c>
      <c r="BD729">
        <v>0</v>
      </c>
      <c r="BE729">
        <v>0</v>
      </c>
      <c r="BF729">
        <v>0</v>
      </c>
      <c r="BG729">
        <v>0</v>
      </c>
      <c r="BH729">
        <v>1</v>
      </c>
      <c r="BI729">
        <v>4</v>
      </c>
      <c r="BJ729">
        <v>3.6</v>
      </c>
      <c r="BK729">
        <v>4</v>
      </c>
      <c r="BL729">
        <v>121.87</v>
      </c>
      <c r="BM729">
        <v>18.28</v>
      </c>
      <c r="BN729">
        <v>140.15</v>
      </c>
      <c r="BO729">
        <v>140.15</v>
      </c>
      <c r="BS729" s="3">
        <v>44606</v>
      </c>
      <c r="BT729" s="4">
        <v>0.47083333333333338</v>
      </c>
      <c r="BU729" t="s">
        <v>1435</v>
      </c>
      <c r="BV729" t="s">
        <v>84</v>
      </c>
      <c r="BW729" t="s">
        <v>801</v>
      </c>
      <c r="BX729" t="s">
        <v>787</v>
      </c>
      <c r="BY729">
        <v>17860</v>
      </c>
      <c r="CD729">
        <v>2196</v>
      </c>
      <c r="CE729" t="s">
        <v>130</v>
      </c>
      <c r="CF729" s="3">
        <v>44607</v>
      </c>
      <c r="CI729">
        <v>0</v>
      </c>
      <c r="CJ729">
        <v>0</v>
      </c>
      <c r="CK729">
        <v>41</v>
      </c>
      <c r="CL729" t="s">
        <v>84</v>
      </c>
    </row>
    <row r="730" spans="1:90" x14ac:dyDescent="0.25">
      <c r="A730" t="s">
        <v>1399</v>
      </c>
      <c r="B730" t="s">
        <v>1400</v>
      </c>
      <c r="C730" t="s">
        <v>74</v>
      </c>
      <c r="E730" t="str">
        <f>"009941969048"</f>
        <v>009941969048</v>
      </c>
      <c r="F730" s="3">
        <v>44601</v>
      </c>
      <c r="G730">
        <v>202208</v>
      </c>
      <c r="H730" t="s">
        <v>1407</v>
      </c>
      <c r="I730" t="s">
        <v>1408</v>
      </c>
      <c r="J730" t="s">
        <v>1401</v>
      </c>
      <c r="K730" t="s">
        <v>78</v>
      </c>
      <c r="L730" t="s">
        <v>131</v>
      </c>
      <c r="M730" t="s">
        <v>132</v>
      </c>
      <c r="N730" t="s">
        <v>1401</v>
      </c>
      <c r="O730" t="s">
        <v>125</v>
      </c>
      <c r="P730" t="str">
        <f>"                              "</f>
        <v xml:space="preserve">                              </v>
      </c>
      <c r="Q730">
        <v>0</v>
      </c>
      <c r="R730">
        <v>0</v>
      </c>
      <c r="S730">
        <v>0</v>
      </c>
      <c r="T730">
        <v>0</v>
      </c>
      <c r="U730">
        <v>0</v>
      </c>
      <c r="V730">
        <v>0</v>
      </c>
      <c r="W730">
        <v>0</v>
      </c>
      <c r="X730">
        <v>0</v>
      </c>
      <c r="Y730">
        <v>0</v>
      </c>
      <c r="Z730">
        <v>0</v>
      </c>
      <c r="AA730">
        <v>0</v>
      </c>
      <c r="AB730">
        <v>0</v>
      </c>
      <c r="AC730">
        <v>0</v>
      </c>
      <c r="AD730">
        <v>0</v>
      </c>
      <c r="AE730">
        <v>0</v>
      </c>
      <c r="AF730">
        <v>0</v>
      </c>
      <c r="AG730">
        <v>0</v>
      </c>
      <c r="AH730">
        <v>0</v>
      </c>
      <c r="AI730">
        <v>0</v>
      </c>
      <c r="AJ730">
        <v>0</v>
      </c>
      <c r="AK730">
        <v>45.72</v>
      </c>
      <c r="AL730">
        <v>0</v>
      </c>
      <c r="AM730">
        <v>0</v>
      </c>
      <c r="AN730">
        <v>0</v>
      </c>
      <c r="AO730">
        <v>0</v>
      </c>
      <c r="AP730">
        <v>0</v>
      </c>
      <c r="AQ730">
        <v>0</v>
      </c>
      <c r="AR730">
        <v>0</v>
      </c>
      <c r="AS730">
        <v>0</v>
      </c>
      <c r="AT730">
        <v>0</v>
      </c>
      <c r="AU730">
        <v>0</v>
      </c>
      <c r="AV730">
        <v>0</v>
      </c>
      <c r="AW730">
        <v>0</v>
      </c>
      <c r="AX730">
        <v>0</v>
      </c>
      <c r="AY730">
        <v>0</v>
      </c>
      <c r="AZ730">
        <v>0</v>
      </c>
      <c r="BA730">
        <v>0</v>
      </c>
      <c r="BB730">
        <v>0</v>
      </c>
      <c r="BC730">
        <v>0</v>
      </c>
      <c r="BD730">
        <v>0</v>
      </c>
      <c r="BE730">
        <v>0</v>
      </c>
      <c r="BF730">
        <v>0</v>
      </c>
      <c r="BG730">
        <v>0</v>
      </c>
      <c r="BH730">
        <v>1</v>
      </c>
      <c r="BI730">
        <v>1</v>
      </c>
      <c r="BJ730">
        <v>0.2</v>
      </c>
      <c r="BK730">
        <v>1</v>
      </c>
      <c r="BL730">
        <v>169.72</v>
      </c>
      <c r="BM730">
        <v>25.46</v>
      </c>
      <c r="BN730">
        <v>195.18</v>
      </c>
      <c r="BO730">
        <v>195.18</v>
      </c>
      <c r="BQ730" t="s">
        <v>1849</v>
      </c>
      <c r="BR730" t="s">
        <v>1410</v>
      </c>
      <c r="BS730" s="3">
        <v>44602</v>
      </c>
      <c r="BT730" s="4">
        <v>0.4993055555555555</v>
      </c>
      <c r="BU730" t="s">
        <v>1491</v>
      </c>
      <c r="BV730" t="s">
        <v>101</v>
      </c>
      <c r="BY730">
        <v>1200</v>
      </c>
      <c r="BZ730" t="s">
        <v>137</v>
      </c>
      <c r="CA730" t="s">
        <v>1575</v>
      </c>
      <c r="CC730" t="s">
        <v>132</v>
      </c>
      <c r="CD730">
        <v>4000</v>
      </c>
      <c r="CE730" t="s">
        <v>130</v>
      </c>
      <c r="CF730" s="3">
        <v>44608</v>
      </c>
      <c r="CI730">
        <v>2</v>
      </c>
      <c r="CJ730">
        <v>1</v>
      </c>
      <c r="CK730">
        <v>43</v>
      </c>
      <c r="CL730" t="s">
        <v>84</v>
      </c>
    </row>
    <row r="731" spans="1:90" x14ac:dyDescent="0.25">
      <c r="A731" t="s">
        <v>1417</v>
      </c>
      <c r="B731" t="s">
        <v>1400</v>
      </c>
      <c r="C731" t="s">
        <v>74</v>
      </c>
      <c r="E731" t="str">
        <f>"029907975252"</f>
        <v>029907975252</v>
      </c>
      <c r="F731" s="3">
        <v>44603</v>
      </c>
      <c r="G731">
        <v>202208</v>
      </c>
      <c r="H731" t="s">
        <v>131</v>
      </c>
      <c r="I731" t="s">
        <v>132</v>
      </c>
      <c r="J731" t="s">
        <v>1406</v>
      </c>
      <c r="K731" t="s">
        <v>78</v>
      </c>
      <c r="L731" t="s">
        <v>384</v>
      </c>
      <c r="M731" t="s">
        <v>385</v>
      </c>
      <c r="N731" t="s">
        <v>1850</v>
      </c>
      <c r="O731" t="s">
        <v>80</v>
      </c>
      <c r="P731" t="str">
        <f>"RAJESH                        "</f>
        <v xml:space="preserve">RAJESH                        </v>
      </c>
      <c r="Q731">
        <v>0</v>
      </c>
      <c r="R731">
        <v>0</v>
      </c>
      <c r="S731">
        <v>0</v>
      </c>
      <c r="T731">
        <v>0</v>
      </c>
      <c r="U731">
        <v>0</v>
      </c>
      <c r="V731">
        <v>0</v>
      </c>
      <c r="W731">
        <v>0</v>
      </c>
      <c r="X731">
        <v>0</v>
      </c>
      <c r="Y731">
        <v>0</v>
      </c>
      <c r="Z731">
        <v>0</v>
      </c>
      <c r="AA731">
        <v>0</v>
      </c>
      <c r="AB731">
        <v>0</v>
      </c>
      <c r="AC731">
        <v>0</v>
      </c>
      <c r="AD731">
        <v>0</v>
      </c>
      <c r="AE731">
        <v>0</v>
      </c>
      <c r="AF731">
        <v>0</v>
      </c>
      <c r="AG731">
        <v>0</v>
      </c>
      <c r="AH731">
        <v>0</v>
      </c>
      <c r="AI731">
        <v>0</v>
      </c>
      <c r="AJ731">
        <v>0</v>
      </c>
      <c r="AK731">
        <v>16.760000000000002</v>
      </c>
      <c r="AL731">
        <v>0</v>
      </c>
      <c r="AM731">
        <v>0</v>
      </c>
      <c r="AN731">
        <v>0</v>
      </c>
      <c r="AO731">
        <v>0</v>
      </c>
      <c r="AP731">
        <v>0</v>
      </c>
      <c r="AQ731">
        <v>0</v>
      </c>
      <c r="AR731">
        <v>0</v>
      </c>
      <c r="AS731">
        <v>0</v>
      </c>
      <c r="AT731">
        <v>0</v>
      </c>
      <c r="AU731">
        <v>0</v>
      </c>
      <c r="AV731">
        <v>0</v>
      </c>
      <c r="AW731">
        <v>0</v>
      </c>
      <c r="AX731">
        <v>0</v>
      </c>
      <c r="AY731">
        <v>0</v>
      </c>
      <c r="AZ731">
        <v>0</v>
      </c>
      <c r="BA731">
        <v>0</v>
      </c>
      <c r="BB731">
        <v>0</v>
      </c>
      <c r="BC731">
        <v>0</v>
      </c>
      <c r="BD731">
        <v>0</v>
      </c>
      <c r="BE731">
        <v>0</v>
      </c>
      <c r="BF731">
        <v>0</v>
      </c>
      <c r="BG731">
        <v>0</v>
      </c>
      <c r="BH731">
        <v>1</v>
      </c>
      <c r="BI731">
        <v>0.2</v>
      </c>
      <c r="BJ731">
        <v>0.2</v>
      </c>
      <c r="BK731">
        <v>0.5</v>
      </c>
      <c r="BL731">
        <v>60.3</v>
      </c>
      <c r="BM731">
        <v>9.0500000000000007</v>
      </c>
      <c r="BN731">
        <v>69.349999999999994</v>
      </c>
      <c r="BO731">
        <v>69.349999999999994</v>
      </c>
      <c r="BQ731" t="s">
        <v>1473</v>
      </c>
      <c r="BR731" t="s">
        <v>1411</v>
      </c>
      <c r="BS731" s="3">
        <v>44606</v>
      </c>
      <c r="BT731" s="4">
        <v>0.31736111111111115</v>
      </c>
      <c r="BU731" t="s">
        <v>1851</v>
      </c>
      <c r="BV731" t="s">
        <v>101</v>
      </c>
      <c r="BY731">
        <v>1200</v>
      </c>
      <c r="BZ731" t="s">
        <v>87</v>
      </c>
      <c r="CA731" t="s">
        <v>1475</v>
      </c>
      <c r="CC731" t="s">
        <v>385</v>
      </c>
      <c r="CD731">
        <v>2125</v>
      </c>
      <c r="CE731" t="s">
        <v>130</v>
      </c>
      <c r="CF731" s="3">
        <v>44606</v>
      </c>
      <c r="CI731">
        <v>1</v>
      </c>
      <c r="CJ731">
        <v>1</v>
      </c>
      <c r="CK731">
        <v>21</v>
      </c>
      <c r="CL731" t="s">
        <v>84</v>
      </c>
    </row>
    <row r="732" spans="1:90" x14ac:dyDescent="0.25">
      <c r="A732" t="s">
        <v>1417</v>
      </c>
      <c r="B732" t="s">
        <v>1400</v>
      </c>
      <c r="C732" t="s">
        <v>74</v>
      </c>
      <c r="E732" t="str">
        <f>"009942086274"</f>
        <v>009942086274</v>
      </c>
      <c r="F732" s="3">
        <v>44603</v>
      </c>
      <c r="G732">
        <v>202208</v>
      </c>
      <c r="H732" t="s">
        <v>123</v>
      </c>
      <c r="I732" t="s">
        <v>124</v>
      </c>
      <c r="J732" t="s">
        <v>1426</v>
      </c>
      <c r="K732" t="s">
        <v>78</v>
      </c>
      <c r="L732" t="s">
        <v>971</v>
      </c>
      <c r="M732" t="s">
        <v>972</v>
      </c>
      <c r="N732" t="s">
        <v>1401</v>
      </c>
      <c r="O732" t="s">
        <v>125</v>
      </c>
      <c r="P732" t="str">
        <f>"PLZ 0212510055                "</f>
        <v xml:space="preserve">PLZ 0212510055                </v>
      </c>
      <c r="Q732">
        <v>0</v>
      </c>
      <c r="R732">
        <v>0</v>
      </c>
      <c r="S732">
        <v>0</v>
      </c>
      <c r="T732">
        <v>0</v>
      </c>
      <c r="U732">
        <v>0</v>
      </c>
      <c r="V732">
        <v>0</v>
      </c>
      <c r="W732">
        <v>0</v>
      </c>
      <c r="X732">
        <v>0</v>
      </c>
      <c r="Y732">
        <v>0</v>
      </c>
      <c r="Z732">
        <v>0</v>
      </c>
      <c r="AA732">
        <v>0</v>
      </c>
      <c r="AB732">
        <v>0</v>
      </c>
      <c r="AC732">
        <v>0</v>
      </c>
      <c r="AD732">
        <v>0</v>
      </c>
      <c r="AE732">
        <v>0</v>
      </c>
      <c r="AF732">
        <v>0</v>
      </c>
      <c r="AG732">
        <v>0</v>
      </c>
      <c r="AH732">
        <v>0</v>
      </c>
      <c r="AI732">
        <v>0</v>
      </c>
      <c r="AJ732">
        <v>0</v>
      </c>
      <c r="AK732">
        <v>125.18</v>
      </c>
      <c r="AL732">
        <v>0</v>
      </c>
      <c r="AM732">
        <v>0</v>
      </c>
      <c r="AN732">
        <v>0</v>
      </c>
      <c r="AO732">
        <v>0</v>
      </c>
      <c r="AP732">
        <v>0</v>
      </c>
      <c r="AQ732">
        <v>0</v>
      </c>
      <c r="AR732">
        <v>0</v>
      </c>
      <c r="AS732">
        <v>0</v>
      </c>
      <c r="AT732">
        <v>0</v>
      </c>
      <c r="AU732">
        <v>0</v>
      </c>
      <c r="AV732">
        <v>0</v>
      </c>
      <c r="AW732">
        <v>0</v>
      </c>
      <c r="AX732">
        <v>0</v>
      </c>
      <c r="AY732">
        <v>0</v>
      </c>
      <c r="AZ732">
        <v>0</v>
      </c>
      <c r="BA732">
        <v>0</v>
      </c>
      <c r="BB732">
        <v>0</v>
      </c>
      <c r="BC732">
        <v>0</v>
      </c>
      <c r="BD732">
        <v>0</v>
      </c>
      <c r="BE732">
        <v>0</v>
      </c>
      <c r="BF732">
        <v>0</v>
      </c>
      <c r="BG732">
        <v>0</v>
      </c>
      <c r="BH732">
        <v>1</v>
      </c>
      <c r="BI732">
        <v>25</v>
      </c>
      <c r="BJ732">
        <v>48.1</v>
      </c>
      <c r="BK732">
        <v>49</v>
      </c>
      <c r="BL732">
        <v>455.56</v>
      </c>
      <c r="BM732">
        <v>68.33</v>
      </c>
      <c r="BN732">
        <v>523.89</v>
      </c>
      <c r="BO732">
        <v>523.89</v>
      </c>
      <c r="BQ732" t="s">
        <v>1852</v>
      </c>
      <c r="BR732" t="s">
        <v>1429</v>
      </c>
      <c r="BS732" s="3">
        <v>44607</v>
      </c>
      <c r="BT732" s="4">
        <v>0.56041666666666667</v>
      </c>
      <c r="BU732" t="s">
        <v>1853</v>
      </c>
      <c r="BV732" t="s">
        <v>101</v>
      </c>
      <c r="BY732">
        <v>240640</v>
      </c>
      <c r="BZ732" t="s">
        <v>137</v>
      </c>
      <c r="CC732" t="s">
        <v>972</v>
      </c>
      <c r="CD732">
        <v>5320</v>
      </c>
      <c r="CE732" t="s">
        <v>130</v>
      </c>
      <c r="CF732" s="3">
        <v>44609</v>
      </c>
      <c r="CI732">
        <v>5</v>
      </c>
      <c r="CJ732">
        <v>2</v>
      </c>
      <c r="CK732">
        <v>43</v>
      </c>
      <c r="CL732" t="s">
        <v>84</v>
      </c>
    </row>
    <row r="733" spans="1:90" x14ac:dyDescent="0.25">
      <c r="A733" t="s">
        <v>1417</v>
      </c>
      <c r="B733" t="s">
        <v>1400</v>
      </c>
      <c r="C733" t="s">
        <v>74</v>
      </c>
      <c r="E733" t="str">
        <f>"009941618557"</f>
        <v>009941618557</v>
      </c>
      <c r="F733" s="3">
        <v>44596</v>
      </c>
      <c r="G733">
        <v>202208</v>
      </c>
      <c r="H733" t="s">
        <v>1436</v>
      </c>
      <c r="I733" t="s">
        <v>1437</v>
      </c>
      <c r="J733" t="s">
        <v>1401</v>
      </c>
      <c r="K733" t="s">
        <v>78</v>
      </c>
      <c r="L733" t="s">
        <v>282</v>
      </c>
      <c r="M733" t="s">
        <v>283</v>
      </c>
      <c r="N733" t="s">
        <v>1583</v>
      </c>
      <c r="O733" t="s">
        <v>80</v>
      </c>
      <c r="P733" t="str">
        <f>"STORES                        "</f>
        <v xml:space="preserve">STORES                        </v>
      </c>
      <c r="Q733">
        <v>0</v>
      </c>
      <c r="R733">
        <v>0</v>
      </c>
      <c r="S733">
        <v>0</v>
      </c>
      <c r="T733">
        <v>0</v>
      </c>
      <c r="U733">
        <v>0</v>
      </c>
      <c r="V733">
        <v>0</v>
      </c>
      <c r="W733">
        <v>0</v>
      </c>
      <c r="X733">
        <v>0</v>
      </c>
      <c r="Y733">
        <v>0</v>
      </c>
      <c r="Z733">
        <v>0</v>
      </c>
      <c r="AA733">
        <v>0</v>
      </c>
      <c r="AB733">
        <v>0</v>
      </c>
      <c r="AC733">
        <v>0</v>
      </c>
      <c r="AD733">
        <v>0</v>
      </c>
      <c r="AE733">
        <v>0</v>
      </c>
      <c r="AF733">
        <v>0</v>
      </c>
      <c r="AG733">
        <v>0</v>
      </c>
      <c r="AH733">
        <v>0</v>
      </c>
      <c r="AI733">
        <v>0</v>
      </c>
      <c r="AJ733">
        <v>0</v>
      </c>
      <c r="AK733">
        <v>164.5</v>
      </c>
      <c r="AL733">
        <v>0</v>
      </c>
      <c r="AM733">
        <v>0</v>
      </c>
      <c r="AN733">
        <v>0</v>
      </c>
      <c r="AO733">
        <v>0</v>
      </c>
      <c r="AP733">
        <v>0</v>
      </c>
      <c r="AQ733">
        <v>0</v>
      </c>
      <c r="AR733">
        <v>0</v>
      </c>
      <c r="AS733">
        <v>0</v>
      </c>
      <c r="AT733">
        <v>0</v>
      </c>
      <c r="AU733">
        <v>0</v>
      </c>
      <c r="AV733">
        <v>0</v>
      </c>
      <c r="AW733">
        <v>0</v>
      </c>
      <c r="AX733">
        <v>0</v>
      </c>
      <c r="AY733">
        <v>0</v>
      </c>
      <c r="AZ733">
        <v>0</v>
      </c>
      <c r="BA733">
        <v>0</v>
      </c>
      <c r="BB733">
        <v>0</v>
      </c>
      <c r="BC733">
        <v>0</v>
      </c>
      <c r="BD733">
        <v>0</v>
      </c>
      <c r="BE733">
        <v>0</v>
      </c>
      <c r="BF733">
        <v>0</v>
      </c>
      <c r="BG733">
        <v>0</v>
      </c>
      <c r="BH733">
        <v>1</v>
      </c>
      <c r="BI733">
        <v>1.6</v>
      </c>
      <c r="BJ733">
        <v>10.7</v>
      </c>
      <c r="BK733">
        <v>11</v>
      </c>
      <c r="BL733">
        <v>591.76</v>
      </c>
      <c r="BM733">
        <v>88.76</v>
      </c>
      <c r="BN733">
        <v>680.52</v>
      </c>
      <c r="BO733">
        <v>680.52</v>
      </c>
      <c r="BQ733" t="s">
        <v>1528</v>
      </c>
      <c r="BR733" t="s">
        <v>733</v>
      </c>
      <c r="BS733" s="3">
        <v>44599</v>
      </c>
      <c r="BT733" s="4">
        <v>0.38819444444444445</v>
      </c>
      <c r="BU733" t="s">
        <v>1522</v>
      </c>
      <c r="BV733" t="s">
        <v>101</v>
      </c>
      <c r="BY733">
        <v>53737.919999999998</v>
      </c>
      <c r="BZ733" t="s">
        <v>1854</v>
      </c>
      <c r="CA733" t="s">
        <v>287</v>
      </c>
      <c r="CC733" t="s">
        <v>283</v>
      </c>
      <c r="CD733">
        <v>300</v>
      </c>
      <c r="CE733" t="s">
        <v>130</v>
      </c>
      <c r="CF733" s="3">
        <v>44599</v>
      </c>
      <c r="CI733">
        <v>1</v>
      </c>
      <c r="CJ733">
        <v>1</v>
      </c>
      <c r="CK733">
        <v>23</v>
      </c>
      <c r="CL733" t="s">
        <v>84</v>
      </c>
    </row>
    <row r="734" spans="1:90" x14ac:dyDescent="0.25">
      <c r="A734" t="s">
        <v>1417</v>
      </c>
      <c r="B734" t="s">
        <v>1400</v>
      </c>
      <c r="C734" t="s">
        <v>74</v>
      </c>
      <c r="E734" t="str">
        <f>"009941567775"</f>
        <v>009941567775</v>
      </c>
      <c r="F734" s="3">
        <v>44602</v>
      </c>
      <c r="G734">
        <v>202208</v>
      </c>
      <c r="H734" t="s">
        <v>1436</v>
      </c>
      <c r="I734" t="s">
        <v>1437</v>
      </c>
      <c r="J734" t="s">
        <v>1523</v>
      </c>
      <c r="K734" t="s">
        <v>78</v>
      </c>
      <c r="L734" t="s">
        <v>159</v>
      </c>
      <c r="M734" t="s">
        <v>160</v>
      </c>
      <c r="N734" t="s">
        <v>1401</v>
      </c>
      <c r="O734" t="s">
        <v>80</v>
      </c>
      <c r="P734" t="str">
        <f>"LOCKS                         "</f>
        <v xml:space="preserve">LOCKS                         </v>
      </c>
      <c r="Q734">
        <v>0</v>
      </c>
      <c r="R734">
        <v>0</v>
      </c>
      <c r="S734">
        <v>0</v>
      </c>
      <c r="T734">
        <v>0</v>
      </c>
      <c r="U734">
        <v>0</v>
      </c>
      <c r="V734">
        <v>0</v>
      </c>
      <c r="W734">
        <v>0</v>
      </c>
      <c r="X734">
        <v>0</v>
      </c>
      <c r="Y734">
        <v>0</v>
      </c>
      <c r="Z734">
        <v>0</v>
      </c>
      <c r="AA734">
        <v>0</v>
      </c>
      <c r="AB734">
        <v>0</v>
      </c>
      <c r="AC734">
        <v>0</v>
      </c>
      <c r="AD734">
        <v>0</v>
      </c>
      <c r="AE734">
        <v>0</v>
      </c>
      <c r="AF734">
        <v>0</v>
      </c>
      <c r="AG734">
        <v>0</v>
      </c>
      <c r="AH734">
        <v>0</v>
      </c>
      <c r="AI734">
        <v>0</v>
      </c>
      <c r="AJ734">
        <v>0</v>
      </c>
      <c r="AK734">
        <v>32.479999999999997</v>
      </c>
      <c r="AL734">
        <v>0</v>
      </c>
      <c r="AM734">
        <v>0</v>
      </c>
      <c r="AN734">
        <v>0</v>
      </c>
      <c r="AO734">
        <v>0</v>
      </c>
      <c r="AP734">
        <v>0</v>
      </c>
      <c r="AQ734">
        <v>0</v>
      </c>
      <c r="AR734">
        <v>0</v>
      </c>
      <c r="AS734">
        <v>0</v>
      </c>
      <c r="AT734">
        <v>0</v>
      </c>
      <c r="AU734">
        <v>0</v>
      </c>
      <c r="AV734">
        <v>0</v>
      </c>
      <c r="AW734">
        <v>0</v>
      </c>
      <c r="AX734">
        <v>0</v>
      </c>
      <c r="AY734">
        <v>0</v>
      </c>
      <c r="AZ734">
        <v>0</v>
      </c>
      <c r="BA734">
        <v>0</v>
      </c>
      <c r="BB734">
        <v>0</v>
      </c>
      <c r="BC734">
        <v>0</v>
      </c>
      <c r="BD734">
        <v>0</v>
      </c>
      <c r="BE734">
        <v>0</v>
      </c>
      <c r="BF734">
        <v>0</v>
      </c>
      <c r="BG734">
        <v>0</v>
      </c>
      <c r="BH734">
        <v>1</v>
      </c>
      <c r="BI734">
        <v>1</v>
      </c>
      <c r="BJ734">
        <v>0.2</v>
      </c>
      <c r="BK734">
        <v>1</v>
      </c>
      <c r="BL734">
        <v>116.84</v>
      </c>
      <c r="BM734">
        <v>17.53</v>
      </c>
      <c r="BN734">
        <v>134.37</v>
      </c>
      <c r="BO734">
        <v>134.37</v>
      </c>
      <c r="BQ734" t="s">
        <v>1855</v>
      </c>
      <c r="BR734" t="s">
        <v>1440</v>
      </c>
      <c r="BS734" s="3">
        <v>44607</v>
      </c>
      <c r="BT734" s="4">
        <v>0.33819444444444446</v>
      </c>
      <c r="BU734" t="s">
        <v>1816</v>
      </c>
      <c r="BV734" t="s">
        <v>84</v>
      </c>
      <c r="BY734">
        <v>1200</v>
      </c>
      <c r="BZ734" t="s">
        <v>87</v>
      </c>
      <c r="CC734" t="s">
        <v>160</v>
      </c>
      <c r="CD734">
        <v>9459</v>
      </c>
      <c r="CE734" t="s">
        <v>130</v>
      </c>
      <c r="CF734" s="3">
        <v>44607</v>
      </c>
      <c r="CI734">
        <v>1</v>
      </c>
      <c r="CJ734">
        <v>3</v>
      </c>
      <c r="CK734">
        <v>23</v>
      </c>
      <c r="CL734" t="s">
        <v>84</v>
      </c>
    </row>
    <row r="735" spans="1:90" x14ac:dyDescent="0.25">
      <c r="A735" t="s">
        <v>1417</v>
      </c>
      <c r="B735" t="s">
        <v>1400</v>
      </c>
      <c r="C735" t="s">
        <v>74</v>
      </c>
      <c r="E735" t="str">
        <f>"009941567776"</f>
        <v>009941567776</v>
      </c>
      <c r="F735" s="3">
        <v>44602</v>
      </c>
      <c r="G735">
        <v>202208</v>
      </c>
      <c r="H735" t="s">
        <v>1436</v>
      </c>
      <c r="I735" t="s">
        <v>1437</v>
      </c>
      <c r="J735" t="s">
        <v>1523</v>
      </c>
      <c r="K735" t="s">
        <v>78</v>
      </c>
      <c r="L735" t="s">
        <v>234</v>
      </c>
      <c r="M735" t="s">
        <v>235</v>
      </c>
      <c r="N735" t="s">
        <v>1401</v>
      </c>
      <c r="O735" t="s">
        <v>80</v>
      </c>
      <c r="P735" t="str">
        <f>"LOCKS                         "</f>
        <v xml:space="preserve">LOCKS                         </v>
      </c>
      <c r="Q735">
        <v>0</v>
      </c>
      <c r="R735">
        <v>0</v>
      </c>
      <c r="S735">
        <v>0</v>
      </c>
      <c r="T735">
        <v>0</v>
      </c>
      <c r="U735">
        <v>0</v>
      </c>
      <c r="V735">
        <v>0</v>
      </c>
      <c r="W735">
        <v>0</v>
      </c>
      <c r="X735">
        <v>0</v>
      </c>
      <c r="Y735">
        <v>0</v>
      </c>
      <c r="Z735">
        <v>0</v>
      </c>
      <c r="AA735">
        <v>0</v>
      </c>
      <c r="AB735">
        <v>0</v>
      </c>
      <c r="AC735">
        <v>0</v>
      </c>
      <c r="AD735">
        <v>0</v>
      </c>
      <c r="AE735">
        <v>0</v>
      </c>
      <c r="AF735">
        <v>0</v>
      </c>
      <c r="AG735">
        <v>0</v>
      </c>
      <c r="AH735">
        <v>0</v>
      </c>
      <c r="AI735">
        <v>0</v>
      </c>
      <c r="AJ735">
        <v>0</v>
      </c>
      <c r="AK735">
        <v>16.760000000000002</v>
      </c>
      <c r="AL735">
        <v>0</v>
      </c>
      <c r="AM735">
        <v>0</v>
      </c>
      <c r="AN735">
        <v>0</v>
      </c>
      <c r="AO735">
        <v>0</v>
      </c>
      <c r="AP735">
        <v>0</v>
      </c>
      <c r="AQ735">
        <v>0</v>
      </c>
      <c r="AR735">
        <v>0</v>
      </c>
      <c r="AS735">
        <v>0</v>
      </c>
      <c r="AT735">
        <v>0</v>
      </c>
      <c r="AU735">
        <v>0</v>
      </c>
      <c r="AV735">
        <v>0</v>
      </c>
      <c r="AW735">
        <v>0</v>
      </c>
      <c r="AX735">
        <v>0</v>
      </c>
      <c r="AY735">
        <v>0</v>
      </c>
      <c r="AZ735">
        <v>0</v>
      </c>
      <c r="BA735">
        <v>0</v>
      </c>
      <c r="BB735">
        <v>0</v>
      </c>
      <c r="BC735">
        <v>0</v>
      </c>
      <c r="BD735">
        <v>0</v>
      </c>
      <c r="BE735">
        <v>0</v>
      </c>
      <c r="BF735">
        <v>0</v>
      </c>
      <c r="BG735">
        <v>0</v>
      </c>
      <c r="BH735">
        <v>1</v>
      </c>
      <c r="BI735">
        <v>1</v>
      </c>
      <c r="BJ735">
        <v>0.2</v>
      </c>
      <c r="BK735">
        <v>1</v>
      </c>
      <c r="BL735">
        <v>60.3</v>
      </c>
      <c r="BM735">
        <v>9.0500000000000007</v>
      </c>
      <c r="BN735">
        <v>69.349999999999994</v>
      </c>
      <c r="BO735">
        <v>69.349999999999994</v>
      </c>
      <c r="BQ735" t="s">
        <v>1856</v>
      </c>
      <c r="BR735" t="s">
        <v>1440</v>
      </c>
      <c r="BS735" s="3">
        <v>44607</v>
      </c>
      <c r="BT735" s="4">
        <v>0.38263888888888892</v>
      </c>
      <c r="BU735" t="s">
        <v>1857</v>
      </c>
      <c r="BV735" t="s">
        <v>84</v>
      </c>
      <c r="BW735" t="s">
        <v>239</v>
      </c>
      <c r="BX735" t="s">
        <v>240</v>
      </c>
      <c r="BY735">
        <v>1200</v>
      </c>
      <c r="BZ735" t="s">
        <v>87</v>
      </c>
      <c r="CC735" t="s">
        <v>235</v>
      </c>
      <c r="CD735">
        <v>3200</v>
      </c>
      <c r="CE735" t="s">
        <v>130</v>
      </c>
      <c r="CF735" s="3">
        <v>44609</v>
      </c>
      <c r="CI735">
        <v>1</v>
      </c>
      <c r="CJ735">
        <v>3</v>
      </c>
      <c r="CK735">
        <v>21</v>
      </c>
      <c r="CL735" t="s">
        <v>84</v>
      </c>
    </row>
    <row r="736" spans="1:90" x14ac:dyDescent="0.25">
      <c r="A736" t="s">
        <v>1417</v>
      </c>
      <c r="B736" t="s">
        <v>1400</v>
      </c>
      <c r="C736" t="s">
        <v>74</v>
      </c>
      <c r="E736" t="str">
        <f>"009941915429"</f>
        <v>009941915429</v>
      </c>
      <c r="F736" s="3">
        <v>44602</v>
      </c>
      <c r="G736">
        <v>202208</v>
      </c>
      <c r="H736" t="s">
        <v>1436</v>
      </c>
      <c r="I736" t="s">
        <v>1437</v>
      </c>
      <c r="J736" t="s">
        <v>1523</v>
      </c>
      <c r="K736" t="s">
        <v>78</v>
      </c>
      <c r="L736" t="s">
        <v>282</v>
      </c>
      <c r="M736" t="s">
        <v>283</v>
      </c>
      <c r="N736" t="s">
        <v>1401</v>
      </c>
      <c r="O736" t="s">
        <v>125</v>
      </c>
      <c r="P736" t="str">
        <f t="shared" ref="P736:P743" si="14">"STORES                        "</f>
        <v xml:space="preserve">STORES                        </v>
      </c>
      <c r="Q736">
        <v>0</v>
      </c>
      <c r="R736">
        <v>0</v>
      </c>
      <c r="S736">
        <v>0</v>
      </c>
      <c r="T736">
        <v>0</v>
      </c>
      <c r="U736">
        <v>0</v>
      </c>
      <c r="V736">
        <v>0</v>
      </c>
      <c r="W736">
        <v>0</v>
      </c>
      <c r="X736">
        <v>0</v>
      </c>
      <c r="Y736">
        <v>0</v>
      </c>
      <c r="Z736">
        <v>0</v>
      </c>
      <c r="AA736">
        <v>0</v>
      </c>
      <c r="AB736">
        <v>0</v>
      </c>
      <c r="AC736">
        <v>0</v>
      </c>
      <c r="AD736">
        <v>0</v>
      </c>
      <c r="AE736">
        <v>0</v>
      </c>
      <c r="AF736">
        <v>0</v>
      </c>
      <c r="AG736">
        <v>0</v>
      </c>
      <c r="AH736">
        <v>0</v>
      </c>
      <c r="AI736">
        <v>0</v>
      </c>
      <c r="AJ736">
        <v>0</v>
      </c>
      <c r="AK736">
        <v>45.72</v>
      </c>
      <c r="AL736">
        <v>0</v>
      </c>
      <c r="AM736">
        <v>0</v>
      </c>
      <c r="AN736">
        <v>0</v>
      </c>
      <c r="AO736">
        <v>0</v>
      </c>
      <c r="AP736">
        <v>0</v>
      </c>
      <c r="AQ736">
        <v>0</v>
      </c>
      <c r="AR736">
        <v>0</v>
      </c>
      <c r="AS736">
        <v>0</v>
      </c>
      <c r="AT736">
        <v>0</v>
      </c>
      <c r="AU736">
        <v>0</v>
      </c>
      <c r="AV736">
        <v>0</v>
      </c>
      <c r="AW736">
        <v>0</v>
      </c>
      <c r="AX736">
        <v>0</v>
      </c>
      <c r="AY736">
        <v>0</v>
      </c>
      <c r="AZ736">
        <v>0</v>
      </c>
      <c r="BA736">
        <v>0</v>
      </c>
      <c r="BB736">
        <v>0</v>
      </c>
      <c r="BC736">
        <v>0</v>
      </c>
      <c r="BD736">
        <v>0</v>
      </c>
      <c r="BE736">
        <v>0</v>
      </c>
      <c r="BF736">
        <v>0</v>
      </c>
      <c r="BG736">
        <v>0</v>
      </c>
      <c r="BH736">
        <v>1</v>
      </c>
      <c r="BI736">
        <v>5.7</v>
      </c>
      <c r="BJ736">
        <v>4.9000000000000004</v>
      </c>
      <c r="BK736">
        <v>6</v>
      </c>
      <c r="BL736">
        <v>169.72</v>
      </c>
      <c r="BM736">
        <v>25.46</v>
      </c>
      <c r="BN736">
        <v>195.18</v>
      </c>
      <c r="BO736">
        <v>195.18</v>
      </c>
      <c r="BQ736" t="s">
        <v>1528</v>
      </c>
      <c r="BR736" t="s">
        <v>733</v>
      </c>
      <c r="BS736" s="3">
        <v>44603</v>
      </c>
      <c r="BT736" s="4">
        <v>0.36041666666666666</v>
      </c>
      <c r="BU736" t="s">
        <v>1510</v>
      </c>
      <c r="BV736" t="s">
        <v>101</v>
      </c>
      <c r="BY736">
        <v>24295.34</v>
      </c>
      <c r="BZ736" t="s">
        <v>137</v>
      </c>
      <c r="CA736" t="s">
        <v>1089</v>
      </c>
      <c r="CC736" t="s">
        <v>283</v>
      </c>
      <c r="CD736">
        <v>300</v>
      </c>
      <c r="CE736" t="s">
        <v>130</v>
      </c>
      <c r="CF736" s="3">
        <v>44603</v>
      </c>
      <c r="CI736">
        <v>1</v>
      </c>
      <c r="CJ736">
        <v>1</v>
      </c>
      <c r="CK736">
        <v>43</v>
      </c>
      <c r="CL736" t="s">
        <v>84</v>
      </c>
    </row>
    <row r="737" spans="1:90" x14ac:dyDescent="0.25">
      <c r="A737" t="s">
        <v>1417</v>
      </c>
      <c r="B737" t="s">
        <v>1400</v>
      </c>
      <c r="C737" t="s">
        <v>74</v>
      </c>
      <c r="E737" t="str">
        <f>"009941618965"</f>
        <v>009941618965</v>
      </c>
      <c r="F737" s="3">
        <v>44601</v>
      </c>
      <c r="G737">
        <v>202208</v>
      </c>
      <c r="H737" t="s">
        <v>1436</v>
      </c>
      <c r="I737" t="s">
        <v>1437</v>
      </c>
      <c r="J737" t="s">
        <v>1401</v>
      </c>
      <c r="K737" t="s">
        <v>78</v>
      </c>
      <c r="L737" t="s">
        <v>131</v>
      </c>
      <c r="M737" t="s">
        <v>132</v>
      </c>
      <c r="N737" t="s">
        <v>1401</v>
      </c>
      <c r="O737" t="s">
        <v>125</v>
      </c>
      <c r="P737" t="str">
        <f t="shared" si="14"/>
        <v xml:space="preserve">STORES                        </v>
      </c>
      <c r="Q737">
        <v>0</v>
      </c>
      <c r="R737">
        <v>0</v>
      </c>
      <c r="S737">
        <v>0</v>
      </c>
      <c r="T737">
        <v>0</v>
      </c>
      <c r="U737">
        <v>0</v>
      </c>
      <c r="V737">
        <v>0</v>
      </c>
      <c r="W737">
        <v>0</v>
      </c>
      <c r="X737">
        <v>0</v>
      </c>
      <c r="Y737">
        <v>0</v>
      </c>
      <c r="Z737">
        <v>0</v>
      </c>
      <c r="AA737">
        <v>0</v>
      </c>
      <c r="AB737">
        <v>0</v>
      </c>
      <c r="AC737">
        <v>0</v>
      </c>
      <c r="AD737">
        <v>0</v>
      </c>
      <c r="AE737">
        <v>0</v>
      </c>
      <c r="AF737">
        <v>0</v>
      </c>
      <c r="AG737">
        <v>0</v>
      </c>
      <c r="AH737">
        <v>0</v>
      </c>
      <c r="AI737">
        <v>0</v>
      </c>
      <c r="AJ737">
        <v>0</v>
      </c>
      <c r="AK737">
        <v>224.79</v>
      </c>
      <c r="AL737">
        <v>0</v>
      </c>
      <c r="AM737">
        <v>0</v>
      </c>
      <c r="AN737">
        <v>0</v>
      </c>
      <c r="AO737">
        <v>0</v>
      </c>
      <c r="AP737">
        <v>0</v>
      </c>
      <c r="AQ737">
        <v>0</v>
      </c>
      <c r="AR737">
        <v>0</v>
      </c>
      <c r="AS737">
        <v>0</v>
      </c>
      <c r="AT737">
        <v>0</v>
      </c>
      <c r="AU737">
        <v>0</v>
      </c>
      <c r="AV737">
        <v>0</v>
      </c>
      <c r="AW737">
        <v>0</v>
      </c>
      <c r="AX737">
        <v>0</v>
      </c>
      <c r="AY737">
        <v>0</v>
      </c>
      <c r="AZ737">
        <v>0</v>
      </c>
      <c r="BA737">
        <v>0</v>
      </c>
      <c r="BB737">
        <v>0</v>
      </c>
      <c r="BC737">
        <v>0</v>
      </c>
      <c r="BD737">
        <v>0</v>
      </c>
      <c r="BE737">
        <v>0</v>
      </c>
      <c r="BF737">
        <v>0</v>
      </c>
      <c r="BG737">
        <v>0</v>
      </c>
      <c r="BH737">
        <v>3</v>
      </c>
      <c r="BI737">
        <v>105</v>
      </c>
      <c r="BJ737">
        <v>158.1</v>
      </c>
      <c r="BK737">
        <v>159</v>
      </c>
      <c r="BL737">
        <v>813.92</v>
      </c>
      <c r="BM737">
        <v>122.09</v>
      </c>
      <c r="BN737">
        <v>936.01</v>
      </c>
      <c r="BO737">
        <v>936.01</v>
      </c>
      <c r="BQ737" t="s">
        <v>733</v>
      </c>
      <c r="BR737" t="s">
        <v>1443</v>
      </c>
      <c r="BS737" s="3">
        <v>44603</v>
      </c>
      <c r="BT737" s="4">
        <v>0.57361111111111118</v>
      </c>
      <c r="BU737" t="s">
        <v>1491</v>
      </c>
      <c r="BV737" t="s">
        <v>84</v>
      </c>
      <c r="BW737" t="s">
        <v>268</v>
      </c>
      <c r="BX737" t="s">
        <v>240</v>
      </c>
      <c r="BY737">
        <v>790320</v>
      </c>
      <c r="BZ737" t="s">
        <v>137</v>
      </c>
      <c r="CA737" t="s">
        <v>1575</v>
      </c>
      <c r="CC737" t="s">
        <v>132</v>
      </c>
      <c r="CD737">
        <v>4091</v>
      </c>
      <c r="CE737" t="s">
        <v>130</v>
      </c>
      <c r="CF737" s="3">
        <v>44603</v>
      </c>
      <c r="CI737">
        <v>1</v>
      </c>
      <c r="CJ737">
        <v>2</v>
      </c>
      <c r="CK737">
        <v>41</v>
      </c>
      <c r="CL737" t="s">
        <v>84</v>
      </c>
    </row>
    <row r="738" spans="1:90" x14ac:dyDescent="0.25">
      <c r="A738" t="s">
        <v>1417</v>
      </c>
      <c r="B738" t="s">
        <v>1400</v>
      </c>
      <c r="C738" t="s">
        <v>74</v>
      </c>
      <c r="E738" t="str">
        <f>"009941915230"</f>
        <v>009941915230</v>
      </c>
      <c r="F738" s="3">
        <v>44603</v>
      </c>
      <c r="G738">
        <v>202208</v>
      </c>
      <c r="H738" t="s">
        <v>1436</v>
      </c>
      <c r="I738" t="s">
        <v>1437</v>
      </c>
      <c r="J738" t="s">
        <v>1401</v>
      </c>
      <c r="K738" t="s">
        <v>78</v>
      </c>
      <c r="L738" t="s">
        <v>75</v>
      </c>
      <c r="M738" t="s">
        <v>76</v>
      </c>
      <c r="N738" t="s">
        <v>1401</v>
      </c>
      <c r="O738" t="s">
        <v>125</v>
      </c>
      <c r="P738" t="str">
        <f t="shared" si="14"/>
        <v xml:space="preserve">STORES                        </v>
      </c>
      <c r="Q738">
        <v>0</v>
      </c>
      <c r="R738">
        <v>0</v>
      </c>
      <c r="S738">
        <v>0</v>
      </c>
      <c r="T738">
        <v>0</v>
      </c>
      <c r="U738">
        <v>0</v>
      </c>
      <c r="V738">
        <v>0</v>
      </c>
      <c r="W738">
        <v>0</v>
      </c>
      <c r="X738">
        <v>0</v>
      </c>
      <c r="Y738">
        <v>0</v>
      </c>
      <c r="Z738">
        <v>0</v>
      </c>
      <c r="AA738">
        <v>0</v>
      </c>
      <c r="AB738">
        <v>0</v>
      </c>
      <c r="AC738">
        <v>0</v>
      </c>
      <c r="AD738">
        <v>0</v>
      </c>
      <c r="AE738">
        <v>0</v>
      </c>
      <c r="AF738">
        <v>0</v>
      </c>
      <c r="AG738">
        <v>0</v>
      </c>
      <c r="AH738">
        <v>0</v>
      </c>
      <c r="AI738">
        <v>0</v>
      </c>
      <c r="AJ738">
        <v>0</v>
      </c>
      <c r="AK738">
        <v>33.75</v>
      </c>
      <c r="AL738">
        <v>0</v>
      </c>
      <c r="AM738">
        <v>0</v>
      </c>
      <c r="AN738">
        <v>0</v>
      </c>
      <c r="AO738">
        <v>0</v>
      </c>
      <c r="AP738">
        <v>0</v>
      </c>
      <c r="AQ738">
        <v>0</v>
      </c>
      <c r="AR738">
        <v>0</v>
      </c>
      <c r="AS738">
        <v>0</v>
      </c>
      <c r="AT738">
        <v>0</v>
      </c>
      <c r="AU738">
        <v>0</v>
      </c>
      <c r="AV738">
        <v>0</v>
      </c>
      <c r="AW738">
        <v>0</v>
      </c>
      <c r="AX738">
        <v>0</v>
      </c>
      <c r="AY738">
        <v>0</v>
      </c>
      <c r="AZ738">
        <v>0</v>
      </c>
      <c r="BA738">
        <v>0</v>
      </c>
      <c r="BB738">
        <v>0</v>
      </c>
      <c r="BC738">
        <v>0</v>
      </c>
      <c r="BD738">
        <v>0</v>
      </c>
      <c r="BE738">
        <v>0</v>
      </c>
      <c r="BF738">
        <v>0</v>
      </c>
      <c r="BG738">
        <v>0</v>
      </c>
      <c r="BH738">
        <v>1</v>
      </c>
      <c r="BI738">
        <v>2.9</v>
      </c>
      <c r="BJ738">
        <v>15.2</v>
      </c>
      <c r="BK738">
        <v>16</v>
      </c>
      <c r="BL738">
        <v>126.67</v>
      </c>
      <c r="BM738">
        <v>19</v>
      </c>
      <c r="BN738">
        <v>145.66999999999999</v>
      </c>
      <c r="BO738">
        <v>145.66999999999999</v>
      </c>
      <c r="BQ738" t="s">
        <v>733</v>
      </c>
      <c r="BR738" t="s">
        <v>733</v>
      </c>
      <c r="BS738" s="3">
        <v>44606</v>
      </c>
      <c r="BT738" s="4">
        <v>0.3923611111111111</v>
      </c>
      <c r="BU738" t="s">
        <v>1513</v>
      </c>
      <c r="BV738" t="s">
        <v>101</v>
      </c>
      <c r="BY738">
        <v>76140</v>
      </c>
      <c r="BZ738" t="s">
        <v>137</v>
      </c>
      <c r="CA738" t="s">
        <v>1649</v>
      </c>
      <c r="CC738" t="s">
        <v>76</v>
      </c>
      <c r="CD738">
        <v>8000</v>
      </c>
      <c r="CE738" t="s">
        <v>130</v>
      </c>
      <c r="CF738" s="3">
        <v>44607</v>
      </c>
      <c r="CI738">
        <v>2</v>
      </c>
      <c r="CJ738">
        <v>1</v>
      </c>
      <c r="CK738">
        <v>41</v>
      </c>
      <c r="CL738" t="s">
        <v>84</v>
      </c>
    </row>
    <row r="739" spans="1:90" x14ac:dyDescent="0.25">
      <c r="A739" t="s">
        <v>1417</v>
      </c>
      <c r="B739" t="s">
        <v>1400</v>
      </c>
      <c r="C739" t="s">
        <v>74</v>
      </c>
      <c r="E739" t="str">
        <f>"009941618981"</f>
        <v>009941618981</v>
      </c>
      <c r="F739" s="3">
        <v>44603</v>
      </c>
      <c r="G739">
        <v>202208</v>
      </c>
      <c r="H739" t="s">
        <v>1436</v>
      </c>
      <c r="I739" t="s">
        <v>1437</v>
      </c>
      <c r="J739" t="s">
        <v>1401</v>
      </c>
      <c r="K739" t="s">
        <v>78</v>
      </c>
      <c r="L739" t="s">
        <v>131</v>
      </c>
      <c r="M739" t="s">
        <v>132</v>
      </c>
      <c r="N739" t="s">
        <v>1401</v>
      </c>
      <c r="O739" t="s">
        <v>80</v>
      </c>
      <c r="P739" t="str">
        <f t="shared" si="14"/>
        <v xml:space="preserve">STORES                        </v>
      </c>
      <c r="Q739">
        <v>0</v>
      </c>
      <c r="R739">
        <v>0</v>
      </c>
      <c r="S739">
        <v>0</v>
      </c>
      <c r="T739">
        <v>0</v>
      </c>
      <c r="U739">
        <v>0</v>
      </c>
      <c r="V739">
        <v>0</v>
      </c>
      <c r="W739">
        <v>0</v>
      </c>
      <c r="X739">
        <v>0</v>
      </c>
      <c r="Y739">
        <v>0</v>
      </c>
      <c r="Z739">
        <v>0</v>
      </c>
      <c r="AA739">
        <v>0</v>
      </c>
      <c r="AB739">
        <v>0</v>
      </c>
      <c r="AC739">
        <v>0</v>
      </c>
      <c r="AD739">
        <v>0</v>
      </c>
      <c r="AE739">
        <v>0</v>
      </c>
      <c r="AF739">
        <v>0</v>
      </c>
      <c r="AG739">
        <v>0</v>
      </c>
      <c r="AH739">
        <v>0</v>
      </c>
      <c r="AI739">
        <v>0</v>
      </c>
      <c r="AJ739">
        <v>0</v>
      </c>
      <c r="AK739">
        <v>37.71</v>
      </c>
      <c r="AL739">
        <v>0</v>
      </c>
      <c r="AM739">
        <v>0</v>
      </c>
      <c r="AN739">
        <v>0</v>
      </c>
      <c r="AO739">
        <v>0</v>
      </c>
      <c r="AP739">
        <v>0</v>
      </c>
      <c r="AQ739">
        <v>0</v>
      </c>
      <c r="AR739">
        <v>0</v>
      </c>
      <c r="AS739">
        <v>0</v>
      </c>
      <c r="AT739">
        <v>0</v>
      </c>
      <c r="AU739">
        <v>0</v>
      </c>
      <c r="AV739">
        <v>0</v>
      </c>
      <c r="AW739">
        <v>0</v>
      </c>
      <c r="AX739">
        <v>0</v>
      </c>
      <c r="AY739">
        <v>0</v>
      </c>
      <c r="AZ739">
        <v>0</v>
      </c>
      <c r="BA739">
        <v>0</v>
      </c>
      <c r="BB739">
        <v>0</v>
      </c>
      <c r="BC739">
        <v>0</v>
      </c>
      <c r="BD739">
        <v>0</v>
      </c>
      <c r="BE739">
        <v>0</v>
      </c>
      <c r="BF739">
        <v>0</v>
      </c>
      <c r="BG739">
        <v>0</v>
      </c>
      <c r="BH739">
        <v>1</v>
      </c>
      <c r="BI739">
        <v>4.0999999999999996</v>
      </c>
      <c r="BJ739">
        <v>3.1</v>
      </c>
      <c r="BK739">
        <v>4.5</v>
      </c>
      <c r="BL739">
        <v>135.65</v>
      </c>
      <c r="BM739">
        <v>20.350000000000001</v>
      </c>
      <c r="BN739">
        <v>156</v>
      </c>
      <c r="BO739">
        <v>156</v>
      </c>
      <c r="BQ739" t="s">
        <v>733</v>
      </c>
      <c r="BR739" t="s">
        <v>1440</v>
      </c>
      <c r="BS739" s="3">
        <v>44606</v>
      </c>
      <c r="BT739" s="4">
        <v>0.4145833333333333</v>
      </c>
      <c r="BU739" t="s">
        <v>1491</v>
      </c>
      <c r="BV739" t="s">
        <v>101</v>
      </c>
      <c r="BY739">
        <v>15351.63</v>
      </c>
      <c r="BZ739" t="s">
        <v>87</v>
      </c>
      <c r="CA739" t="s">
        <v>1492</v>
      </c>
      <c r="CC739" t="s">
        <v>132</v>
      </c>
      <c r="CD739">
        <v>4091</v>
      </c>
      <c r="CE739" t="s">
        <v>130</v>
      </c>
      <c r="CF739" s="3">
        <v>44607</v>
      </c>
      <c r="CI739">
        <v>1</v>
      </c>
      <c r="CJ739">
        <v>1</v>
      </c>
      <c r="CK739">
        <v>21</v>
      </c>
      <c r="CL739" t="s">
        <v>84</v>
      </c>
    </row>
    <row r="740" spans="1:90" x14ac:dyDescent="0.25">
      <c r="A740" t="s">
        <v>1417</v>
      </c>
      <c r="B740" t="s">
        <v>1400</v>
      </c>
      <c r="C740" t="s">
        <v>74</v>
      </c>
      <c r="E740" t="str">
        <f>"009941915428"</f>
        <v>009941915428</v>
      </c>
      <c r="F740" s="3">
        <v>44603</v>
      </c>
      <c r="G740">
        <v>202208</v>
      </c>
      <c r="H740" t="s">
        <v>1436</v>
      </c>
      <c r="I740" t="s">
        <v>1437</v>
      </c>
      <c r="J740" t="s">
        <v>1401</v>
      </c>
      <c r="K740" t="s">
        <v>78</v>
      </c>
      <c r="L740" t="s">
        <v>282</v>
      </c>
      <c r="M740" t="s">
        <v>283</v>
      </c>
      <c r="N740" t="s">
        <v>1401</v>
      </c>
      <c r="O740" t="s">
        <v>125</v>
      </c>
      <c r="P740" t="str">
        <f t="shared" si="14"/>
        <v xml:space="preserve">STORES                        </v>
      </c>
      <c r="Q740">
        <v>0</v>
      </c>
      <c r="R740">
        <v>0</v>
      </c>
      <c r="S740">
        <v>0</v>
      </c>
      <c r="T740">
        <v>0</v>
      </c>
      <c r="U740">
        <v>0</v>
      </c>
      <c r="V740">
        <v>0</v>
      </c>
      <c r="W740">
        <v>0</v>
      </c>
      <c r="X740">
        <v>0</v>
      </c>
      <c r="Y740">
        <v>0</v>
      </c>
      <c r="Z740">
        <v>0</v>
      </c>
      <c r="AA740">
        <v>0</v>
      </c>
      <c r="AB740">
        <v>0</v>
      </c>
      <c r="AC740">
        <v>0</v>
      </c>
      <c r="AD740">
        <v>0</v>
      </c>
      <c r="AE740">
        <v>0</v>
      </c>
      <c r="AF740">
        <v>0</v>
      </c>
      <c r="AG740">
        <v>0</v>
      </c>
      <c r="AH740">
        <v>0</v>
      </c>
      <c r="AI740">
        <v>0</v>
      </c>
      <c r="AJ740">
        <v>0</v>
      </c>
      <c r="AK740">
        <v>45.72</v>
      </c>
      <c r="AL740">
        <v>0</v>
      </c>
      <c r="AM740">
        <v>0</v>
      </c>
      <c r="AN740">
        <v>0</v>
      </c>
      <c r="AO740">
        <v>0</v>
      </c>
      <c r="AP740">
        <v>0</v>
      </c>
      <c r="AQ740">
        <v>0</v>
      </c>
      <c r="AR740">
        <v>0</v>
      </c>
      <c r="AS740">
        <v>0</v>
      </c>
      <c r="AT740">
        <v>0</v>
      </c>
      <c r="AU740">
        <v>0</v>
      </c>
      <c r="AV740">
        <v>0</v>
      </c>
      <c r="AW740">
        <v>0</v>
      </c>
      <c r="AX740">
        <v>0</v>
      </c>
      <c r="AY740">
        <v>0</v>
      </c>
      <c r="AZ740">
        <v>0</v>
      </c>
      <c r="BA740">
        <v>0</v>
      </c>
      <c r="BB740">
        <v>0</v>
      </c>
      <c r="BC740">
        <v>0</v>
      </c>
      <c r="BD740">
        <v>0</v>
      </c>
      <c r="BE740">
        <v>0</v>
      </c>
      <c r="BF740">
        <v>0</v>
      </c>
      <c r="BG740">
        <v>0</v>
      </c>
      <c r="BH740">
        <v>1</v>
      </c>
      <c r="BI740">
        <v>7.1</v>
      </c>
      <c r="BJ740">
        <v>7.4</v>
      </c>
      <c r="BK740">
        <v>8</v>
      </c>
      <c r="BL740">
        <v>169.72</v>
      </c>
      <c r="BM740">
        <v>25.46</v>
      </c>
      <c r="BN740">
        <v>195.18</v>
      </c>
      <c r="BO740">
        <v>195.18</v>
      </c>
      <c r="BQ740" t="s">
        <v>1858</v>
      </c>
      <c r="BR740" t="s">
        <v>1533</v>
      </c>
      <c r="BS740" s="3">
        <v>44606</v>
      </c>
      <c r="BT740" s="4">
        <v>0.37013888888888885</v>
      </c>
      <c r="BU740" t="s">
        <v>1859</v>
      </c>
      <c r="BV740" t="s">
        <v>101</v>
      </c>
      <c r="BY740">
        <v>37100.49</v>
      </c>
      <c r="BZ740" t="s">
        <v>137</v>
      </c>
      <c r="CA740" t="s">
        <v>1089</v>
      </c>
      <c r="CC740" t="s">
        <v>283</v>
      </c>
      <c r="CD740">
        <v>300</v>
      </c>
      <c r="CE740" t="s">
        <v>130</v>
      </c>
      <c r="CF740" s="3">
        <v>44606</v>
      </c>
      <c r="CI740">
        <v>1</v>
      </c>
      <c r="CJ740">
        <v>1</v>
      </c>
      <c r="CK740">
        <v>43</v>
      </c>
      <c r="CL740" t="s">
        <v>84</v>
      </c>
    </row>
    <row r="741" spans="1:90" x14ac:dyDescent="0.25">
      <c r="A741" t="s">
        <v>1417</v>
      </c>
      <c r="B741" t="s">
        <v>1400</v>
      </c>
      <c r="C741" t="s">
        <v>74</v>
      </c>
      <c r="E741" t="str">
        <f>"009941915229"</f>
        <v>009941915229</v>
      </c>
      <c r="F741" s="3">
        <v>44603</v>
      </c>
      <c r="G741">
        <v>202208</v>
      </c>
      <c r="H741" t="s">
        <v>1436</v>
      </c>
      <c r="I741" t="s">
        <v>1437</v>
      </c>
      <c r="J741" t="s">
        <v>1401</v>
      </c>
      <c r="K741" t="s">
        <v>78</v>
      </c>
      <c r="L741" t="s">
        <v>75</v>
      </c>
      <c r="M741" t="s">
        <v>76</v>
      </c>
      <c r="N741" t="s">
        <v>1523</v>
      </c>
      <c r="O741" t="s">
        <v>125</v>
      </c>
      <c r="P741" t="str">
        <f t="shared" si="14"/>
        <v xml:space="preserve">STORES                        </v>
      </c>
      <c r="Q741">
        <v>0</v>
      </c>
      <c r="R741">
        <v>0</v>
      </c>
      <c r="S741">
        <v>0</v>
      </c>
      <c r="T741">
        <v>0</v>
      </c>
      <c r="U741">
        <v>0</v>
      </c>
      <c r="V741">
        <v>0</v>
      </c>
      <c r="W741">
        <v>0</v>
      </c>
      <c r="X741">
        <v>0</v>
      </c>
      <c r="Y741">
        <v>0</v>
      </c>
      <c r="Z741">
        <v>0</v>
      </c>
      <c r="AA741">
        <v>0</v>
      </c>
      <c r="AB741">
        <v>0</v>
      </c>
      <c r="AC741">
        <v>0</v>
      </c>
      <c r="AD741">
        <v>0</v>
      </c>
      <c r="AE741">
        <v>0</v>
      </c>
      <c r="AF741">
        <v>0</v>
      </c>
      <c r="AG741">
        <v>0</v>
      </c>
      <c r="AH741">
        <v>0</v>
      </c>
      <c r="AI741">
        <v>0</v>
      </c>
      <c r="AJ741">
        <v>0</v>
      </c>
      <c r="AK741">
        <v>68.489999999999995</v>
      </c>
      <c r="AL741">
        <v>0</v>
      </c>
      <c r="AM741">
        <v>0</v>
      </c>
      <c r="AN741">
        <v>0</v>
      </c>
      <c r="AO741">
        <v>0</v>
      </c>
      <c r="AP741">
        <v>0</v>
      </c>
      <c r="AQ741">
        <v>0</v>
      </c>
      <c r="AR741">
        <v>0</v>
      </c>
      <c r="AS741">
        <v>0</v>
      </c>
      <c r="AT741">
        <v>0</v>
      </c>
      <c r="AU741">
        <v>0</v>
      </c>
      <c r="AV741">
        <v>0</v>
      </c>
      <c r="AW741">
        <v>0</v>
      </c>
      <c r="AX741">
        <v>0</v>
      </c>
      <c r="AY741">
        <v>0</v>
      </c>
      <c r="AZ741">
        <v>0</v>
      </c>
      <c r="BA741">
        <v>0</v>
      </c>
      <c r="BB741">
        <v>0</v>
      </c>
      <c r="BC741">
        <v>0</v>
      </c>
      <c r="BD741">
        <v>0</v>
      </c>
      <c r="BE741">
        <v>0</v>
      </c>
      <c r="BF741">
        <v>0</v>
      </c>
      <c r="BG741">
        <v>0</v>
      </c>
      <c r="BH741">
        <v>1</v>
      </c>
      <c r="BI741">
        <v>42</v>
      </c>
      <c r="BJ741">
        <v>22.5</v>
      </c>
      <c r="BK741">
        <v>42</v>
      </c>
      <c r="BL741">
        <v>251.63</v>
      </c>
      <c r="BM741">
        <v>37.74</v>
      </c>
      <c r="BN741">
        <v>289.37</v>
      </c>
      <c r="BO741">
        <v>289.37</v>
      </c>
      <c r="BQ741" t="s">
        <v>733</v>
      </c>
      <c r="BR741" t="s">
        <v>1860</v>
      </c>
      <c r="BS741" s="3">
        <v>44606</v>
      </c>
      <c r="BT741" s="4">
        <v>0.3923611111111111</v>
      </c>
      <c r="BU741" t="s">
        <v>1513</v>
      </c>
      <c r="BV741" t="s">
        <v>101</v>
      </c>
      <c r="BY741">
        <v>112320</v>
      </c>
      <c r="BZ741" t="s">
        <v>137</v>
      </c>
      <c r="CA741" t="s">
        <v>1649</v>
      </c>
      <c r="CC741" t="s">
        <v>76</v>
      </c>
      <c r="CD741">
        <v>8000</v>
      </c>
      <c r="CE741" t="s">
        <v>130</v>
      </c>
      <c r="CF741" s="3">
        <v>44607</v>
      </c>
      <c r="CI741">
        <v>2</v>
      </c>
      <c r="CJ741">
        <v>1</v>
      </c>
      <c r="CK741">
        <v>41</v>
      </c>
      <c r="CL741" t="s">
        <v>84</v>
      </c>
    </row>
    <row r="742" spans="1:90" x14ac:dyDescent="0.25">
      <c r="A742" t="s">
        <v>1417</v>
      </c>
      <c r="B742" t="s">
        <v>1400</v>
      </c>
      <c r="C742" t="s">
        <v>74</v>
      </c>
      <c r="E742" t="str">
        <f>"009936115821"</f>
        <v>009936115821</v>
      </c>
      <c r="F742" s="3">
        <v>44603</v>
      </c>
      <c r="G742">
        <v>202208</v>
      </c>
      <c r="H742" t="s">
        <v>1436</v>
      </c>
      <c r="I742" t="s">
        <v>1437</v>
      </c>
      <c r="J742" t="s">
        <v>1401</v>
      </c>
      <c r="K742" t="s">
        <v>78</v>
      </c>
      <c r="L742" t="s">
        <v>123</v>
      </c>
      <c r="M742" t="s">
        <v>124</v>
      </c>
      <c r="N742" t="s">
        <v>1401</v>
      </c>
      <c r="O742" t="s">
        <v>125</v>
      </c>
      <c r="P742" t="str">
        <f t="shared" si="14"/>
        <v xml:space="preserve">STORES                        </v>
      </c>
      <c r="Q742">
        <v>0</v>
      </c>
      <c r="R742">
        <v>0</v>
      </c>
      <c r="S742">
        <v>0</v>
      </c>
      <c r="T742">
        <v>0</v>
      </c>
      <c r="U742">
        <v>0</v>
      </c>
      <c r="V742">
        <v>0</v>
      </c>
      <c r="W742">
        <v>0</v>
      </c>
      <c r="X742">
        <v>0</v>
      </c>
      <c r="Y742">
        <v>0</v>
      </c>
      <c r="Z742">
        <v>0</v>
      </c>
      <c r="AA742">
        <v>0</v>
      </c>
      <c r="AB742">
        <v>0</v>
      </c>
      <c r="AC742">
        <v>0</v>
      </c>
      <c r="AD742">
        <v>0</v>
      </c>
      <c r="AE742">
        <v>0</v>
      </c>
      <c r="AF742">
        <v>0</v>
      </c>
      <c r="AG742">
        <v>0</v>
      </c>
      <c r="AH742">
        <v>0</v>
      </c>
      <c r="AI742">
        <v>0</v>
      </c>
      <c r="AJ742">
        <v>0</v>
      </c>
      <c r="AK742">
        <v>93.87</v>
      </c>
      <c r="AL742">
        <v>0</v>
      </c>
      <c r="AM742">
        <v>0</v>
      </c>
      <c r="AN742">
        <v>0</v>
      </c>
      <c r="AO742">
        <v>0</v>
      </c>
      <c r="AP742">
        <v>0</v>
      </c>
      <c r="AQ742">
        <v>0</v>
      </c>
      <c r="AR742">
        <v>0</v>
      </c>
      <c r="AS742">
        <v>0</v>
      </c>
      <c r="AT742">
        <v>0</v>
      </c>
      <c r="AU742">
        <v>0</v>
      </c>
      <c r="AV742">
        <v>0</v>
      </c>
      <c r="AW742">
        <v>0</v>
      </c>
      <c r="AX742">
        <v>0</v>
      </c>
      <c r="AY742">
        <v>0</v>
      </c>
      <c r="AZ742">
        <v>0</v>
      </c>
      <c r="BA742">
        <v>0</v>
      </c>
      <c r="BB742">
        <v>0</v>
      </c>
      <c r="BC742">
        <v>0</v>
      </c>
      <c r="BD742">
        <v>0</v>
      </c>
      <c r="BE742">
        <v>0</v>
      </c>
      <c r="BF742">
        <v>0</v>
      </c>
      <c r="BG742">
        <v>0</v>
      </c>
      <c r="BH742">
        <v>3</v>
      </c>
      <c r="BI742">
        <v>60.8</v>
      </c>
      <c r="BJ742">
        <v>48.1</v>
      </c>
      <c r="BK742">
        <v>61</v>
      </c>
      <c r="BL742">
        <v>342.94</v>
      </c>
      <c r="BM742">
        <v>51.44</v>
      </c>
      <c r="BN742">
        <v>394.38</v>
      </c>
      <c r="BO742">
        <v>394.38</v>
      </c>
      <c r="BQ742" t="s">
        <v>733</v>
      </c>
      <c r="BR742" t="s">
        <v>1443</v>
      </c>
      <c r="BS742" s="3">
        <v>44606</v>
      </c>
      <c r="BT742" s="4">
        <v>0.38541666666666669</v>
      </c>
      <c r="BU742" t="s">
        <v>1861</v>
      </c>
      <c r="BV742" t="s">
        <v>101</v>
      </c>
      <c r="BY742">
        <v>240668.3</v>
      </c>
      <c r="BZ742" t="s">
        <v>137</v>
      </c>
      <c r="CA742" t="s">
        <v>1862</v>
      </c>
      <c r="CC742" t="s">
        <v>124</v>
      </c>
      <c r="CD742">
        <v>6045</v>
      </c>
      <c r="CE742" t="s">
        <v>130</v>
      </c>
      <c r="CF742" s="3">
        <v>44606</v>
      </c>
      <c r="CI742">
        <v>2</v>
      </c>
      <c r="CJ742">
        <v>1</v>
      </c>
      <c r="CK742">
        <v>41</v>
      </c>
      <c r="CL742" t="s">
        <v>84</v>
      </c>
    </row>
    <row r="743" spans="1:90" x14ac:dyDescent="0.25">
      <c r="A743" t="s">
        <v>1417</v>
      </c>
      <c r="B743" t="s">
        <v>1400</v>
      </c>
      <c r="C743" t="s">
        <v>74</v>
      </c>
      <c r="E743" t="str">
        <f>"009936115820"</f>
        <v>009936115820</v>
      </c>
      <c r="F743" s="3">
        <v>44603</v>
      </c>
      <c r="G743">
        <v>202208</v>
      </c>
      <c r="H743" t="s">
        <v>1436</v>
      </c>
      <c r="I743" t="s">
        <v>1437</v>
      </c>
      <c r="J743" t="s">
        <v>1401</v>
      </c>
      <c r="K743" t="s">
        <v>78</v>
      </c>
      <c r="L743" t="s">
        <v>123</v>
      </c>
      <c r="M743" t="s">
        <v>124</v>
      </c>
      <c r="N743" t="s">
        <v>1401</v>
      </c>
      <c r="O743" t="s">
        <v>125</v>
      </c>
      <c r="P743" t="str">
        <f t="shared" si="14"/>
        <v xml:space="preserve">STORES                        </v>
      </c>
      <c r="Q743">
        <v>0</v>
      </c>
      <c r="R743">
        <v>0</v>
      </c>
      <c r="S743">
        <v>0</v>
      </c>
      <c r="T743">
        <v>0</v>
      </c>
      <c r="U743">
        <v>0</v>
      </c>
      <c r="V743">
        <v>0</v>
      </c>
      <c r="W743">
        <v>0</v>
      </c>
      <c r="X743">
        <v>0</v>
      </c>
      <c r="Y743">
        <v>0</v>
      </c>
      <c r="Z743">
        <v>0</v>
      </c>
      <c r="AA743">
        <v>0</v>
      </c>
      <c r="AB743">
        <v>0</v>
      </c>
      <c r="AC743">
        <v>0</v>
      </c>
      <c r="AD743">
        <v>0</v>
      </c>
      <c r="AE743">
        <v>0</v>
      </c>
      <c r="AF743">
        <v>0</v>
      </c>
      <c r="AG743">
        <v>0</v>
      </c>
      <c r="AH743">
        <v>0</v>
      </c>
      <c r="AI743">
        <v>0</v>
      </c>
      <c r="AJ743">
        <v>0</v>
      </c>
      <c r="AK743">
        <v>55.13</v>
      </c>
      <c r="AL743">
        <v>0</v>
      </c>
      <c r="AM743">
        <v>0</v>
      </c>
      <c r="AN743">
        <v>0</v>
      </c>
      <c r="AO743">
        <v>0</v>
      </c>
      <c r="AP743">
        <v>0</v>
      </c>
      <c r="AQ743">
        <v>0</v>
      </c>
      <c r="AR743">
        <v>0</v>
      </c>
      <c r="AS743">
        <v>0</v>
      </c>
      <c r="AT743">
        <v>0</v>
      </c>
      <c r="AU743">
        <v>0</v>
      </c>
      <c r="AV743">
        <v>0</v>
      </c>
      <c r="AW743">
        <v>0</v>
      </c>
      <c r="AX743">
        <v>0</v>
      </c>
      <c r="AY743">
        <v>0</v>
      </c>
      <c r="AZ743">
        <v>0</v>
      </c>
      <c r="BA743">
        <v>0</v>
      </c>
      <c r="BB743">
        <v>0</v>
      </c>
      <c r="BC743">
        <v>0</v>
      </c>
      <c r="BD743">
        <v>0</v>
      </c>
      <c r="BE743">
        <v>0</v>
      </c>
      <c r="BF743">
        <v>0</v>
      </c>
      <c r="BG743">
        <v>0</v>
      </c>
      <c r="BH743">
        <v>2</v>
      </c>
      <c r="BI743">
        <v>13.9</v>
      </c>
      <c r="BJ743">
        <v>31.2</v>
      </c>
      <c r="BK743">
        <v>32</v>
      </c>
      <c r="BL743">
        <v>203.57</v>
      </c>
      <c r="BM743">
        <v>30.54</v>
      </c>
      <c r="BN743">
        <v>234.11</v>
      </c>
      <c r="BO743">
        <v>234.11</v>
      </c>
      <c r="BQ743" t="s">
        <v>733</v>
      </c>
      <c r="BR743" t="s">
        <v>1443</v>
      </c>
      <c r="BS743" s="3">
        <v>44606</v>
      </c>
      <c r="BT743" s="4">
        <v>0.38541666666666669</v>
      </c>
      <c r="BU743" t="s">
        <v>1861</v>
      </c>
      <c r="BV743" t="s">
        <v>101</v>
      </c>
      <c r="BY743">
        <v>156187.85999999999</v>
      </c>
      <c r="BZ743" t="s">
        <v>137</v>
      </c>
      <c r="CA743" t="s">
        <v>1862</v>
      </c>
      <c r="CC743" t="s">
        <v>124</v>
      </c>
      <c r="CD743">
        <v>6045</v>
      </c>
      <c r="CE743" t="s">
        <v>130</v>
      </c>
      <c r="CF743" s="3">
        <v>44606</v>
      </c>
      <c r="CI743">
        <v>2</v>
      </c>
      <c r="CJ743">
        <v>1</v>
      </c>
      <c r="CK743">
        <v>41</v>
      </c>
      <c r="CL743" t="s">
        <v>84</v>
      </c>
    </row>
    <row r="744" spans="1:90" x14ac:dyDescent="0.25">
      <c r="A744" t="s">
        <v>1417</v>
      </c>
      <c r="B744" t="s">
        <v>1400</v>
      </c>
      <c r="C744" t="s">
        <v>74</v>
      </c>
      <c r="E744" t="str">
        <f>"009942086248"</f>
        <v>009942086248</v>
      </c>
      <c r="F744" s="3">
        <v>44606</v>
      </c>
      <c r="G744">
        <v>202208</v>
      </c>
      <c r="H744" t="s">
        <v>123</v>
      </c>
      <c r="I744" t="s">
        <v>124</v>
      </c>
      <c r="J744" t="s">
        <v>1426</v>
      </c>
      <c r="K744" t="s">
        <v>78</v>
      </c>
      <c r="L744" t="s">
        <v>153</v>
      </c>
      <c r="M744" t="s">
        <v>154</v>
      </c>
      <c r="N744" t="s">
        <v>1433</v>
      </c>
      <c r="O744" t="s">
        <v>125</v>
      </c>
      <c r="P744" t="str">
        <f>"                              "</f>
        <v xml:space="preserve">                              </v>
      </c>
      <c r="Q744">
        <v>0</v>
      </c>
      <c r="R744">
        <v>0</v>
      </c>
      <c r="S744">
        <v>0</v>
      </c>
      <c r="T744">
        <v>0</v>
      </c>
      <c r="U744">
        <v>0</v>
      </c>
      <c r="V744">
        <v>0</v>
      </c>
      <c r="W744">
        <v>0</v>
      </c>
      <c r="X744">
        <v>0</v>
      </c>
      <c r="Y744">
        <v>0</v>
      </c>
      <c r="Z744">
        <v>0</v>
      </c>
      <c r="AA744">
        <v>0</v>
      </c>
      <c r="AB744">
        <v>0</v>
      </c>
      <c r="AC744">
        <v>0</v>
      </c>
      <c r="AD744">
        <v>0</v>
      </c>
      <c r="AE744">
        <v>0</v>
      </c>
      <c r="AF744">
        <v>0</v>
      </c>
      <c r="AG744">
        <v>0</v>
      </c>
      <c r="AH744">
        <v>0</v>
      </c>
      <c r="AI744">
        <v>0</v>
      </c>
      <c r="AJ744">
        <v>0</v>
      </c>
      <c r="AK744">
        <v>39.1</v>
      </c>
      <c r="AL744">
        <v>0</v>
      </c>
      <c r="AM744">
        <v>0</v>
      </c>
      <c r="AN744">
        <v>0</v>
      </c>
      <c r="AO744">
        <v>0</v>
      </c>
      <c r="AP744">
        <v>0</v>
      </c>
      <c r="AQ744">
        <v>0</v>
      </c>
      <c r="AR744">
        <v>0</v>
      </c>
      <c r="AS744">
        <v>0</v>
      </c>
      <c r="AT744">
        <v>0</v>
      </c>
      <c r="AU744">
        <v>0</v>
      </c>
      <c r="AV744">
        <v>0</v>
      </c>
      <c r="AW744">
        <v>0</v>
      </c>
      <c r="AX744">
        <v>0</v>
      </c>
      <c r="AY744">
        <v>0</v>
      </c>
      <c r="AZ744">
        <v>0</v>
      </c>
      <c r="BA744">
        <v>0</v>
      </c>
      <c r="BB744">
        <v>0</v>
      </c>
      <c r="BC744">
        <v>0</v>
      </c>
      <c r="BD744">
        <v>0</v>
      </c>
      <c r="BE744">
        <v>0</v>
      </c>
      <c r="BF744">
        <v>0</v>
      </c>
      <c r="BG744">
        <v>0</v>
      </c>
      <c r="BH744">
        <v>2</v>
      </c>
      <c r="BI744">
        <v>20</v>
      </c>
      <c r="BJ744">
        <v>9.6</v>
      </c>
      <c r="BK744">
        <v>20</v>
      </c>
      <c r="BL744">
        <v>145.9</v>
      </c>
      <c r="BM744">
        <v>21.89</v>
      </c>
      <c r="BN744">
        <v>167.79</v>
      </c>
      <c r="BO744">
        <v>167.79</v>
      </c>
      <c r="BQ744" t="s">
        <v>1434</v>
      </c>
      <c r="BR744" t="s">
        <v>1429</v>
      </c>
      <c r="BS744" s="3">
        <v>44608</v>
      </c>
      <c r="BT744" s="4">
        <v>0.36805555555555558</v>
      </c>
      <c r="BU744" t="s">
        <v>1863</v>
      </c>
      <c r="BV744" t="s">
        <v>101</v>
      </c>
      <c r="BY744">
        <v>24000</v>
      </c>
      <c r="BZ744" t="s">
        <v>137</v>
      </c>
      <c r="CA744" t="s">
        <v>928</v>
      </c>
      <c r="CC744" t="s">
        <v>154</v>
      </c>
      <c r="CD744">
        <v>2090</v>
      </c>
      <c r="CE744" t="s">
        <v>130</v>
      </c>
      <c r="CF744" s="3">
        <v>44608</v>
      </c>
      <c r="CI744">
        <v>2</v>
      </c>
      <c r="CJ744">
        <v>2</v>
      </c>
      <c r="CK744">
        <v>41</v>
      </c>
      <c r="CL744" t="s">
        <v>84</v>
      </c>
    </row>
    <row r="745" spans="1:90" x14ac:dyDescent="0.25">
      <c r="A745" t="s">
        <v>1417</v>
      </c>
      <c r="B745" t="s">
        <v>1400</v>
      </c>
      <c r="C745" t="s">
        <v>74</v>
      </c>
      <c r="E745" t="str">
        <f>"009941916046"</f>
        <v>009941916046</v>
      </c>
      <c r="F745" s="3">
        <v>44606</v>
      </c>
      <c r="G745">
        <v>202208</v>
      </c>
      <c r="H745" t="s">
        <v>1436</v>
      </c>
      <c r="I745" t="s">
        <v>1437</v>
      </c>
      <c r="J745" t="s">
        <v>1401</v>
      </c>
      <c r="K745" t="s">
        <v>78</v>
      </c>
      <c r="L745" t="s">
        <v>234</v>
      </c>
      <c r="M745" t="s">
        <v>235</v>
      </c>
      <c r="N745" t="s">
        <v>1401</v>
      </c>
      <c r="O745" t="s">
        <v>80</v>
      </c>
      <c r="P745" t="str">
        <f>"STORES                        "</f>
        <v xml:space="preserve">STORES                        </v>
      </c>
      <c r="Q745">
        <v>0</v>
      </c>
      <c r="R745">
        <v>0</v>
      </c>
      <c r="S745">
        <v>0</v>
      </c>
      <c r="T745">
        <v>0</v>
      </c>
      <c r="U745">
        <v>0</v>
      </c>
      <c r="V745">
        <v>0</v>
      </c>
      <c r="W745">
        <v>0</v>
      </c>
      <c r="X745">
        <v>0</v>
      </c>
      <c r="Y745">
        <v>0</v>
      </c>
      <c r="Z745">
        <v>0</v>
      </c>
      <c r="AA745">
        <v>0</v>
      </c>
      <c r="AB745">
        <v>0</v>
      </c>
      <c r="AC745">
        <v>0</v>
      </c>
      <c r="AD745">
        <v>0</v>
      </c>
      <c r="AE745">
        <v>0</v>
      </c>
      <c r="AF745">
        <v>0</v>
      </c>
      <c r="AG745">
        <v>0</v>
      </c>
      <c r="AH745">
        <v>0</v>
      </c>
      <c r="AI745">
        <v>0</v>
      </c>
      <c r="AJ745">
        <v>0</v>
      </c>
      <c r="AK745">
        <v>16.760000000000002</v>
      </c>
      <c r="AL745">
        <v>0</v>
      </c>
      <c r="AM745">
        <v>0</v>
      </c>
      <c r="AN745">
        <v>0</v>
      </c>
      <c r="AO745">
        <v>0</v>
      </c>
      <c r="AP745">
        <v>0</v>
      </c>
      <c r="AQ745">
        <v>0</v>
      </c>
      <c r="AR745">
        <v>0</v>
      </c>
      <c r="AS745">
        <v>0</v>
      </c>
      <c r="AT745">
        <v>0</v>
      </c>
      <c r="AU745">
        <v>0</v>
      </c>
      <c r="AV745">
        <v>0</v>
      </c>
      <c r="AW745">
        <v>0</v>
      </c>
      <c r="AX745">
        <v>0</v>
      </c>
      <c r="AY745">
        <v>0</v>
      </c>
      <c r="AZ745">
        <v>0</v>
      </c>
      <c r="BA745">
        <v>0</v>
      </c>
      <c r="BB745">
        <v>0</v>
      </c>
      <c r="BC745">
        <v>0</v>
      </c>
      <c r="BD745">
        <v>0</v>
      </c>
      <c r="BE745">
        <v>0</v>
      </c>
      <c r="BF745">
        <v>0</v>
      </c>
      <c r="BG745">
        <v>0</v>
      </c>
      <c r="BH745">
        <v>1</v>
      </c>
      <c r="BI745">
        <v>0.2</v>
      </c>
      <c r="BJ745">
        <v>1.2</v>
      </c>
      <c r="BK745">
        <v>1.5</v>
      </c>
      <c r="BL745">
        <v>60.3</v>
      </c>
      <c r="BM745">
        <v>9.0500000000000007</v>
      </c>
      <c r="BN745">
        <v>69.349999999999994</v>
      </c>
      <c r="BO745">
        <v>69.349999999999994</v>
      </c>
      <c r="BQ745" t="s">
        <v>1763</v>
      </c>
      <c r="BR745" t="s">
        <v>733</v>
      </c>
      <c r="BS745" s="3">
        <v>44607</v>
      </c>
      <c r="BT745" s="4">
        <v>0.38263888888888892</v>
      </c>
      <c r="BU745" t="s">
        <v>1864</v>
      </c>
      <c r="BV745" t="s">
        <v>101</v>
      </c>
      <c r="BY745">
        <v>5980.1</v>
      </c>
      <c r="BZ745" t="s">
        <v>87</v>
      </c>
      <c r="CC745" t="s">
        <v>235</v>
      </c>
      <c r="CD745">
        <v>3200</v>
      </c>
      <c r="CE745" t="s">
        <v>130</v>
      </c>
      <c r="CF745" s="3">
        <v>44609</v>
      </c>
      <c r="CI745">
        <v>1</v>
      </c>
      <c r="CJ745">
        <v>1</v>
      </c>
      <c r="CK745">
        <v>21</v>
      </c>
      <c r="CL745" t="s">
        <v>84</v>
      </c>
    </row>
    <row r="746" spans="1:90" x14ac:dyDescent="0.25">
      <c r="A746" t="s">
        <v>1417</v>
      </c>
      <c r="B746" t="s">
        <v>1400</v>
      </c>
      <c r="C746" t="s">
        <v>74</v>
      </c>
      <c r="E746" t="str">
        <f>"009941915005"</f>
        <v>009941915005</v>
      </c>
      <c r="F746" s="3">
        <v>44606</v>
      </c>
      <c r="G746">
        <v>202208</v>
      </c>
      <c r="H746" t="s">
        <v>1436</v>
      </c>
      <c r="I746" t="s">
        <v>1437</v>
      </c>
      <c r="J746" t="s">
        <v>1523</v>
      </c>
      <c r="K746" t="s">
        <v>78</v>
      </c>
      <c r="L746" t="s">
        <v>496</v>
      </c>
      <c r="M746" t="s">
        <v>497</v>
      </c>
      <c r="N746" t="s">
        <v>1865</v>
      </c>
      <c r="O746" t="s">
        <v>125</v>
      </c>
      <c r="P746" t="str">
        <f>"STORES                        "</f>
        <v xml:space="preserve">STORES                        </v>
      </c>
      <c r="Q746">
        <v>0</v>
      </c>
      <c r="R746">
        <v>0</v>
      </c>
      <c r="S746">
        <v>0</v>
      </c>
      <c r="T746">
        <v>0</v>
      </c>
      <c r="U746">
        <v>0</v>
      </c>
      <c r="V746">
        <v>0</v>
      </c>
      <c r="W746">
        <v>0</v>
      </c>
      <c r="X746">
        <v>0</v>
      </c>
      <c r="Y746">
        <v>0</v>
      </c>
      <c r="Z746">
        <v>0</v>
      </c>
      <c r="AA746">
        <v>0</v>
      </c>
      <c r="AB746">
        <v>0</v>
      </c>
      <c r="AC746">
        <v>0</v>
      </c>
      <c r="AD746">
        <v>0</v>
      </c>
      <c r="AE746">
        <v>0</v>
      </c>
      <c r="AF746">
        <v>0</v>
      </c>
      <c r="AG746">
        <v>0</v>
      </c>
      <c r="AH746">
        <v>0</v>
      </c>
      <c r="AI746">
        <v>0</v>
      </c>
      <c r="AJ746">
        <v>0</v>
      </c>
      <c r="AK746">
        <v>87.19</v>
      </c>
      <c r="AL746">
        <v>0</v>
      </c>
      <c r="AM746">
        <v>0</v>
      </c>
      <c r="AN746">
        <v>0</v>
      </c>
      <c r="AO746">
        <v>0</v>
      </c>
      <c r="AP746">
        <v>0</v>
      </c>
      <c r="AQ746">
        <v>0</v>
      </c>
      <c r="AR746">
        <v>0</v>
      </c>
      <c r="AS746">
        <v>0</v>
      </c>
      <c r="AT746">
        <v>0</v>
      </c>
      <c r="AU746">
        <v>0</v>
      </c>
      <c r="AV746">
        <v>0</v>
      </c>
      <c r="AW746">
        <v>0</v>
      </c>
      <c r="AX746">
        <v>0</v>
      </c>
      <c r="AY746">
        <v>0</v>
      </c>
      <c r="AZ746">
        <v>0</v>
      </c>
      <c r="BA746">
        <v>0</v>
      </c>
      <c r="BB746">
        <v>0</v>
      </c>
      <c r="BC746">
        <v>0</v>
      </c>
      <c r="BD746">
        <v>0</v>
      </c>
      <c r="BE746">
        <v>0</v>
      </c>
      <c r="BF746">
        <v>0</v>
      </c>
      <c r="BG746">
        <v>0</v>
      </c>
      <c r="BH746">
        <v>2</v>
      </c>
      <c r="BI746">
        <v>55.3</v>
      </c>
      <c r="BJ746">
        <v>51.8</v>
      </c>
      <c r="BK746">
        <v>56</v>
      </c>
      <c r="BL746">
        <v>318.91000000000003</v>
      </c>
      <c r="BM746">
        <v>47.84</v>
      </c>
      <c r="BN746">
        <v>366.75</v>
      </c>
      <c r="BO746">
        <v>366.75</v>
      </c>
      <c r="BQ746" t="s">
        <v>1606</v>
      </c>
      <c r="BR746" t="s">
        <v>733</v>
      </c>
      <c r="BS746" s="3">
        <v>44608</v>
      </c>
      <c r="BT746" s="4">
        <v>0.40625</v>
      </c>
      <c r="BU746" t="s">
        <v>1866</v>
      </c>
      <c r="BV746" t="s">
        <v>101</v>
      </c>
      <c r="BY746">
        <v>258998.35</v>
      </c>
      <c r="BZ746" t="s">
        <v>137</v>
      </c>
      <c r="CC746" t="s">
        <v>497</v>
      </c>
      <c r="CD746">
        <v>6536</v>
      </c>
      <c r="CE746" t="s">
        <v>130</v>
      </c>
      <c r="CF746" s="3">
        <v>44609</v>
      </c>
      <c r="CI746">
        <v>2</v>
      </c>
      <c r="CJ746">
        <v>2</v>
      </c>
      <c r="CK746">
        <v>41</v>
      </c>
      <c r="CL746" t="s">
        <v>84</v>
      </c>
    </row>
    <row r="747" spans="1:90" x14ac:dyDescent="0.25">
      <c r="A747" t="s">
        <v>1417</v>
      </c>
      <c r="B747" t="s">
        <v>1400</v>
      </c>
      <c r="C747" t="s">
        <v>74</v>
      </c>
      <c r="E747" t="str">
        <f>"009941940512"</f>
        <v>009941940512</v>
      </c>
      <c r="F747" s="3">
        <v>44607</v>
      </c>
      <c r="G747">
        <v>202208</v>
      </c>
      <c r="H747" t="s">
        <v>159</v>
      </c>
      <c r="I747" t="s">
        <v>160</v>
      </c>
      <c r="J747" t="s">
        <v>1523</v>
      </c>
      <c r="K747" t="s">
        <v>78</v>
      </c>
      <c r="L747" t="s">
        <v>153</v>
      </c>
      <c r="M747" t="s">
        <v>154</v>
      </c>
      <c r="N747" t="s">
        <v>1401</v>
      </c>
      <c r="O747" t="s">
        <v>125</v>
      </c>
      <c r="P747" t="str">
        <f>"                              "</f>
        <v xml:space="preserve">                              </v>
      </c>
      <c r="Q747">
        <v>0</v>
      </c>
      <c r="R747">
        <v>0</v>
      </c>
      <c r="S747">
        <v>0</v>
      </c>
      <c r="T747">
        <v>0</v>
      </c>
      <c r="U747">
        <v>0</v>
      </c>
      <c r="V747">
        <v>0</v>
      </c>
      <c r="W747">
        <v>0</v>
      </c>
      <c r="X747">
        <v>0</v>
      </c>
      <c r="Y747">
        <v>0</v>
      </c>
      <c r="Z747">
        <v>0</v>
      </c>
      <c r="AA747">
        <v>0</v>
      </c>
      <c r="AB747">
        <v>0</v>
      </c>
      <c r="AC747">
        <v>0</v>
      </c>
      <c r="AD747">
        <v>0</v>
      </c>
      <c r="AE747">
        <v>0</v>
      </c>
      <c r="AF747">
        <v>0</v>
      </c>
      <c r="AG747">
        <v>0</v>
      </c>
      <c r="AH747">
        <v>0</v>
      </c>
      <c r="AI747">
        <v>0</v>
      </c>
      <c r="AJ747">
        <v>0</v>
      </c>
      <c r="AK747">
        <v>48.06</v>
      </c>
      <c r="AL747">
        <v>0</v>
      </c>
      <c r="AM747">
        <v>0</v>
      </c>
      <c r="AN747">
        <v>0</v>
      </c>
      <c r="AO747">
        <v>0</v>
      </c>
      <c r="AP747">
        <v>0</v>
      </c>
      <c r="AQ747">
        <v>15</v>
      </c>
      <c r="AR747">
        <v>0</v>
      </c>
      <c r="AS747">
        <v>0</v>
      </c>
      <c r="AT747">
        <v>0</v>
      </c>
      <c r="AU747">
        <v>0</v>
      </c>
      <c r="AV747">
        <v>0</v>
      </c>
      <c r="AW747">
        <v>0</v>
      </c>
      <c r="AX747">
        <v>0</v>
      </c>
      <c r="AY747">
        <v>0</v>
      </c>
      <c r="AZ747">
        <v>0</v>
      </c>
      <c r="BA747">
        <v>0</v>
      </c>
      <c r="BB747">
        <v>0</v>
      </c>
      <c r="BC747">
        <v>0</v>
      </c>
      <c r="BD747">
        <v>0</v>
      </c>
      <c r="BE747">
        <v>0</v>
      </c>
      <c r="BF747">
        <v>0</v>
      </c>
      <c r="BG747">
        <v>0</v>
      </c>
      <c r="BH747">
        <v>4</v>
      </c>
      <c r="BI747">
        <v>13</v>
      </c>
      <c r="BJ747">
        <v>15.6</v>
      </c>
      <c r="BK747">
        <v>16</v>
      </c>
      <c r="BL747">
        <v>193.13</v>
      </c>
      <c r="BM747">
        <v>28.97</v>
      </c>
      <c r="BN747">
        <v>222.1</v>
      </c>
      <c r="BO747">
        <v>222.1</v>
      </c>
      <c r="BQ747" t="s">
        <v>311</v>
      </c>
      <c r="BR747" t="s">
        <v>1454</v>
      </c>
      <c r="BS747" s="3">
        <v>44608</v>
      </c>
      <c r="BT747" s="4">
        <v>0.36805555555555558</v>
      </c>
      <c r="BU747" t="s">
        <v>1831</v>
      </c>
      <c r="BV747" t="s">
        <v>101</v>
      </c>
      <c r="BY747">
        <v>68862</v>
      </c>
      <c r="BZ747" t="s">
        <v>1463</v>
      </c>
      <c r="CA747" t="s">
        <v>928</v>
      </c>
      <c r="CC747" t="s">
        <v>154</v>
      </c>
      <c r="CD747">
        <v>2000</v>
      </c>
      <c r="CE747" t="s">
        <v>130</v>
      </c>
      <c r="CF747" s="3">
        <v>44608</v>
      </c>
      <c r="CI747">
        <v>1</v>
      </c>
      <c r="CJ747">
        <v>1</v>
      </c>
      <c r="CK747">
        <v>43</v>
      </c>
      <c r="CL747" t="s">
        <v>84</v>
      </c>
    </row>
    <row r="748" spans="1:90" x14ac:dyDescent="0.25">
      <c r="A748" t="s">
        <v>1417</v>
      </c>
      <c r="B748" t="s">
        <v>1400</v>
      </c>
      <c r="C748" t="s">
        <v>74</v>
      </c>
      <c r="E748" t="str">
        <f>"009942086275"</f>
        <v>009942086275</v>
      </c>
      <c r="F748" s="3">
        <v>44606</v>
      </c>
      <c r="G748">
        <v>202208</v>
      </c>
      <c r="H748" t="s">
        <v>123</v>
      </c>
      <c r="I748" t="s">
        <v>124</v>
      </c>
      <c r="J748" t="s">
        <v>1426</v>
      </c>
      <c r="K748" t="s">
        <v>78</v>
      </c>
      <c r="L748" t="s">
        <v>971</v>
      </c>
      <c r="M748" t="s">
        <v>972</v>
      </c>
      <c r="N748" t="s">
        <v>1401</v>
      </c>
      <c r="O748" t="s">
        <v>125</v>
      </c>
      <c r="P748" t="str">
        <f>"                              "</f>
        <v xml:space="preserve">                              </v>
      </c>
      <c r="Q748">
        <v>0</v>
      </c>
      <c r="R748">
        <v>0</v>
      </c>
      <c r="S748">
        <v>0</v>
      </c>
      <c r="T748">
        <v>0</v>
      </c>
      <c r="U748">
        <v>0</v>
      </c>
      <c r="V748">
        <v>0</v>
      </c>
      <c r="W748">
        <v>0</v>
      </c>
      <c r="X748">
        <v>0</v>
      </c>
      <c r="Y748">
        <v>0</v>
      </c>
      <c r="Z748">
        <v>0</v>
      </c>
      <c r="AA748">
        <v>0</v>
      </c>
      <c r="AB748">
        <v>0</v>
      </c>
      <c r="AC748">
        <v>0</v>
      </c>
      <c r="AD748">
        <v>0</v>
      </c>
      <c r="AE748">
        <v>0</v>
      </c>
      <c r="AF748">
        <v>0</v>
      </c>
      <c r="AG748">
        <v>0</v>
      </c>
      <c r="AH748">
        <v>0</v>
      </c>
      <c r="AI748">
        <v>0</v>
      </c>
      <c r="AJ748">
        <v>0</v>
      </c>
      <c r="AK748">
        <v>45.72</v>
      </c>
      <c r="AL748">
        <v>0</v>
      </c>
      <c r="AM748">
        <v>0</v>
      </c>
      <c r="AN748">
        <v>0</v>
      </c>
      <c r="AO748">
        <v>0</v>
      </c>
      <c r="AP748">
        <v>0</v>
      </c>
      <c r="AQ748">
        <v>0</v>
      </c>
      <c r="AR748">
        <v>0</v>
      </c>
      <c r="AS748">
        <v>0</v>
      </c>
      <c r="AT748">
        <v>0</v>
      </c>
      <c r="AU748">
        <v>0</v>
      </c>
      <c r="AV748">
        <v>0</v>
      </c>
      <c r="AW748">
        <v>0</v>
      </c>
      <c r="AX748">
        <v>0</v>
      </c>
      <c r="AY748">
        <v>0</v>
      </c>
      <c r="AZ748">
        <v>0</v>
      </c>
      <c r="BA748">
        <v>0</v>
      </c>
      <c r="BB748">
        <v>0</v>
      </c>
      <c r="BC748">
        <v>0</v>
      </c>
      <c r="BD748">
        <v>0</v>
      </c>
      <c r="BE748">
        <v>0</v>
      </c>
      <c r="BF748">
        <v>0</v>
      </c>
      <c r="BG748">
        <v>0</v>
      </c>
      <c r="BH748">
        <v>1</v>
      </c>
      <c r="BI748">
        <v>10</v>
      </c>
      <c r="BJ748">
        <v>4.8</v>
      </c>
      <c r="BK748">
        <v>10</v>
      </c>
      <c r="BL748">
        <v>169.72</v>
      </c>
      <c r="BM748">
        <v>25.46</v>
      </c>
      <c r="BN748">
        <v>195.18</v>
      </c>
      <c r="BO748">
        <v>195.18</v>
      </c>
      <c r="BQ748" t="s">
        <v>1688</v>
      </c>
      <c r="BR748" t="s">
        <v>1429</v>
      </c>
      <c r="BS748" s="3">
        <v>44608</v>
      </c>
      <c r="BT748" s="4">
        <v>0.5625</v>
      </c>
      <c r="BU748" t="s">
        <v>1846</v>
      </c>
      <c r="BV748" t="s">
        <v>101</v>
      </c>
      <c r="BY748">
        <v>24000</v>
      </c>
      <c r="BZ748" t="s">
        <v>137</v>
      </c>
      <c r="CC748" t="s">
        <v>972</v>
      </c>
      <c r="CD748">
        <v>5320</v>
      </c>
      <c r="CE748" t="s">
        <v>130</v>
      </c>
      <c r="CF748" s="3">
        <v>44610</v>
      </c>
      <c r="CI748">
        <v>5</v>
      </c>
      <c r="CJ748">
        <v>2</v>
      </c>
      <c r="CK748">
        <v>43</v>
      </c>
      <c r="CL748" t="s">
        <v>84</v>
      </c>
    </row>
    <row r="749" spans="1:90" x14ac:dyDescent="0.25">
      <c r="A749" t="s">
        <v>1417</v>
      </c>
      <c r="B749" t="s">
        <v>1400</v>
      </c>
      <c r="C749" t="s">
        <v>74</v>
      </c>
      <c r="E749" t="str">
        <f>"009941567778"</f>
        <v>009941567778</v>
      </c>
      <c r="F749" s="3">
        <v>44606</v>
      </c>
      <c r="G749">
        <v>202208</v>
      </c>
      <c r="H749" t="s">
        <v>1436</v>
      </c>
      <c r="I749" t="s">
        <v>1437</v>
      </c>
      <c r="J749" t="s">
        <v>1401</v>
      </c>
      <c r="K749" t="s">
        <v>78</v>
      </c>
      <c r="L749" t="s">
        <v>234</v>
      </c>
      <c r="M749" t="s">
        <v>235</v>
      </c>
      <c r="N749" t="s">
        <v>1401</v>
      </c>
      <c r="O749" t="s">
        <v>80</v>
      </c>
      <c r="P749" t="str">
        <f>"STORES                        "</f>
        <v xml:space="preserve">STORES                        </v>
      </c>
      <c r="Q749">
        <v>0</v>
      </c>
      <c r="R749">
        <v>0</v>
      </c>
      <c r="S749">
        <v>0</v>
      </c>
      <c r="T749">
        <v>0</v>
      </c>
      <c r="U749">
        <v>0</v>
      </c>
      <c r="V749">
        <v>0</v>
      </c>
      <c r="W749">
        <v>0</v>
      </c>
      <c r="X749">
        <v>0</v>
      </c>
      <c r="Y749">
        <v>0</v>
      </c>
      <c r="Z749">
        <v>0</v>
      </c>
      <c r="AA749">
        <v>0</v>
      </c>
      <c r="AB749">
        <v>0</v>
      </c>
      <c r="AC749">
        <v>0</v>
      </c>
      <c r="AD749">
        <v>0</v>
      </c>
      <c r="AE749">
        <v>0</v>
      </c>
      <c r="AF749">
        <v>0</v>
      </c>
      <c r="AG749">
        <v>0</v>
      </c>
      <c r="AH749">
        <v>0</v>
      </c>
      <c r="AI749">
        <v>0</v>
      </c>
      <c r="AJ749">
        <v>0</v>
      </c>
      <c r="AK749">
        <v>16.760000000000002</v>
      </c>
      <c r="AL749">
        <v>0</v>
      </c>
      <c r="AM749">
        <v>0</v>
      </c>
      <c r="AN749">
        <v>0</v>
      </c>
      <c r="AO749">
        <v>0</v>
      </c>
      <c r="AP749">
        <v>0</v>
      </c>
      <c r="AQ749">
        <v>0</v>
      </c>
      <c r="AR749">
        <v>0</v>
      </c>
      <c r="AS749">
        <v>0</v>
      </c>
      <c r="AT749">
        <v>0</v>
      </c>
      <c r="AU749">
        <v>0</v>
      </c>
      <c r="AV749">
        <v>0</v>
      </c>
      <c r="AW749">
        <v>0</v>
      </c>
      <c r="AX749">
        <v>0</v>
      </c>
      <c r="AY749">
        <v>0</v>
      </c>
      <c r="AZ749">
        <v>0</v>
      </c>
      <c r="BA749">
        <v>0</v>
      </c>
      <c r="BB749">
        <v>0</v>
      </c>
      <c r="BC749">
        <v>0</v>
      </c>
      <c r="BD749">
        <v>0</v>
      </c>
      <c r="BE749">
        <v>0</v>
      </c>
      <c r="BF749">
        <v>0</v>
      </c>
      <c r="BG749">
        <v>0</v>
      </c>
      <c r="BH749">
        <v>1</v>
      </c>
      <c r="BI749">
        <v>1</v>
      </c>
      <c r="BJ749">
        <v>0.2</v>
      </c>
      <c r="BK749">
        <v>1</v>
      </c>
      <c r="BL749">
        <v>60.3</v>
      </c>
      <c r="BM749">
        <v>9.0500000000000007</v>
      </c>
      <c r="BN749">
        <v>69.349999999999994</v>
      </c>
      <c r="BO749">
        <v>69.349999999999994</v>
      </c>
      <c r="BQ749" t="s">
        <v>1867</v>
      </c>
      <c r="BR749" t="s">
        <v>1440</v>
      </c>
      <c r="BS749" s="3">
        <v>44607</v>
      </c>
      <c r="BT749" s="4">
        <v>0.38263888888888892</v>
      </c>
      <c r="BU749" t="s">
        <v>1857</v>
      </c>
      <c r="BV749" t="s">
        <v>101</v>
      </c>
      <c r="BY749">
        <v>1200</v>
      </c>
      <c r="BZ749" t="s">
        <v>87</v>
      </c>
      <c r="CC749" t="s">
        <v>235</v>
      </c>
      <c r="CD749">
        <v>3200</v>
      </c>
      <c r="CE749" t="s">
        <v>130</v>
      </c>
      <c r="CF749" s="3">
        <v>44609</v>
      </c>
      <c r="CI749">
        <v>1</v>
      </c>
      <c r="CJ749">
        <v>1</v>
      </c>
      <c r="CK749">
        <v>21</v>
      </c>
      <c r="CL749" t="s">
        <v>84</v>
      </c>
    </row>
    <row r="750" spans="1:90" x14ac:dyDescent="0.25">
      <c r="A750" t="s">
        <v>1399</v>
      </c>
      <c r="B750" t="s">
        <v>1400</v>
      </c>
      <c r="C750" t="s">
        <v>74</v>
      </c>
      <c r="E750" t="str">
        <f>"009941258070"</f>
        <v>009941258070</v>
      </c>
      <c r="F750" s="3">
        <v>44606</v>
      </c>
      <c r="G750">
        <v>202208</v>
      </c>
      <c r="H750" t="s">
        <v>649</v>
      </c>
      <c r="I750" t="s">
        <v>650</v>
      </c>
      <c r="J750" t="s">
        <v>1523</v>
      </c>
      <c r="K750" t="s">
        <v>78</v>
      </c>
      <c r="L750" t="s">
        <v>123</v>
      </c>
      <c r="M750" t="s">
        <v>124</v>
      </c>
      <c r="N750" t="s">
        <v>1523</v>
      </c>
      <c r="O750" t="s">
        <v>125</v>
      </c>
      <c r="P750" t="str">
        <f>"                              "</f>
        <v xml:space="preserve">                              </v>
      </c>
      <c r="Q750">
        <v>0</v>
      </c>
      <c r="R750">
        <v>0</v>
      </c>
      <c r="S750">
        <v>0</v>
      </c>
      <c r="T750">
        <v>0</v>
      </c>
      <c r="U750">
        <v>0</v>
      </c>
      <c r="V750">
        <v>0</v>
      </c>
      <c r="W750">
        <v>0</v>
      </c>
      <c r="X750">
        <v>0</v>
      </c>
      <c r="Y750">
        <v>0</v>
      </c>
      <c r="Z750">
        <v>0</v>
      </c>
      <c r="AA750">
        <v>0</v>
      </c>
      <c r="AB750">
        <v>0</v>
      </c>
      <c r="AC750">
        <v>0</v>
      </c>
      <c r="AD750">
        <v>0</v>
      </c>
      <c r="AE750">
        <v>0</v>
      </c>
      <c r="AF750">
        <v>0</v>
      </c>
      <c r="AG750">
        <v>0</v>
      </c>
      <c r="AH750">
        <v>0</v>
      </c>
      <c r="AI750">
        <v>0</v>
      </c>
      <c r="AJ750">
        <v>0</v>
      </c>
      <c r="AK750">
        <v>71.16</v>
      </c>
      <c r="AL750">
        <v>0</v>
      </c>
      <c r="AM750">
        <v>0</v>
      </c>
      <c r="AN750">
        <v>0</v>
      </c>
      <c r="AO750">
        <v>0</v>
      </c>
      <c r="AP750">
        <v>0</v>
      </c>
      <c r="AQ750">
        <v>0</v>
      </c>
      <c r="AR750">
        <v>0</v>
      </c>
      <c r="AS750">
        <v>0</v>
      </c>
      <c r="AT750">
        <v>0</v>
      </c>
      <c r="AU750">
        <v>0</v>
      </c>
      <c r="AV750">
        <v>0</v>
      </c>
      <c r="AW750">
        <v>0</v>
      </c>
      <c r="AX750">
        <v>0</v>
      </c>
      <c r="AY750">
        <v>0</v>
      </c>
      <c r="AZ750">
        <v>0</v>
      </c>
      <c r="BA750">
        <v>0</v>
      </c>
      <c r="BB750">
        <v>0</v>
      </c>
      <c r="BC750">
        <v>0</v>
      </c>
      <c r="BD750">
        <v>0</v>
      </c>
      <c r="BE750">
        <v>0</v>
      </c>
      <c r="BF750">
        <v>0</v>
      </c>
      <c r="BG750">
        <v>0</v>
      </c>
      <c r="BH750">
        <v>1</v>
      </c>
      <c r="BI750">
        <v>40</v>
      </c>
      <c r="BJ750">
        <v>44</v>
      </c>
      <c r="BK750">
        <v>44</v>
      </c>
      <c r="BL750">
        <v>261.24</v>
      </c>
      <c r="BM750">
        <v>39.19</v>
      </c>
      <c r="BN750">
        <v>300.43</v>
      </c>
      <c r="BO750">
        <v>300.43</v>
      </c>
      <c r="BQ750" t="s">
        <v>1429</v>
      </c>
      <c r="BR750" t="s">
        <v>1430</v>
      </c>
      <c r="BS750" s="3">
        <v>44607</v>
      </c>
      <c r="BT750" s="4">
        <v>0.41805555555555557</v>
      </c>
      <c r="BU750" t="s">
        <v>1604</v>
      </c>
      <c r="BV750" t="s">
        <v>101</v>
      </c>
      <c r="BY750">
        <v>220160</v>
      </c>
      <c r="BZ750" t="s">
        <v>137</v>
      </c>
      <c r="CA750" t="s">
        <v>1445</v>
      </c>
      <c r="CC750" t="s">
        <v>124</v>
      </c>
      <c r="CD750">
        <v>6000</v>
      </c>
      <c r="CE750" t="s">
        <v>1868</v>
      </c>
      <c r="CF750" s="3">
        <v>44608</v>
      </c>
      <c r="CI750">
        <v>1</v>
      </c>
      <c r="CJ750">
        <v>1</v>
      </c>
      <c r="CK750">
        <v>41</v>
      </c>
      <c r="CL750" t="s">
        <v>84</v>
      </c>
    </row>
    <row r="751" spans="1:90" x14ac:dyDescent="0.25">
      <c r="A751" t="s">
        <v>1417</v>
      </c>
      <c r="B751" t="s">
        <v>1400</v>
      </c>
      <c r="C751" t="s">
        <v>74</v>
      </c>
      <c r="E751" t="str">
        <f>"009941856386"</f>
        <v>009941856386</v>
      </c>
      <c r="F751" s="3">
        <v>44606</v>
      </c>
      <c r="G751">
        <v>202208</v>
      </c>
      <c r="H751" t="s">
        <v>1436</v>
      </c>
      <c r="I751" t="s">
        <v>1437</v>
      </c>
      <c r="J751" t="s">
        <v>1401</v>
      </c>
      <c r="K751" t="s">
        <v>78</v>
      </c>
      <c r="L751" t="s">
        <v>441</v>
      </c>
      <c r="M751" t="s">
        <v>442</v>
      </c>
      <c r="N751" t="s">
        <v>1401</v>
      </c>
      <c r="O751" t="s">
        <v>80</v>
      </c>
      <c r="P751" t="str">
        <f>"STORES                        "</f>
        <v xml:space="preserve">STORES                        </v>
      </c>
      <c r="Q751">
        <v>0</v>
      </c>
      <c r="R751">
        <v>0</v>
      </c>
      <c r="S751">
        <v>0</v>
      </c>
      <c r="T751">
        <v>0</v>
      </c>
      <c r="U751">
        <v>0</v>
      </c>
      <c r="V751">
        <v>0</v>
      </c>
      <c r="W751">
        <v>0</v>
      </c>
      <c r="X751">
        <v>0</v>
      </c>
      <c r="Y751">
        <v>0</v>
      </c>
      <c r="Z751">
        <v>0</v>
      </c>
      <c r="AA751">
        <v>0</v>
      </c>
      <c r="AB751">
        <v>0</v>
      </c>
      <c r="AC751">
        <v>0</v>
      </c>
      <c r="AD751">
        <v>0</v>
      </c>
      <c r="AE751">
        <v>0</v>
      </c>
      <c r="AF751">
        <v>0</v>
      </c>
      <c r="AG751">
        <v>0</v>
      </c>
      <c r="AH751">
        <v>0</v>
      </c>
      <c r="AI751">
        <v>0</v>
      </c>
      <c r="AJ751">
        <v>0</v>
      </c>
      <c r="AK751">
        <v>32.479999999999997</v>
      </c>
      <c r="AL751">
        <v>0</v>
      </c>
      <c r="AM751">
        <v>0</v>
      </c>
      <c r="AN751">
        <v>0</v>
      </c>
      <c r="AO751">
        <v>0</v>
      </c>
      <c r="AP751">
        <v>0</v>
      </c>
      <c r="AQ751">
        <v>0</v>
      </c>
      <c r="AR751">
        <v>0</v>
      </c>
      <c r="AS751">
        <v>0</v>
      </c>
      <c r="AT751">
        <v>0</v>
      </c>
      <c r="AU751">
        <v>0</v>
      </c>
      <c r="AV751">
        <v>0</v>
      </c>
      <c r="AW751">
        <v>0</v>
      </c>
      <c r="AX751">
        <v>0</v>
      </c>
      <c r="AY751">
        <v>0</v>
      </c>
      <c r="AZ751">
        <v>0</v>
      </c>
      <c r="BA751">
        <v>0</v>
      </c>
      <c r="BB751">
        <v>0</v>
      </c>
      <c r="BC751">
        <v>0</v>
      </c>
      <c r="BD751">
        <v>0</v>
      </c>
      <c r="BE751">
        <v>0</v>
      </c>
      <c r="BF751">
        <v>0</v>
      </c>
      <c r="BG751">
        <v>0</v>
      </c>
      <c r="BH751">
        <v>1</v>
      </c>
      <c r="BI751">
        <v>1.8</v>
      </c>
      <c r="BJ751">
        <v>1.6</v>
      </c>
      <c r="BK751">
        <v>2</v>
      </c>
      <c r="BL751">
        <v>116.84</v>
      </c>
      <c r="BM751">
        <v>17.53</v>
      </c>
      <c r="BN751">
        <v>134.37</v>
      </c>
      <c r="BO751">
        <v>134.37</v>
      </c>
      <c r="BQ751" t="s">
        <v>1494</v>
      </c>
      <c r="BR751" t="s">
        <v>1443</v>
      </c>
      <c r="BS751" s="3">
        <v>44607</v>
      </c>
      <c r="BT751" s="4">
        <v>0.39444444444444443</v>
      </c>
      <c r="BU751" t="s">
        <v>1669</v>
      </c>
      <c r="BV751" t="s">
        <v>101</v>
      </c>
      <c r="BY751">
        <v>8189.59</v>
      </c>
      <c r="BZ751" t="s">
        <v>87</v>
      </c>
      <c r="CA751" t="s">
        <v>1496</v>
      </c>
      <c r="CC751" t="s">
        <v>442</v>
      </c>
      <c r="CD751">
        <v>1034</v>
      </c>
      <c r="CE751" t="s">
        <v>130</v>
      </c>
      <c r="CF751" s="3">
        <v>44607</v>
      </c>
      <c r="CI751">
        <v>1</v>
      </c>
      <c r="CJ751">
        <v>1</v>
      </c>
      <c r="CK751">
        <v>23</v>
      </c>
      <c r="CL751" t="s">
        <v>84</v>
      </c>
    </row>
    <row r="752" spans="1:90" x14ac:dyDescent="0.25">
      <c r="A752" t="s">
        <v>1417</v>
      </c>
      <c r="B752" t="s">
        <v>1400</v>
      </c>
      <c r="C752" t="s">
        <v>74</v>
      </c>
      <c r="E752" t="str">
        <f>"009941915427"</f>
        <v>009941915427</v>
      </c>
      <c r="F752" s="3">
        <v>44606</v>
      </c>
      <c r="G752">
        <v>202208</v>
      </c>
      <c r="H752" t="s">
        <v>1436</v>
      </c>
      <c r="I752" t="s">
        <v>1437</v>
      </c>
      <c r="J752" t="s">
        <v>1401</v>
      </c>
      <c r="K752" t="s">
        <v>78</v>
      </c>
      <c r="L752" t="s">
        <v>282</v>
      </c>
      <c r="M752" t="s">
        <v>283</v>
      </c>
      <c r="N752" t="s">
        <v>1401</v>
      </c>
      <c r="O752" t="s">
        <v>80</v>
      </c>
      <c r="P752" t="str">
        <f>"STORES                        "</f>
        <v xml:space="preserve">STORES                        </v>
      </c>
      <c r="Q752">
        <v>0</v>
      </c>
      <c r="R752">
        <v>0</v>
      </c>
      <c r="S752">
        <v>0</v>
      </c>
      <c r="T752">
        <v>0</v>
      </c>
      <c r="U752">
        <v>0</v>
      </c>
      <c r="V752">
        <v>0</v>
      </c>
      <c r="W752">
        <v>0</v>
      </c>
      <c r="X752">
        <v>0</v>
      </c>
      <c r="Y752">
        <v>0</v>
      </c>
      <c r="Z752">
        <v>0</v>
      </c>
      <c r="AA752">
        <v>0</v>
      </c>
      <c r="AB752">
        <v>0</v>
      </c>
      <c r="AC752">
        <v>0</v>
      </c>
      <c r="AD752">
        <v>0</v>
      </c>
      <c r="AE752">
        <v>0</v>
      </c>
      <c r="AF752">
        <v>0</v>
      </c>
      <c r="AG752">
        <v>0</v>
      </c>
      <c r="AH752">
        <v>0</v>
      </c>
      <c r="AI752">
        <v>0</v>
      </c>
      <c r="AJ752">
        <v>0</v>
      </c>
      <c r="AK752">
        <v>32.479999999999997</v>
      </c>
      <c r="AL752">
        <v>0</v>
      </c>
      <c r="AM752">
        <v>0</v>
      </c>
      <c r="AN752">
        <v>0</v>
      </c>
      <c r="AO752">
        <v>0</v>
      </c>
      <c r="AP752">
        <v>0</v>
      </c>
      <c r="AQ752">
        <v>0</v>
      </c>
      <c r="AR752">
        <v>0</v>
      </c>
      <c r="AS752">
        <v>0</v>
      </c>
      <c r="AT752">
        <v>0</v>
      </c>
      <c r="AU752">
        <v>0</v>
      </c>
      <c r="AV752">
        <v>0</v>
      </c>
      <c r="AW752">
        <v>0</v>
      </c>
      <c r="AX752">
        <v>0</v>
      </c>
      <c r="AY752">
        <v>0</v>
      </c>
      <c r="AZ752">
        <v>0</v>
      </c>
      <c r="BA752">
        <v>0</v>
      </c>
      <c r="BB752">
        <v>0</v>
      </c>
      <c r="BC752">
        <v>0</v>
      </c>
      <c r="BD752">
        <v>0</v>
      </c>
      <c r="BE752">
        <v>0</v>
      </c>
      <c r="BF752">
        <v>0</v>
      </c>
      <c r="BG752">
        <v>0</v>
      </c>
      <c r="BH752">
        <v>1</v>
      </c>
      <c r="BI752">
        <v>1</v>
      </c>
      <c r="BJ752">
        <v>0.2</v>
      </c>
      <c r="BK752">
        <v>1</v>
      </c>
      <c r="BL752">
        <v>116.84</v>
      </c>
      <c r="BM752">
        <v>17.53</v>
      </c>
      <c r="BN752">
        <v>134.37</v>
      </c>
      <c r="BO752">
        <v>134.37</v>
      </c>
      <c r="BQ752" t="s">
        <v>1528</v>
      </c>
      <c r="BR752" t="s">
        <v>733</v>
      </c>
      <c r="BS752" s="3">
        <v>44607</v>
      </c>
      <c r="BT752" s="4">
        <v>0.41111111111111115</v>
      </c>
      <c r="BU752" t="s">
        <v>1522</v>
      </c>
      <c r="BV752" t="s">
        <v>101</v>
      </c>
      <c r="BY752">
        <v>1200</v>
      </c>
      <c r="BZ752" t="s">
        <v>87</v>
      </c>
      <c r="CA752" t="s">
        <v>287</v>
      </c>
      <c r="CC752" t="s">
        <v>283</v>
      </c>
      <c r="CD752">
        <v>300</v>
      </c>
      <c r="CE752" t="s">
        <v>130</v>
      </c>
      <c r="CF752" s="3">
        <v>44607</v>
      </c>
      <c r="CI752">
        <v>1</v>
      </c>
      <c r="CJ752">
        <v>1</v>
      </c>
      <c r="CK752">
        <v>23</v>
      </c>
      <c r="CL752" t="s">
        <v>84</v>
      </c>
    </row>
    <row r="753" spans="1:90" x14ac:dyDescent="0.25">
      <c r="A753" t="s">
        <v>1417</v>
      </c>
      <c r="B753" t="s">
        <v>1400</v>
      </c>
      <c r="C753" t="s">
        <v>74</v>
      </c>
      <c r="E753" t="str">
        <f>"009941618982"</f>
        <v>009941618982</v>
      </c>
      <c r="F753" s="3">
        <v>44606</v>
      </c>
      <c r="G753">
        <v>202208</v>
      </c>
      <c r="H753" t="s">
        <v>1436</v>
      </c>
      <c r="I753" t="s">
        <v>1437</v>
      </c>
      <c r="J753" t="s">
        <v>1401</v>
      </c>
      <c r="K753" t="s">
        <v>78</v>
      </c>
      <c r="L753" t="s">
        <v>131</v>
      </c>
      <c r="M753" t="s">
        <v>132</v>
      </c>
      <c r="N753" t="s">
        <v>1869</v>
      </c>
      <c r="O753" t="s">
        <v>80</v>
      </c>
      <c r="P753" t="str">
        <f>"STORES                        "</f>
        <v xml:space="preserve">STORES                        </v>
      </c>
      <c r="Q753">
        <v>0</v>
      </c>
      <c r="R753">
        <v>0</v>
      </c>
      <c r="S753">
        <v>0</v>
      </c>
      <c r="T753">
        <v>0</v>
      </c>
      <c r="U753">
        <v>0</v>
      </c>
      <c r="V753">
        <v>0</v>
      </c>
      <c r="W753">
        <v>0</v>
      </c>
      <c r="X753">
        <v>0</v>
      </c>
      <c r="Y753">
        <v>0</v>
      </c>
      <c r="Z753">
        <v>0</v>
      </c>
      <c r="AA753">
        <v>0</v>
      </c>
      <c r="AB753">
        <v>0</v>
      </c>
      <c r="AC753">
        <v>0</v>
      </c>
      <c r="AD753">
        <v>0</v>
      </c>
      <c r="AE753">
        <v>0</v>
      </c>
      <c r="AF753">
        <v>0</v>
      </c>
      <c r="AG753">
        <v>0</v>
      </c>
      <c r="AH753">
        <v>0</v>
      </c>
      <c r="AI753">
        <v>0</v>
      </c>
      <c r="AJ753">
        <v>0</v>
      </c>
      <c r="AK753">
        <v>16.760000000000002</v>
      </c>
      <c r="AL753">
        <v>0</v>
      </c>
      <c r="AM753">
        <v>0</v>
      </c>
      <c r="AN753">
        <v>0</v>
      </c>
      <c r="AO753">
        <v>0</v>
      </c>
      <c r="AP753">
        <v>0</v>
      </c>
      <c r="AQ753">
        <v>0</v>
      </c>
      <c r="AR753">
        <v>0</v>
      </c>
      <c r="AS753">
        <v>0</v>
      </c>
      <c r="AT753">
        <v>0</v>
      </c>
      <c r="AU753">
        <v>0</v>
      </c>
      <c r="AV753">
        <v>0</v>
      </c>
      <c r="AW753">
        <v>0</v>
      </c>
      <c r="AX753">
        <v>0</v>
      </c>
      <c r="AY753">
        <v>0</v>
      </c>
      <c r="AZ753">
        <v>0</v>
      </c>
      <c r="BA753">
        <v>0</v>
      </c>
      <c r="BB753">
        <v>0</v>
      </c>
      <c r="BC753">
        <v>0</v>
      </c>
      <c r="BD753">
        <v>0</v>
      </c>
      <c r="BE753">
        <v>0</v>
      </c>
      <c r="BF753">
        <v>0</v>
      </c>
      <c r="BG753">
        <v>0</v>
      </c>
      <c r="BH753">
        <v>1</v>
      </c>
      <c r="BI753">
        <v>1.5</v>
      </c>
      <c r="BJ753">
        <v>1</v>
      </c>
      <c r="BK753">
        <v>1.5</v>
      </c>
      <c r="BL753">
        <v>60.3</v>
      </c>
      <c r="BM753">
        <v>9.0500000000000007</v>
      </c>
      <c r="BN753">
        <v>69.349999999999994</v>
      </c>
      <c r="BO753">
        <v>69.349999999999994</v>
      </c>
      <c r="BQ753" t="s">
        <v>733</v>
      </c>
      <c r="BR753" t="s">
        <v>1440</v>
      </c>
      <c r="BS753" s="3">
        <v>44607</v>
      </c>
      <c r="BT753" s="4">
        <v>0.39374999999999999</v>
      </c>
      <c r="BU753" t="s">
        <v>1491</v>
      </c>
      <c r="BV753" t="s">
        <v>101</v>
      </c>
      <c r="BY753">
        <v>4992.29</v>
      </c>
      <c r="BZ753" t="s">
        <v>87</v>
      </c>
      <c r="CA753" t="s">
        <v>1492</v>
      </c>
      <c r="CC753" t="s">
        <v>132</v>
      </c>
      <c r="CD753">
        <v>4091</v>
      </c>
      <c r="CE753" t="s">
        <v>130</v>
      </c>
      <c r="CF753" s="3">
        <v>44608</v>
      </c>
      <c r="CI753">
        <v>1</v>
      </c>
      <c r="CJ753">
        <v>1</v>
      </c>
      <c r="CK753">
        <v>21</v>
      </c>
      <c r="CL753" t="s">
        <v>84</v>
      </c>
    </row>
    <row r="754" spans="1:90" x14ac:dyDescent="0.25">
      <c r="A754" t="s">
        <v>1417</v>
      </c>
      <c r="B754" t="s">
        <v>1400</v>
      </c>
      <c r="C754" t="s">
        <v>74</v>
      </c>
      <c r="E754" t="str">
        <f>"009941994658"</f>
        <v>009941994658</v>
      </c>
      <c r="F754" s="3">
        <v>44602</v>
      </c>
      <c r="G754">
        <v>202208</v>
      </c>
      <c r="H754" t="s">
        <v>761</v>
      </c>
      <c r="I754" t="s">
        <v>762</v>
      </c>
      <c r="J754" t="s">
        <v>1401</v>
      </c>
      <c r="K754" t="s">
        <v>78</v>
      </c>
      <c r="L754" t="s">
        <v>153</v>
      </c>
      <c r="M754" t="s">
        <v>154</v>
      </c>
      <c r="N754" t="s">
        <v>1401</v>
      </c>
      <c r="O754" t="s">
        <v>125</v>
      </c>
      <c r="P754" t="str">
        <f>"                              "</f>
        <v xml:space="preserve">                              </v>
      </c>
      <c r="Q754">
        <v>0</v>
      </c>
      <c r="R754">
        <v>0</v>
      </c>
      <c r="S754">
        <v>0</v>
      </c>
      <c r="T754">
        <v>0</v>
      </c>
      <c r="U754">
        <v>0</v>
      </c>
      <c r="V754">
        <v>0</v>
      </c>
      <c r="W754">
        <v>0</v>
      </c>
      <c r="X754">
        <v>0</v>
      </c>
      <c r="Y754">
        <v>0</v>
      </c>
      <c r="Z754">
        <v>0</v>
      </c>
      <c r="AA754">
        <v>0</v>
      </c>
      <c r="AB754">
        <v>0</v>
      </c>
      <c r="AC754">
        <v>0</v>
      </c>
      <c r="AD754">
        <v>0</v>
      </c>
      <c r="AE754">
        <v>0</v>
      </c>
      <c r="AF754">
        <v>0</v>
      </c>
      <c r="AG754">
        <v>0</v>
      </c>
      <c r="AH754">
        <v>0</v>
      </c>
      <c r="AI754">
        <v>0</v>
      </c>
      <c r="AJ754">
        <v>0</v>
      </c>
      <c r="AK754">
        <v>85.86</v>
      </c>
      <c r="AL754">
        <v>0</v>
      </c>
      <c r="AM754">
        <v>0</v>
      </c>
      <c r="AN754">
        <v>0</v>
      </c>
      <c r="AO754">
        <v>0</v>
      </c>
      <c r="AP754">
        <v>0</v>
      </c>
      <c r="AQ754">
        <v>15</v>
      </c>
      <c r="AR754">
        <v>0</v>
      </c>
      <c r="AS754">
        <v>0</v>
      </c>
      <c r="AT754">
        <v>0</v>
      </c>
      <c r="AU754">
        <v>0</v>
      </c>
      <c r="AV754">
        <v>0</v>
      </c>
      <c r="AW754">
        <v>0</v>
      </c>
      <c r="AX754">
        <v>0</v>
      </c>
      <c r="AY754">
        <v>0</v>
      </c>
      <c r="AZ754">
        <v>0</v>
      </c>
      <c r="BA754">
        <v>0</v>
      </c>
      <c r="BB754">
        <v>0</v>
      </c>
      <c r="BC754">
        <v>0</v>
      </c>
      <c r="BD754">
        <v>0</v>
      </c>
      <c r="BE754">
        <v>0</v>
      </c>
      <c r="BF754">
        <v>0</v>
      </c>
      <c r="BG754">
        <v>0</v>
      </c>
      <c r="BH754">
        <v>2</v>
      </c>
      <c r="BI754">
        <v>37</v>
      </c>
      <c r="BJ754">
        <v>54.4</v>
      </c>
      <c r="BK754">
        <v>55</v>
      </c>
      <c r="BL754">
        <v>329.11</v>
      </c>
      <c r="BM754">
        <v>49.37</v>
      </c>
      <c r="BN754">
        <v>378.48</v>
      </c>
      <c r="BO754">
        <v>378.48</v>
      </c>
      <c r="BQ754" t="s">
        <v>497</v>
      </c>
      <c r="BR754" t="s">
        <v>1482</v>
      </c>
      <c r="BS754" s="3">
        <v>44603</v>
      </c>
      <c r="BT754" s="4">
        <v>0.4548611111111111</v>
      </c>
      <c r="BU754" t="s">
        <v>1870</v>
      </c>
      <c r="BV754" t="s">
        <v>101</v>
      </c>
      <c r="BY754">
        <v>272110</v>
      </c>
      <c r="BZ754" t="s">
        <v>1463</v>
      </c>
      <c r="CA754" t="s">
        <v>928</v>
      </c>
      <c r="CC754" t="s">
        <v>154</v>
      </c>
      <c r="CD754">
        <v>2001</v>
      </c>
      <c r="CE754" t="s">
        <v>130</v>
      </c>
      <c r="CF754" s="3">
        <v>44603</v>
      </c>
      <c r="CI754">
        <v>1</v>
      </c>
      <c r="CJ754">
        <v>1</v>
      </c>
      <c r="CK754">
        <v>41</v>
      </c>
      <c r="CL754" t="s">
        <v>84</v>
      </c>
    </row>
    <row r="755" spans="1:90" x14ac:dyDescent="0.25">
      <c r="A755" t="s">
        <v>1417</v>
      </c>
      <c r="B755" t="s">
        <v>1400</v>
      </c>
      <c r="C755" t="s">
        <v>74</v>
      </c>
      <c r="E755" t="str">
        <f>"009941119679"</f>
        <v>009941119679</v>
      </c>
      <c r="F755" s="3">
        <v>44602</v>
      </c>
      <c r="G755">
        <v>202208</v>
      </c>
      <c r="H755" t="s">
        <v>234</v>
      </c>
      <c r="I755" t="s">
        <v>235</v>
      </c>
      <c r="J755" t="s">
        <v>1401</v>
      </c>
      <c r="K755" t="s">
        <v>78</v>
      </c>
      <c r="L755" t="s">
        <v>153</v>
      </c>
      <c r="M755" t="s">
        <v>154</v>
      </c>
      <c r="N755" t="s">
        <v>1401</v>
      </c>
      <c r="O755" t="s">
        <v>125</v>
      </c>
      <c r="P755" t="str">
        <f>"                              "</f>
        <v xml:space="preserve">                              </v>
      </c>
      <c r="Q755">
        <v>0</v>
      </c>
      <c r="R755">
        <v>0</v>
      </c>
      <c r="S755">
        <v>0</v>
      </c>
      <c r="T755">
        <v>0</v>
      </c>
      <c r="U755">
        <v>0</v>
      </c>
      <c r="V755">
        <v>0</v>
      </c>
      <c r="W755">
        <v>0</v>
      </c>
      <c r="X755">
        <v>0</v>
      </c>
      <c r="Y755">
        <v>0</v>
      </c>
      <c r="Z755">
        <v>0</v>
      </c>
      <c r="AA755">
        <v>0</v>
      </c>
      <c r="AB755">
        <v>0</v>
      </c>
      <c r="AC755">
        <v>0</v>
      </c>
      <c r="AD755">
        <v>0</v>
      </c>
      <c r="AE755">
        <v>0</v>
      </c>
      <c r="AF755">
        <v>0</v>
      </c>
      <c r="AG755">
        <v>0</v>
      </c>
      <c r="AH755">
        <v>0</v>
      </c>
      <c r="AI755">
        <v>0</v>
      </c>
      <c r="AJ755">
        <v>0</v>
      </c>
      <c r="AK755">
        <v>116.58</v>
      </c>
      <c r="AL755">
        <v>0</v>
      </c>
      <c r="AM755">
        <v>0</v>
      </c>
      <c r="AN755">
        <v>0</v>
      </c>
      <c r="AO755">
        <v>0</v>
      </c>
      <c r="AP755">
        <v>0</v>
      </c>
      <c r="AQ755">
        <v>0</v>
      </c>
      <c r="AR755">
        <v>0</v>
      </c>
      <c r="AS755">
        <v>0</v>
      </c>
      <c r="AT755">
        <v>0</v>
      </c>
      <c r="AU755">
        <v>0</v>
      </c>
      <c r="AV755">
        <v>0</v>
      </c>
      <c r="AW755">
        <v>0</v>
      </c>
      <c r="AX755">
        <v>0</v>
      </c>
      <c r="AY755">
        <v>0</v>
      </c>
      <c r="AZ755">
        <v>0</v>
      </c>
      <c r="BA755">
        <v>0</v>
      </c>
      <c r="BB755">
        <v>0</v>
      </c>
      <c r="BC755">
        <v>0</v>
      </c>
      <c r="BD755">
        <v>0</v>
      </c>
      <c r="BE755">
        <v>0</v>
      </c>
      <c r="BF755">
        <v>0</v>
      </c>
      <c r="BG755">
        <v>0</v>
      </c>
      <c r="BH755">
        <v>4</v>
      </c>
      <c r="BI755">
        <v>31.1</v>
      </c>
      <c r="BJ755">
        <v>77.599999999999994</v>
      </c>
      <c r="BK755">
        <v>78</v>
      </c>
      <c r="BL755">
        <v>424.64</v>
      </c>
      <c r="BM755">
        <v>63.7</v>
      </c>
      <c r="BN755">
        <v>488.34</v>
      </c>
      <c r="BO755">
        <v>488.34</v>
      </c>
      <c r="BQ755" t="s">
        <v>311</v>
      </c>
      <c r="BR755" t="s">
        <v>1871</v>
      </c>
      <c r="BS755" s="3">
        <v>44603</v>
      </c>
      <c r="BT755" s="4">
        <v>0.45555555555555555</v>
      </c>
      <c r="BU755" t="s">
        <v>1831</v>
      </c>
      <c r="BV755" t="s">
        <v>101</v>
      </c>
      <c r="BY755">
        <v>388100</v>
      </c>
      <c r="BZ755" t="s">
        <v>137</v>
      </c>
      <c r="CA755" t="s">
        <v>928</v>
      </c>
      <c r="CC755" t="s">
        <v>154</v>
      </c>
      <c r="CD755">
        <v>2196</v>
      </c>
      <c r="CE755" t="s">
        <v>130</v>
      </c>
      <c r="CF755" s="3">
        <v>44603</v>
      </c>
      <c r="CI755">
        <v>1</v>
      </c>
      <c r="CJ755">
        <v>1</v>
      </c>
      <c r="CK755">
        <v>41</v>
      </c>
      <c r="CL755" t="s">
        <v>84</v>
      </c>
    </row>
    <row r="756" spans="1:90" x14ac:dyDescent="0.25">
      <c r="A756" t="s">
        <v>1417</v>
      </c>
      <c r="B756" t="s">
        <v>1400</v>
      </c>
      <c r="C756" t="s">
        <v>74</v>
      </c>
      <c r="E756" t="str">
        <f>"009942028195"</f>
        <v>009942028195</v>
      </c>
      <c r="F756" s="3">
        <v>44607</v>
      </c>
      <c r="G756">
        <v>202208</v>
      </c>
      <c r="H756" t="s">
        <v>466</v>
      </c>
      <c r="I756" t="s">
        <v>467</v>
      </c>
      <c r="J756" t="s">
        <v>1401</v>
      </c>
      <c r="K756" t="s">
        <v>78</v>
      </c>
      <c r="L756" t="s">
        <v>153</v>
      </c>
      <c r="M756" t="s">
        <v>154</v>
      </c>
      <c r="N756" t="s">
        <v>1401</v>
      </c>
      <c r="O756" t="s">
        <v>125</v>
      </c>
      <c r="P756" t="str">
        <f>"                              "</f>
        <v xml:space="preserve">                              </v>
      </c>
      <c r="Q756">
        <v>0</v>
      </c>
      <c r="R756">
        <v>0</v>
      </c>
      <c r="S756">
        <v>0</v>
      </c>
      <c r="T756">
        <v>0</v>
      </c>
      <c r="U756">
        <v>0</v>
      </c>
      <c r="V756">
        <v>0</v>
      </c>
      <c r="W756">
        <v>0</v>
      </c>
      <c r="X756">
        <v>0</v>
      </c>
      <c r="Y756">
        <v>0</v>
      </c>
      <c r="Z756">
        <v>0</v>
      </c>
      <c r="AA756">
        <v>0</v>
      </c>
      <c r="AB756">
        <v>0</v>
      </c>
      <c r="AC756">
        <v>0</v>
      </c>
      <c r="AD756">
        <v>0</v>
      </c>
      <c r="AE756">
        <v>0</v>
      </c>
      <c r="AF756">
        <v>0</v>
      </c>
      <c r="AG756">
        <v>0</v>
      </c>
      <c r="AH756">
        <v>0</v>
      </c>
      <c r="AI756">
        <v>0</v>
      </c>
      <c r="AJ756">
        <v>0</v>
      </c>
      <c r="AK756">
        <v>111.15</v>
      </c>
      <c r="AL756">
        <v>0</v>
      </c>
      <c r="AM756">
        <v>0</v>
      </c>
      <c r="AN756">
        <v>0</v>
      </c>
      <c r="AO756">
        <v>0</v>
      </c>
      <c r="AP756">
        <v>0</v>
      </c>
      <c r="AQ756">
        <v>0</v>
      </c>
      <c r="AR756">
        <v>0</v>
      </c>
      <c r="AS756">
        <v>0</v>
      </c>
      <c r="AT756">
        <v>0</v>
      </c>
      <c r="AU756">
        <v>0</v>
      </c>
      <c r="AV756">
        <v>0</v>
      </c>
      <c r="AW756">
        <v>0</v>
      </c>
      <c r="AX756">
        <v>0</v>
      </c>
      <c r="AY756">
        <v>0</v>
      </c>
      <c r="AZ756">
        <v>0</v>
      </c>
      <c r="BA756">
        <v>0</v>
      </c>
      <c r="BB756">
        <v>0</v>
      </c>
      <c r="BC756">
        <v>0</v>
      </c>
      <c r="BD756">
        <v>0</v>
      </c>
      <c r="BE756">
        <v>0</v>
      </c>
      <c r="BF756">
        <v>0</v>
      </c>
      <c r="BG756">
        <v>0</v>
      </c>
      <c r="BH756">
        <v>1</v>
      </c>
      <c r="BI756">
        <v>27.1</v>
      </c>
      <c r="BJ756">
        <v>42.9</v>
      </c>
      <c r="BK756">
        <v>43</v>
      </c>
      <c r="BL756">
        <v>405.11</v>
      </c>
      <c r="BM756">
        <v>60.77</v>
      </c>
      <c r="BN756">
        <v>465.88</v>
      </c>
      <c r="BO756">
        <v>465.88</v>
      </c>
      <c r="BR756" t="s">
        <v>1653</v>
      </c>
      <c r="BS756" s="3">
        <v>44608</v>
      </c>
      <c r="BT756" s="4">
        <v>0.36805555555555558</v>
      </c>
      <c r="BU756" t="s">
        <v>1831</v>
      </c>
      <c r="BV756" t="s">
        <v>101</v>
      </c>
      <c r="BY756">
        <v>214400</v>
      </c>
      <c r="BZ756" t="s">
        <v>137</v>
      </c>
      <c r="CA756" t="s">
        <v>928</v>
      </c>
      <c r="CC756" t="s">
        <v>154</v>
      </c>
      <c r="CD756">
        <v>2196</v>
      </c>
      <c r="CE756" t="s">
        <v>1546</v>
      </c>
      <c r="CF756" s="3">
        <v>44608</v>
      </c>
      <c r="CI756">
        <v>2</v>
      </c>
      <c r="CJ756">
        <v>1</v>
      </c>
      <c r="CK756">
        <v>43</v>
      </c>
      <c r="CL756" t="s">
        <v>84</v>
      </c>
    </row>
    <row r="757" spans="1:90" x14ac:dyDescent="0.25">
      <c r="A757" t="s">
        <v>1417</v>
      </c>
      <c r="B757" t="s">
        <v>1400</v>
      </c>
      <c r="C757" t="s">
        <v>74</v>
      </c>
      <c r="E757" t="str">
        <f>"009941915130"</f>
        <v>009941915130</v>
      </c>
      <c r="F757" s="3">
        <v>44607</v>
      </c>
      <c r="G757">
        <v>202208</v>
      </c>
      <c r="H757" t="s">
        <v>1436</v>
      </c>
      <c r="I757" t="s">
        <v>1437</v>
      </c>
      <c r="J757" t="s">
        <v>1401</v>
      </c>
      <c r="K757" t="s">
        <v>78</v>
      </c>
      <c r="L757" t="s">
        <v>131</v>
      </c>
      <c r="M757" t="s">
        <v>132</v>
      </c>
      <c r="N757" t="s">
        <v>1401</v>
      </c>
      <c r="O757" t="s">
        <v>125</v>
      </c>
      <c r="P757" t="str">
        <f t="shared" ref="P757:P762" si="15">"STORES                        "</f>
        <v xml:space="preserve">STORES                        </v>
      </c>
      <c r="Q757">
        <v>0</v>
      </c>
      <c r="R757">
        <v>0</v>
      </c>
      <c r="S757">
        <v>0</v>
      </c>
      <c r="T757">
        <v>0</v>
      </c>
      <c r="U757">
        <v>0</v>
      </c>
      <c r="V757">
        <v>0</v>
      </c>
      <c r="W757">
        <v>0</v>
      </c>
      <c r="X757">
        <v>0</v>
      </c>
      <c r="Y757">
        <v>0</v>
      </c>
      <c r="Z757">
        <v>0</v>
      </c>
      <c r="AA757">
        <v>0</v>
      </c>
      <c r="AB757">
        <v>0</v>
      </c>
      <c r="AC757">
        <v>0</v>
      </c>
      <c r="AD757">
        <v>0</v>
      </c>
      <c r="AE757">
        <v>0</v>
      </c>
      <c r="AF757">
        <v>0</v>
      </c>
      <c r="AG757">
        <v>0</v>
      </c>
      <c r="AH757">
        <v>0</v>
      </c>
      <c r="AI757">
        <v>0</v>
      </c>
      <c r="AJ757">
        <v>0</v>
      </c>
      <c r="AK757">
        <v>96.54</v>
      </c>
      <c r="AL757">
        <v>0</v>
      </c>
      <c r="AM757">
        <v>0</v>
      </c>
      <c r="AN757">
        <v>0</v>
      </c>
      <c r="AO757">
        <v>0</v>
      </c>
      <c r="AP757">
        <v>0</v>
      </c>
      <c r="AQ757">
        <v>0</v>
      </c>
      <c r="AR757">
        <v>0</v>
      </c>
      <c r="AS757">
        <v>0</v>
      </c>
      <c r="AT757">
        <v>0</v>
      </c>
      <c r="AU757">
        <v>0</v>
      </c>
      <c r="AV757">
        <v>0</v>
      </c>
      <c r="AW757">
        <v>0</v>
      </c>
      <c r="AX757">
        <v>0</v>
      </c>
      <c r="AY757">
        <v>0</v>
      </c>
      <c r="AZ757">
        <v>0</v>
      </c>
      <c r="BA757">
        <v>0</v>
      </c>
      <c r="BB757">
        <v>0</v>
      </c>
      <c r="BC757">
        <v>0</v>
      </c>
      <c r="BD757">
        <v>0</v>
      </c>
      <c r="BE757">
        <v>0</v>
      </c>
      <c r="BF757">
        <v>0</v>
      </c>
      <c r="BG757">
        <v>0</v>
      </c>
      <c r="BH757">
        <v>2</v>
      </c>
      <c r="BI757">
        <v>50.3</v>
      </c>
      <c r="BJ757">
        <v>62.3</v>
      </c>
      <c r="BK757">
        <v>63</v>
      </c>
      <c r="BL757">
        <v>352.55</v>
      </c>
      <c r="BM757">
        <v>52.88</v>
      </c>
      <c r="BN757">
        <v>405.43</v>
      </c>
      <c r="BO757">
        <v>405.43</v>
      </c>
      <c r="BQ757" t="s">
        <v>733</v>
      </c>
      <c r="BR757" t="s">
        <v>733</v>
      </c>
      <c r="BS757" s="3">
        <v>44608</v>
      </c>
      <c r="BT757" s="4">
        <v>0.46249999999999997</v>
      </c>
      <c r="BU757" t="s">
        <v>1574</v>
      </c>
      <c r="BV757" t="s">
        <v>101</v>
      </c>
      <c r="BY757">
        <v>311454.45</v>
      </c>
      <c r="BZ757" t="s">
        <v>137</v>
      </c>
      <c r="CA757" t="s">
        <v>1575</v>
      </c>
      <c r="CC757" t="s">
        <v>132</v>
      </c>
      <c r="CD757">
        <v>4091</v>
      </c>
      <c r="CE757" t="s">
        <v>130</v>
      </c>
      <c r="CF757" s="3">
        <v>44609</v>
      </c>
      <c r="CI757">
        <v>1</v>
      </c>
      <c r="CJ757">
        <v>1</v>
      </c>
      <c r="CK757">
        <v>41</v>
      </c>
      <c r="CL757" t="s">
        <v>84</v>
      </c>
    </row>
    <row r="758" spans="1:90" x14ac:dyDescent="0.25">
      <c r="A758" t="s">
        <v>1417</v>
      </c>
      <c r="B758" t="s">
        <v>1400</v>
      </c>
      <c r="C758" t="s">
        <v>74</v>
      </c>
      <c r="E758" t="str">
        <f>"009941332109"</f>
        <v>009941332109</v>
      </c>
      <c r="F758" s="3">
        <v>44607</v>
      </c>
      <c r="G758">
        <v>202208</v>
      </c>
      <c r="H758" t="s">
        <v>1436</v>
      </c>
      <c r="I758" t="s">
        <v>1437</v>
      </c>
      <c r="J758" t="s">
        <v>1401</v>
      </c>
      <c r="K758" t="s">
        <v>78</v>
      </c>
      <c r="L758" t="s">
        <v>401</v>
      </c>
      <c r="M758" t="s">
        <v>402</v>
      </c>
      <c r="N758" t="s">
        <v>1872</v>
      </c>
      <c r="O758" t="s">
        <v>125</v>
      </c>
      <c r="P758" t="str">
        <f t="shared" si="15"/>
        <v xml:space="preserve">STORES                        </v>
      </c>
      <c r="Q758">
        <v>0</v>
      </c>
      <c r="R758">
        <v>0</v>
      </c>
      <c r="S758">
        <v>0</v>
      </c>
      <c r="T758">
        <v>0</v>
      </c>
      <c r="U758">
        <v>0</v>
      </c>
      <c r="V758">
        <v>0</v>
      </c>
      <c r="W758">
        <v>0</v>
      </c>
      <c r="X758">
        <v>0</v>
      </c>
      <c r="Y758">
        <v>0</v>
      </c>
      <c r="Z758">
        <v>0</v>
      </c>
      <c r="AA758">
        <v>0</v>
      </c>
      <c r="AB758">
        <v>0</v>
      </c>
      <c r="AC758">
        <v>0</v>
      </c>
      <c r="AD758">
        <v>0</v>
      </c>
      <c r="AE758">
        <v>0</v>
      </c>
      <c r="AF758">
        <v>0</v>
      </c>
      <c r="AG758">
        <v>0</v>
      </c>
      <c r="AH758">
        <v>0</v>
      </c>
      <c r="AI758">
        <v>0</v>
      </c>
      <c r="AJ758">
        <v>0</v>
      </c>
      <c r="AK758">
        <v>125.93</v>
      </c>
      <c r="AL758">
        <v>0</v>
      </c>
      <c r="AM758">
        <v>0</v>
      </c>
      <c r="AN758">
        <v>0</v>
      </c>
      <c r="AO758">
        <v>0</v>
      </c>
      <c r="AP758">
        <v>0</v>
      </c>
      <c r="AQ758">
        <v>0</v>
      </c>
      <c r="AR758">
        <v>0</v>
      </c>
      <c r="AS758">
        <v>0</v>
      </c>
      <c r="AT758">
        <v>0</v>
      </c>
      <c r="AU758">
        <v>0</v>
      </c>
      <c r="AV758">
        <v>0</v>
      </c>
      <c r="AW758">
        <v>0</v>
      </c>
      <c r="AX758">
        <v>0</v>
      </c>
      <c r="AY758">
        <v>0</v>
      </c>
      <c r="AZ758">
        <v>0</v>
      </c>
      <c r="BA758">
        <v>0</v>
      </c>
      <c r="BB758">
        <v>0</v>
      </c>
      <c r="BC758">
        <v>0</v>
      </c>
      <c r="BD758">
        <v>0</v>
      </c>
      <c r="BE758">
        <v>0</v>
      </c>
      <c r="BF758">
        <v>0</v>
      </c>
      <c r="BG758">
        <v>0</v>
      </c>
      <c r="BH758">
        <v>3</v>
      </c>
      <c r="BI758">
        <v>63.3</v>
      </c>
      <c r="BJ758">
        <v>84.8</v>
      </c>
      <c r="BK758">
        <v>85</v>
      </c>
      <c r="BL758">
        <v>458.28</v>
      </c>
      <c r="BM758">
        <v>68.739999999999995</v>
      </c>
      <c r="BN758">
        <v>527.02</v>
      </c>
      <c r="BO758">
        <v>527.02</v>
      </c>
      <c r="BQ758" t="s">
        <v>733</v>
      </c>
      <c r="BR758" t="s">
        <v>1443</v>
      </c>
      <c r="BS758" s="3">
        <v>44608</v>
      </c>
      <c r="BT758" s="4">
        <v>0.50069444444444444</v>
      </c>
      <c r="BU758" t="s">
        <v>1676</v>
      </c>
      <c r="BV758" t="s">
        <v>101</v>
      </c>
      <c r="BY758">
        <v>424142.19</v>
      </c>
      <c r="BZ758" t="s">
        <v>137</v>
      </c>
      <c r="CA758" t="s">
        <v>1507</v>
      </c>
      <c r="CC758" t="s">
        <v>402</v>
      </c>
      <c r="CD758">
        <v>699</v>
      </c>
      <c r="CE758" t="s">
        <v>130</v>
      </c>
      <c r="CF758" s="3">
        <v>44608</v>
      </c>
      <c r="CI758">
        <v>1</v>
      </c>
      <c r="CJ758">
        <v>1</v>
      </c>
      <c r="CK758">
        <v>41</v>
      </c>
      <c r="CL758" t="s">
        <v>84</v>
      </c>
    </row>
    <row r="759" spans="1:90" x14ac:dyDescent="0.25">
      <c r="A759" t="s">
        <v>1417</v>
      </c>
      <c r="B759" t="s">
        <v>1400</v>
      </c>
      <c r="C759" t="s">
        <v>74</v>
      </c>
      <c r="E759" t="str">
        <f>"009941916048"</f>
        <v>009941916048</v>
      </c>
      <c r="F759" s="3">
        <v>44607</v>
      </c>
      <c r="G759">
        <v>202208</v>
      </c>
      <c r="H759" t="s">
        <v>1436</v>
      </c>
      <c r="I759" t="s">
        <v>1437</v>
      </c>
      <c r="J759" t="s">
        <v>1523</v>
      </c>
      <c r="K759" t="s">
        <v>78</v>
      </c>
      <c r="L759" t="s">
        <v>234</v>
      </c>
      <c r="M759" t="s">
        <v>235</v>
      </c>
      <c r="N759" t="s">
        <v>1654</v>
      </c>
      <c r="O759" t="s">
        <v>125</v>
      </c>
      <c r="P759" t="str">
        <f t="shared" si="15"/>
        <v xml:space="preserve">STORES                        </v>
      </c>
      <c r="Q759">
        <v>0</v>
      </c>
      <c r="R759">
        <v>0</v>
      </c>
      <c r="S759">
        <v>0</v>
      </c>
      <c r="T759">
        <v>0</v>
      </c>
      <c r="U759">
        <v>0</v>
      </c>
      <c r="V759">
        <v>0</v>
      </c>
      <c r="W759">
        <v>0</v>
      </c>
      <c r="X759">
        <v>0</v>
      </c>
      <c r="Y759">
        <v>0</v>
      </c>
      <c r="Z759">
        <v>0</v>
      </c>
      <c r="AA759">
        <v>0</v>
      </c>
      <c r="AB759">
        <v>0</v>
      </c>
      <c r="AC759">
        <v>0</v>
      </c>
      <c r="AD759">
        <v>0</v>
      </c>
      <c r="AE759">
        <v>0</v>
      </c>
      <c r="AF759">
        <v>0</v>
      </c>
      <c r="AG759">
        <v>0</v>
      </c>
      <c r="AH759">
        <v>0</v>
      </c>
      <c r="AI759">
        <v>0</v>
      </c>
      <c r="AJ759">
        <v>0</v>
      </c>
      <c r="AK759">
        <v>84.52</v>
      </c>
      <c r="AL759">
        <v>0</v>
      </c>
      <c r="AM759">
        <v>0</v>
      </c>
      <c r="AN759">
        <v>0</v>
      </c>
      <c r="AO759">
        <v>0</v>
      </c>
      <c r="AP759">
        <v>0</v>
      </c>
      <c r="AQ759">
        <v>0</v>
      </c>
      <c r="AR759">
        <v>0</v>
      </c>
      <c r="AS759">
        <v>0</v>
      </c>
      <c r="AT759">
        <v>0</v>
      </c>
      <c r="AU759">
        <v>0</v>
      </c>
      <c r="AV759">
        <v>0</v>
      </c>
      <c r="AW759">
        <v>0</v>
      </c>
      <c r="AX759">
        <v>0</v>
      </c>
      <c r="AY759">
        <v>0</v>
      </c>
      <c r="AZ759">
        <v>0</v>
      </c>
      <c r="BA759">
        <v>0</v>
      </c>
      <c r="BB759">
        <v>0</v>
      </c>
      <c r="BC759">
        <v>0</v>
      </c>
      <c r="BD759">
        <v>0</v>
      </c>
      <c r="BE759">
        <v>0</v>
      </c>
      <c r="BF759">
        <v>0</v>
      </c>
      <c r="BG759">
        <v>0</v>
      </c>
      <c r="BH759">
        <v>2</v>
      </c>
      <c r="BI759">
        <v>32.6</v>
      </c>
      <c r="BJ759">
        <v>53.6</v>
      </c>
      <c r="BK759">
        <v>54</v>
      </c>
      <c r="BL759">
        <v>309.3</v>
      </c>
      <c r="BM759">
        <v>46.4</v>
      </c>
      <c r="BN759">
        <v>355.7</v>
      </c>
      <c r="BO759">
        <v>355.7</v>
      </c>
      <c r="BQ759" t="s">
        <v>1622</v>
      </c>
      <c r="BR759" t="s">
        <v>733</v>
      </c>
      <c r="BS759" s="3">
        <v>44609</v>
      </c>
      <c r="BT759" s="4">
        <v>0.375</v>
      </c>
      <c r="BU759" t="s">
        <v>1873</v>
      </c>
      <c r="BV759" t="s">
        <v>84</v>
      </c>
      <c r="BW759" t="s">
        <v>239</v>
      </c>
      <c r="BX759" t="s">
        <v>739</v>
      </c>
      <c r="BY759">
        <v>267909.23</v>
      </c>
      <c r="BZ759" t="s">
        <v>137</v>
      </c>
      <c r="CC759" t="s">
        <v>235</v>
      </c>
      <c r="CD759">
        <v>3200</v>
      </c>
      <c r="CE759" t="s">
        <v>130</v>
      </c>
      <c r="CF759" s="3">
        <v>44610</v>
      </c>
      <c r="CI759">
        <v>1</v>
      </c>
      <c r="CJ759">
        <v>2</v>
      </c>
      <c r="CK759">
        <v>41</v>
      </c>
      <c r="CL759" t="s">
        <v>84</v>
      </c>
    </row>
    <row r="760" spans="1:90" x14ac:dyDescent="0.25">
      <c r="A760" t="s">
        <v>1417</v>
      </c>
      <c r="B760" t="s">
        <v>1400</v>
      </c>
      <c r="C760" t="s">
        <v>74</v>
      </c>
      <c r="E760" t="str">
        <f>"009941915129"</f>
        <v>009941915129</v>
      </c>
      <c r="F760" s="3">
        <v>44607</v>
      </c>
      <c r="G760">
        <v>202208</v>
      </c>
      <c r="H760" t="s">
        <v>1436</v>
      </c>
      <c r="I760" t="s">
        <v>1437</v>
      </c>
      <c r="J760" t="s">
        <v>1401</v>
      </c>
      <c r="K760" t="s">
        <v>78</v>
      </c>
      <c r="L760" t="s">
        <v>131</v>
      </c>
      <c r="M760" t="s">
        <v>132</v>
      </c>
      <c r="N760" t="s">
        <v>1401</v>
      </c>
      <c r="O760" t="s">
        <v>125</v>
      </c>
      <c r="P760" t="str">
        <f t="shared" si="15"/>
        <v xml:space="preserve">STORES                        </v>
      </c>
      <c r="Q760">
        <v>0</v>
      </c>
      <c r="R760">
        <v>0</v>
      </c>
      <c r="S760">
        <v>0</v>
      </c>
      <c r="T760">
        <v>0</v>
      </c>
      <c r="U760">
        <v>0</v>
      </c>
      <c r="V760">
        <v>0</v>
      </c>
      <c r="W760">
        <v>0</v>
      </c>
      <c r="X760">
        <v>0</v>
      </c>
      <c r="Y760">
        <v>0</v>
      </c>
      <c r="Z760">
        <v>0</v>
      </c>
      <c r="AA760">
        <v>0</v>
      </c>
      <c r="AB760">
        <v>0</v>
      </c>
      <c r="AC760">
        <v>0</v>
      </c>
      <c r="AD760">
        <v>0</v>
      </c>
      <c r="AE760">
        <v>0</v>
      </c>
      <c r="AF760">
        <v>0</v>
      </c>
      <c r="AG760">
        <v>0</v>
      </c>
      <c r="AH760">
        <v>0</v>
      </c>
      <c r="AI760">
        <v>0</v>
      </c>
      <c r="AJ760">
        <v>0</v>
      </c>
      <c r="AK760">
        <v>32.42</v>
      </c>
      <c r="AL760">
        <v>0</v>
      </c>
      <c r="AM760">
        <v>0</v>
      </c>
      <c r="AN760">
        <v>0</v>
      </c>
      <c r="AO760">
        <v>0</v>
      </c>
      <c r="AP760">
        <v>0</v>
      </c>
      <c r="AQ760">
        <v>0</v>
      </c>
      <c r="AR760">
        <v>0</v>
      </c>
      <c r="AS760">
        <v>0</v>
      </c>
      <c r="AT760">
        <v>0</v>
      </c>
      <c r="AU760">
        <v>0</v>
      </c>
      <c r="AV760">
        <v>0</v>
      </c>
      <c r="AW760">
        <v>0</v>
      </c>
      <c r="AX760">
        <v>0</v>
      </c>
      <c r="AY760">
        <v>0</v>
      </c>
      <c r="AZ760">
        <v>0</v>
      </c>
      <c r="BA760">
        <v>0</v>
      </c>
      <c r="BB760">
        <v>0</v>
      </c>
      <c r="BC760">
        <v>0</v>
      </c>
      <c r="BD760">
        <v>0</v>
      </c>
      <c r="BE760">
        <v>0</v>
      </c>
      <c r="BF760">
        <v>0</v>
      </c>
      <c r="BG760">
        <v>0</v>
      </c>
      <c r="BH760">
        <v>1</v>
      </c>
      <c r="BI760">
        <v>1.8</v>
      </c>
      <c r="BJ760">
        <v>2.2999999999999998</v>
      </c>
      <c r="BK760">
        <v>3</v>
      </c>
      <c r="BL760">
        <v>121.87</v>
      </c>
      <c r="BM760">
        <v>18.28</v>
      </c>
      <c r="BN760">
        <v>140.15</v>
      </c>
      <c r="BO760">
        <v>140.15</v>
      </c>
      <c r="BQ760" t="s">
        <v>733</v>
      </c>
      <c r="BR760" t="s">
        <v>733</v>
      </c>
      <c r="BS760" s="3">
        <v>44608</v>
      </c>
      <c r="BT760" s="4">
        <v>0.46249999999999997</v>
      </c>
      <c r="BU760" t="s">
        <v>1574</v>
      </c>
      <c r="BV760" t="s">
        <v>101</v>
      </c>
      <c r="BY760">
        <v>11649.38</v>
      </c>
      <c r="BZ760" t="s">
        <v>137</v>
      </c>
      <c r="CA760" t="s">
        <v>1575</v>
      </c>
      <c r="CC760" t="s">
        <v>132</v>
      </c>
      <c r="CD760">
        <v>4091</v>
      </c>
      <c r="CE760" t="s">
        <v>130</v>
      </c>
      <c r="CF760" s="3">
        <v>44609</v>
      </c>
      <c r="CI760">
        <v>1</v>
      </c>
      <c r="CJ760">
        <v>1</v>
      </c>
      <c r="CK760">
        <v>41</v>
      </c>
      <c r="CL760" t="s">
        <v>84</v>
      </c>
    </row>
    <row r="761" spans="1:90" x14ac:dyDescent="0.25">
      <c r="A761" t="s">
        <v>1417</v>
      </c>
      <c r="B761" t="s">
        <v>1400</v>
      </c>
      <c r="C761" t="s">
        <v>74</v>
      </c>
      <c r="E761" t="str">
        <f>"009941915228"</f>
        <v>009941915228</v>
      </c>
      <c r="F761" s="3">
        <v>44607</v>
      </c>
      <c r="G761">
        <v>202208</v>
      </c>
      <c r="H761" t="s">
        <v>1436</v>
      </c>
      <c r="I761" t="s">
        <v>1437</v>
      </c>
      <c r="J761" t="s">
        <v>1401</v>
      </c>
      <c r="K761" t="s">
        <v>78</v>
      </c>
      <c r="L761" t="s">
        <v>75</v>
      </c>
      <c r="M761" t="s">
        <v>76</v>
      </c>
      <c r="N761" t="s">
        <v>1523</v>
      </c>
      <c r="O761" t="s">
        <v>80</v>
      </c>
      <c r="P761" t="str">
        <f t="shared" si="15"/>
        <v xml:space="preserve">STORES                        </v>
      </c>
      <c r="Q761">
        <v>0</v>
      </c>
      <c r="R761">
        <v>0</v>
      </c>
      <c r="S761">
        <v>0</v>
      </c>
      <c r="T761">
        <v>0</v>
      </c>
      <c r="U761">
        <v>0</v>
      </c>
      <c r="V761">
        <v>0</v>
      </c>
      <c r="W761">
        <v>0</v>
      </c>
      <c r="X761">
        <v>0</v>
      </c>
      <c r="Y761">
        <v>0</v>
      </c>
      <c r="Z761">
        <v>0</v>
      </c>
      <c r="AA761">
        <v>0</v>
      </c>
      <c r="AB761">
        <v>0</v>
      </c>
      <c r="AC761">
        <v>0</v>
      </c>
      <c r="AD761">
        <v>0</v>
      </c>
      <c r="AE761">
        <v>0</v>
      </c>
      <c r="AF761">
        <v>0</v>
      </c>
      <c r="AG761">
        <v>0</v>
      </c>
      <c r="AH761">
        <v>0</v>
      </c>
      <c r="AI761">
        <v>0</v>
      </c>
      <c r="AJ761">
        <v>0</v>
      </c>
      <c r="AK761">
        <v>16.760000000000002</v>
      </c>
      <c r="AL761">
        <v>0</v>
      </c>
      <c r="AM761">
        <v>0</v>
      </c>
      <c r="AN761">
        <v>0</v>
      </c>
      <c r="AO761">
        <v>0</v>
      </c>
      <c r="AP761">
        <v>0</v>
      </c>
      <c r="AQ761">
        <v>0</v>
      </c>
      <c r="AR761">
        <v>0</v>
      </c>
      <c r="AS761">
        <v>0</v>
      </c>
      <c r="AT761">
        <v>0</v>
      </c>
      <c r="AU761">
        <v>0</v>
      </c>
      <c r="AV761">
        <v>0</v>
      </c>
      <c r="AW761">
        <v>0</v>
      </c>
      <c r="AX761">
        <v>0</v>
      </c>
      <c r="AY761">
        <v>0</v>
      </c>
      <c r="AZ761">
        <v>0</v>
      </c>
      <c r="BA761">
        <v>0</v>
      </c>
      <c r="BB761">
        <v>0</v>
      </c>
      <c r="BC761">
        <v>0</v>
      </c>
      <c r="BD761">
        <v>0</v>
      </c>
      <c r="BE761">
        <v>0</v>
      </c>
      <c r="BF761">
        <v>0</v>
      </c>
      <c r="BG761">
        <v>0</v>
      </c>
      <c r="BH761">
        <v>1</v>
      </c>
      <c r="BI761">
        <v>1.4</v>
      </c>
      <c r="BJ761">
        <v>1.2</v>
      </c>
      <c r="BK761">
        <v>1.5</v>
      </c>
      <c r="BL761">
        <v>60.3</v>
      </c>
      <c r="BM761">
        <v>9.0500000000000007</v>
      </c>
      <c r="BN761">
        <v>69.349999999999994</v>
      </c>
      <c r="BO761">
        <v>69.349999999999994</v>
      </c>
      <c r="BQ761" t="s">
        <v>733</v>
      </c>
      <c r="BR761" t="s">
        <v>1440</v>
      </c>
      <c r="BS761" s="3">
        <v>44608</v>
      </c>
      <c r="BT761" s="4">
        <v>0.3576388888888889</v>
      </c>
      <c r="BU761" t="s">
        <v>1513</v>
      </c>
      <c r="BV761" t="s">
        <v>101</v>
      </c>
      <c r="BY761">
        <v>5976.49</v>
      </c>
      <c r="BZ761" t="s">
        <v>87</v>
      </c>
      <c r="CA761" t="s">
        <v>1514</v>
      </c>
      <c r="CC761" t="s">
        <v>76</v>
      </c>
      <c r="CD761">
        <v>8000</v>
      </c>
      <c r="CE761" t="s">
        <v>130</v>
      </c>
      <c r="CF761" s="3">
        <v>44609</v>
      </c>
      <c r="CI761">
        <v>1</v>
      </c>
      <c r="CJ761">
        <v>1</v>
      </c>
      <c r="CK761">
        <v>21</v>
      </c>
      <c r="CL761" t="s">
        <v>84</v>
      </c>
    </row>
    <row r="762" spans="1:90" x14ac:dyDescent="0.25">
      <c r="A762" t="s">
        <v>1417</v>
      </c>
      <c r="B762" t="s">
        <v>1400</v>
      </c>
      <c r="C762" t="s">
        <v>74</v>
      </c>
      <c r="E762" t="str">
        <f>"009941916047"</f>
        <v>009941916047</v>
      </c>
      <c r="F762" s="3">
        <v>44607</v>
      </c>
      <c r="G762">
        <v>202208</v>
      </c>
      <c r="H762" t="s">
        <v>1436</v>
      </c>
      <c r="I762" t="s">
        <v>1437</v>
      </c>
      <c r="J762" t="s">
        <v>1401</v>
      </c>
      <c r="K762" t="s">
        <v>78</v>
      </c>
      <c r="L762" t="s">
        <v>466</v>
      </c>
      <c r="M762" t="s">
        <v>467</v>
      </c>
      <c r="N762" t="s">
        <v>1401</v>
      </c>
      <c r="O762" t="s">
        <v>125</v>
      </c>
      <c r="P762" t="str">
        <f t="shared" si="15"/>
        <v xml:space="preserve">STORES                        </v>
      </c>
      <c r="Q762">
        <v>0</v>
      </c>
      <c r="R762">
        <v>0</v>
      </c>
      <c r="S762">
        <v>0</v>
      </c>
      <c r="T762">
        <v>0</v>
      </c>
      <c r="U762">
        <v>0</v>
      </c>
      <c r="V762">
        <v>0</v>
      </c>
      <c r="W762">
        <v>0</v>
      </c>
      <c r="X762">
        <v>0</v>
      </c>
      <c r="Y762">
        <v>0</v>
      </c>
      <c r="Z762">
        <v>0</v>
      </c>
      <c r="AA762">
        <v>0</v>
      </c>
      <c r="AB762">
        <v>0</v>
      </c>
      <c r="AC762">
        <v>0</v>
      </c>
      <c r="AD762">
        <v>0</v>
      </c>
      <c r="AE762">
        <v>0</v>
      </c>
      <c r="AF762">
        <v>0</v>
      </c>
      <c r="AG762">
        <v>0</v>
      </c>
      <c r="AH762">
        <v>0</v>
      </c>
      <c r="AI762">
        <v>0</v>
      </c>
      <c r="AJ762">
        <v>0</v>
      </c>
      <c r="AK762">
        <v>73.760000000000005</v>
      </c>
      <c r="AL762">
        <v>0</v>
      </c>
      <c r="AM762">
        <v>0</v>
      </c>
      <c r="AN762">
        <v>0</v>
      </c>
      <c r="AO762">
        <v>0</v>
      </c>
      <c r="AP762">
        <v>0</v>
      </c>
      <c r="AQ762">
        <v>0</v>
      </c>
      <c r="AR762">
        <v>0</v>
      </c>
      <c r="AS762">
        <v>0</v>
      </c>
      <c r="AT762">
        <v>0</v>
      </c>
      <c r="AU762">
        <v>0</v>
      </c>
      <c r="AV762">
        <v>0</v>
      </c>
      <c r="AW762">
        <v>0</v>
      </c>
      <c r="AX762">
        <v>0</v>
      </c>
      <c r="AY762">
        <v>0</v>
      </c>
      <c r="AZ762">
        <v>0</v>
      </c>
      <c r="BA762">
        <v>0</v>
      </c>
      <c r="BB762">
        <v>0</v>
      </c>
      <c r="BC762">
        <v>0</v>
      </c>
      <c r="BD762">
        <v>0</v>
      </c>
      <c r="BE762">
        <v>0</v>
      </c>
      <c r="BF762">
        <v>0</v>
      </c>
      <c r="BG762">
        <v>0</v>
      </c>
      <c r="BH762">
        <v>1</v>
      </c>
      <c r="BI762">
        <v>18.5</v>
      </c>
      <c r="BJ762">
        <v>26.6</v>
      </c>
      <c r="BK762">
        <v>27</v>
      </c>
      <c r="BL762">
        <v>270.60000000000002</v>
      </c>
      <c r="BM762">
        <v>40.590000000000003</v>
      </c>
      <c r="BN762">
        <v>311.19</v>
      </c>
      <c r="BO762">
        <v>311.19</v>
      </c>
      <c r="BQ762" t="s">
        <v>733</v>
      </c>
      <c r="BR762" t="s">
        <v>733</v>
      </c>
      <c r="BS762" s="3">
        <v>44609</v>
      </c>
      <c r="BT762" s="4">
        <v>0.33333333333333331</v>
      </c>
      <c r="BU762" t="s">
        <v>305</v>
      </c>
      <c r="BV762" t="s">
        <v>101</v>
      </c>
      <c r="BY762">
        <v>133042.48000000001</v>
      </c>
      <c r="BZ762" t="s">
        <v>137</v>
      </c>
      <c r="CC762" t="s">
        <v>467</v>
      </c>
      <c r="CD762">
        <v>3900</v>
      </c>
      <c r="CE762" t="s">
        <v>130</v>
      </c>
      <c r="CF762" s="3">
        <v>44609</v>
      </c>
      <c r="CI762">
        <v>2</v>
      </c>
      <c r="CJ762">
        <v>2</v>
      </c>
      <c r="CK762">
        <v>43</v>
      </c>
      <c r="CL762" t="s">
        <v>84</v>
      </c>
    </row>
    <row r="763" spans="1:90" x14ac:dyDescent="0.25">
      <c r="A763" t="s">
        <v>1417</v>
      </c>
      <c r="B763" t="s">
        <v>1400</v>
      </c>
      <c r="C763" t="s">
        <v>74</v>
      </c>
      <c r="E763" t="str">
        <f>"009942167061"</f>
        <v>009942167061</v>
      </c>
      <c r="F763" s="3">
        <v>44607</v>
      </c>
      <c r="G763">
        <v>202208</v>
      </c>
      <c r="H763" t="s">
        <v>75</v>
      </c>
      <c r="I763" t="s">
        <v>76</v>
      </c>
      <c r="J763" t="s">
        <v>1401</v>
      </c>
      <c r="K763" t="s">
        <v>78</v>
      </c>
      <c r="L763" t="s">
        <v>384</v>
      </c>
      <c r="M763" t="s">
        <v>385</v>
      </c>
      <c r="N763" t="s">
        <v>1483</v>
      </c>
      <c r="O763" t="s">
        <v>80</v>
      </c>
      <c r="P763" t="str">
        <f>"CPT0212550205                 "</f>
        <v xml:space="preserve">CPT0212550205                 </v>
      </c>
      <c r="Q763">
        <v>0</v>
      </c>
      <c r="R763">
        <v>0</v>
      </c>
      <c r="S763">
        <v>0</v>
      </c>
      <c r="T763">
        <v>0</v>
      </c>
      <c r="U763">
        <v>0</v>
      </c>
      <c r="V763">
        <v>0</v>
      </c>
      <c r="W763">
        <v>0</v>
      </c>
      <c r="X763">
        <v>0</v>
      </c>
      <c r="Y763">
        <v>0</v>
      </c>
      <c r="Z763">
        <v>0</v>
      </c>
      <c r="AA763">
        <v>0</v>
      </c>
      <c r="AB763">
        <v>0</v>
      </c>
      <c r="AC763">
        <v>0</v>
      </c>
      <c r="AD763">
        <v>0</v>
      </c>
      <c r="AE763">
        <v>0</v>
      </c>
      <c r="AF763">
        <v>0</v>
      </c>
      <c r="AG763">
        <v>0</v>
      </c>
      <c r="AH763">
        <v>0</v>
      </c>
      <c r="AI763">
        <v>0</v>
      </c>
      <c r="AJ763">
        <v>0</v>
      </c>
      <c r="AK763">
        <v>16.760000000000002</v>
      </c>
      <c r="AL763">
        <v>0</v>
      </c>
      <c r="AM763">
        <v>0</v>
      </c>
      <c r="AN763">
        <v>0</v>
      </c>
      <c r="AO763">
        <v>0</v>
      </c>
      <c r="AP763">
        <v>0</v>
      </c>
      <c r="AQ763">
        <v>0</v>
      </c>
      <c r="AR763">
        <v>0</v>
      </c>
      <c r="AS763">
        <v>0</v>
      </c>
      <c r="AT763">
        <v>0</v>
      </c>
      <c r="AU763">
        <v>0</v>
      </c>
      <c r="AV763">
        <v>0</v>
      </c>
      <c r="AW763">
        <v>0</v>
      </c>
      <c r="AX763">
        <v>0</v>
      </c>
      <c r="AY763">
        <v>0</v>
      </c>
      <c r="AZ763">
        <v>0</v>
      </c>
      <c r="BA763">
        <v>0</v>
      </c>
      <c r="BB763">
        <v>0</v>
      </c>
      <c r="BC763">
        <v>0</v>
      </c>
      <c r="BD763">
        <v>0</v>
      </c>
      <c r="BE763">
        <v>0</v>
      </c>
      <c r="BF763">
        <v>0</v>
      </c>
      <c r="BG763">
        <v>0</v>
      </c>
      <c r="BH763">
        <v>1</v>
      </c>
      <c r="BI763">
        <v>0.2</v>
      </c>
      <c r="BJ763">
        <v>1.2</v>
      </c>
      <c r="BK763">
        <v>1.5</v>
      </c>
      <c r="BL763">
        <v>60.3</v>
      </c>
      <c r="BM763">
        <v>9.0500000000000007</v>
      </c>
      <c r="BN763">
        <v>69.349999999999994</v>
      </c>
      <c r="BO763">
        <v>69.349999999999994</v>
      </c>
      <c r="BQ763" t="s">
        <v>1473</v>
      </c>
      <c r="BR763" t="s">
        <v>1581</v>
      </c>
      <c r="BS763" s="3">
        <v>44608</v>
      </c>
      <c r="BT763" s="4">
        <v>0.34027777777777773</v>
      </c>
      <c r="BU763" t="s">
        <v>1486</v>
      </c>
      <c r="BV763" t="s">
        <v>101</v>
      </c>
      <c r="BY763">
        <v>5900.4</v>
      </c>
      <c r="BZ763" t="s">
        <v>87</v>
      </c>
      <c r="CA763" t="s">
        <v>1475</v>
      </c>
      <c r="CC763" t="s">
        <v>385</v>
      </c>
      <c r="CD763">
        <v>2194</v>
      </c>
      <c r="CE763" t="s">
        <v>130</v>
      </c>
      <c r="CF763" s="3">
        <v>44609</v>
      </c>
      <c r="CI763">
        <v>1</v>
      </c>
      <c r="CJ763">
        <v>1</v>
      </c>
      <c r="CK763">
        <v>21</v>
      </c>
      <c r="CL763" t="s">
        <v>84</v>
      </c>
    </row>
    <row r="764" spans="1:90" x14ac:dyDescent="0.25">
      <c r="A764" t="s">
        <v>1417</v>
      </c>
      <c r="B764" t="s">
        <v>1400</v>
      </c>
      <c r="C764" t="s">
        <v>74</v>
      </c>
      <c r="E764" t="str">
        <f>"009941915233"</f>
        <v>009941915233</v>
      </c>
      <c r="F764" s="3">
        <v>44607</v>
      </c>
      <c r="G764">
        <v>202208</v>
      </c>
      <c r="H764" t="s">
        <v>1436</v>
      </c>
      <c r="I764" t="s">
        <v>1437</v>
      </c>
      <c r="J764" t="s">
        <v>1401</v>
      </c>
      <c r="K764" t="s">
        <v>78</v>
      </c>
      <c r="L764" t="s">
        <v>1447</v>
      </c>
      <c r="M764" t="s">
        <v>1448</v>
      </c>
      <c r="N764" t="s">
        <v>1401</v>
      </c>
      <c r="O764" t="s">
        <v>125</v>
      </c>
      <c r="P764" t="str">
        <f>"STORES                        "</f>
        <v xml:space="preserve">STORES                        </v>
      </c>
      <c r="Q764">
        <v>0</v>
      </c>
      <c r="R764">
        <v>0</v>
      </c>
      <c r="S764">
        <v>0</v>
      </c>
      <c r="T764">
        <v>0</v>
      </c>
      <c r="U764">
        <v>0</v>
      </c>
      <c r="V764">
        <v>0</v>
      </c>
      <c r="W764">
        <v>0</v>
      </c>
      <c r="X764">
        <v>0</v>
      </c>
      <c r="Y764">
        <v>0</v>
      </c>
      <c r="Z764">
        <v>0</v>
      </c>
      <c r="AA764">
        <v>0</v>
      </c>
      <c r="AB764">
        <v>0</v>
      </c>
      <c r="AC764">
        <v>0</v>
      </c>
      <c r="AD764">
        <v>0</v>
      </c>
      <c r="AE764">
        <v>0</v>
      </c>
      <c r="AF764">
        <v>0</v>
      </c>
      <c r="AG764">
        <v>0</v>
      </c>
      <c r="AH764">
        <v>0</v>
      </c>
      <c r="AI764">
        <v>0</v>
      </c>
      <c r="AJ764">
        <v>0</v>
      </c>
      <c r="AK764">
        <v>55.07</v>
      </c>
      <c r="AL764">
        <v>0</v>
      </c>
      <c r="AM764">
        <v>0</v>
      </c>
      <c r="AN764">
        <v>0</v>
      </c>
      <c r="AO764">
        <v>0</v>
      </c>
      <c r="AP764">
        <v>0</v>
      </c>
      <c r="AQ764">
        <v>15</v>
      </c>
      <c r="AR764">
        <v>0</v>
      </c>
      <c r="AS764">
        <v>0</v>
      </c>
      <c r="AT764">
        <v>0</v>
      </c>
      <c r="AU764">
        <v>0</v>
      </c>
      <c r="AV764">
        <v>0</v>
      </c>
      <c r="AW764">
        <v>0</v>
      </c>
      <c r="AX764">
        <v>0</v>
      </c>
      <c r="AY764">
        <v>0</v>
      </c>
      <c r="AZ764">
        <v>0</v>
      </c>
      <c r="BA764">
        <v>0</v>
      </c>
      <c r="BB764">
        <v>0</v>
      </c>
      <c r="BC764">
        <v>0</v>
      </c>
      <c r="BD764">
        <v>0</v>
      </c>
      <c r="BE764">
        <v>0</v>
      </c>
      <c r="BF764">
        <v>0</v>
      </c>
      <c r="BG764">
        <v>0</v>
      </c>
      <c r="BH764">
        <v>1</v>
      </c>
      <c r="BI764">
        <v>5.7</v>
      </c>
      <c r="BJ764">
        <v>18.100000000000001</v>
      </c>
      <c r="BK764">
        <v>19</v>
      </c>
      <c r="BL764">
        <v>218.35</v>
      </c>
      <c r="BM764">
        <v>32.75</v>
      </c>
      <c r="BN764">
        <v>251.1</v>
      </c>
      <c r="BO764">
        <v>251.1</v>
      </c>
      <c r="BQ764" t="s">
        <v>1500</v>
      </c>
      <c r="BR764" t="s">
        <v>1533</v>
      </c>
      <c r="BS764" s="3">
        <v>44608</v>
      </c>
      <c r="BT764" s="4">
        <v>0.625</v>
      </c>
      <c r="BU764" t="s">
        <v>1500</v>
      </c>
      <c r="BV764" t="s">
        <v>101</v>
      </c>
      <c r="BY764">
        <v>90681.93</v>
      </c>
      <c r="BZ764" t="s">
        <v>1463</v>
      </c>
      <c r="CC764" t="s">
        <v>1448</v>
      </c>
      <c r="CD764">
        <v>8460</v>
      </c>
      <c r="CE764" t="s">
        <v>130</v>
      </c>
      <c r="CF764" s="3">
        <v>44613</v>
      </c>
      <c r="CI764">
        <v>1</v>
      </c>
      <c r="CJ764">
        <v>1</v>
      </c>
      <c r="CK764">
        <v>43</v>
      </c>
      <c r="CL764" t="s">
        <v>84</v>
      </c>
    </row>
    <row r="765" spans="1:90" x14ac:dyDescent="0.25">
      <c r="A765" t="s">
        <v>1417</v>
      </c>
      <c r="B765" t="s">
        <v>1400</v>
      </c>
      <c r="C765" t="s">
        <v>74</v>
      </c>
      <c r="E765" t="str">
        <f>"009941332108"</f>
        <v>009941332108</v>
      </c>
      <c r="F765" s="3">
        <v>44607</v>
      </c>
      <c r="G765">
        <v>202208</v>
      </c>
      <c r="H765" t="s">
        <v>1436</v>
      </c>
      <c r="I765" t="s">
        <v>1437</v>
      </c>
      <c r="J765" t="s">
        <v>1401</v>
      </c>
      <c r="K765" t="s">
        <v>78</v>
      </c>
      <c r="L765" t="s">
        <v>401</v>
      </c>
      <c r="M765" t="s">
        <v>402</v>
      </c>
      <c r="N765" t="s">
        <v>1401</v>
      </c>
      <c r="O765" t="s">
        <v>125</v>
      </c>
      <c r="P765" t="str">
        <f>"STORES                        "</f>
        <v xml:space="preserve">STORES                        </v>
      </c>
      <c r="Q765">
        <v>0</v>
      </c>
      <c r="R765">
        <v>0</v>
      </c>
      <c r="S765">
        <v>0</v>
      </c>
      <c r="T765">
        <v>0</v>
      </c>
      <c r="U765">
        <v>0</v>
      </c>
      <c r="V765">
        <v>0</v>
      </c>
      <c r="W765">
        <v>0</v>
      </c>
      <c r="X765">
        <v>0</v>
      </c>
      <c r="Y765">
        <v>0</v>
      </c>
      <c r="Z765">
        <v>0</v>
      </c>
      <c r="AA765">
        <v>0</v>
      </c>
      <c r="AB765">
        <v>0</v>
      </c>
      <c r="AC765">
        <v>0</v>
      </c>
      <c r="AD765">
        <v>0</v>
      </c>
      <c r="AE765">
        <v>0</v>
      </c>
      <c r="AF765">
        <v>0</v>
      </c>
      <c r="AG765">
        <v>0</v>
      </c>
      <c r="AH765">
        <v>0</v>
      </c>
      <c r="AI765">
        <v>0</v>
      </c>
      <c r="AJ765">
        <v>0</v>
      </c>
      <c r="AK765">
        <v>32.42</v>
      </c>
      <c r="AL765">
        <v>0</v>
      </c>
      <c r="AM765">
        <v>0</v>
      </c>
      <c r="AN765">
        <v>0</v>
      </c>
      <c r="AO765">
        <v>0</v>
      </c>
      <c r="AP765">
        <v>0</v>
      </c>
      <c r="AQ765">
        <v>0</v>
      </c>
      <c r="AR765">
        <v>0</v>
      </c>
      <c r="AS765">
        <v>0</v>
      </c>
      <c r="AT765">
        <v>0</v>
      </c>
      <c r="AU765">
        <v>0</v>
      </c>
      <c r="AV765">
        <v>0</v>
      </c>
      <c r="AW765">
        <v>0</v>
      </c>
      <c r="AX765">
        <v>0</v>
      </c>
      <c r="AY765">
        <v>0</v>
      </c>
      <c r="AZ765">
        <v>0</v>
      </c>
      <c r="BA765">
        <v>0</v>
      </c>
      <c r="BB765">
        <v>0</v>
      </c>
      <c r="BC765">
        <v>0</v>
      </c>
      <c r="BD765">
        <v>0</v>
      </c>
      <c r="BE765">
        <v>0</v>
      </c>
      <c r="BF765">
        <v>0</v>
      </c>
      <c r="BG765">
        <v>0</v>
      </c>
      <c r="BH765">
        <v>1</v>
      </c>
      <c r="BI765">
        <v>1.5</v>
      </c>
      <c r="BJ765">
        <v>3.6</v>
      </c>
      <c r="BK765">
        <v>4</v>
      </c>
      <c r="BL765">
        <v>121.87</v>
      </c>
      <c r="BM765">
        <v>18.28</v>
      </c>
      <c r="BN765">
        <v>140.15</v>
      </c>
      <c r="BO765">
        <v>140.15</v>
      </c>
      <c r="BQ765" t="s">
        <v>733</v>
      </c>
      <c r="BR765" t="s">
        <v>733</v>
      </c>
      <c r="BS765" s="3">
        <v>44608</v>
      </c>
      <c r="BT765" s="4">
        <v>0.5</v>
      </c>
      <c r="BU765" t="s">
        <v>1676</v>
      </c>
      <c r="BV765" t="s">
        <v>101</v>
      </c>
      <c r="BY765">
        <v>18055.23</v>
      </c>
      <c r="BZ765" t="s">
        <v>137</v>
      </c>
      <c r="CA765" t="s">
        <v>1507</v>
      </c>
      <c r="CC765" t="s">
        <v>402</v>
      </c>
      <c r="CD765">
        <v>699</v>
      </c>
      <c r="CE765" t="s">
        <v>130</v>
      </c>
      <c r="CF765" s="3">
        <v>44608</v>
      </c>
      <c r="CI765">
        <v>1</v>
      </c>
      <c r="CJ765">
        <v>1</v>
      </c>
      <c r="CK765">
        <v>41</v>
      </c>
      <c r="CL765" t="s">
        <v>84</v>
      </c>
    </row>
    <row r="766" spans="1:90" x14ac:dyDescent="0.25">
      <c r="A766" t="s">
        <v>1399</v>
      </c>
      <c r="B766" t="s">
        <v>1400</v>
      </c>
      <c r="C766" t="s">
        <v>74</v>
      </c>
      <c r="E766" t="str">
        <f>"009942122771"</f>
        <v>009942122771</v>
      </c>
      <c r="F766" s="3">
        <v>44607</v>
      </c>
      <c r="G766">
        <v>202208</v>
      </c>
      <c r="H766" t="s">
        <v>496</v>
      </c>
      <c r="I766" t="s">
        <v>497</v>
      </c>
      <c r="J766" t="s">
        <v>1401</v>
      </c>
      <c r="K766" t="s">
        <v>78</v>
      </c>
      <c r="L766" t="s">
        <v>1436</v>
      </c>
      <c r="M766" t="s">
        <v>1437</v>
      </c>
      <c r="N766" t="s">
        <v>1401</v>
      </c>
      <c r="O766" t="s">
        <v>125</v>
      </c>
      <c r="P766" t="str">
        <f>"                              "</f>
        <v xml:space="preserve">                              </v>
      </c>
      <c r="Q766">
        <v>0</v>
      </c>
      <c r="R766">
        <v>0</v>
      </c>
      <c r="S766">
        <v>0</v>
      </c>
      <c r="T766">
        <v>0</v>
      </c>
      <c r="U766">
        <v>0</v>
      </c>
      <c r="V766">
        <v>0</v>
      </c>
      <c r="W766">
        <v>0</v>
      </c>
      <c r="X766">
        <v>0</v>
      </c>
      <c r="Y766">
        <v>0</v>
      </c>
      <c r="Z766">
        <v>0</v>
      </c>
      <c r="AA766">
        <v>0</v>
      </c>
      <c r="AB766">
        <v>0</v>
      </c>
      <c r="AC766">
        <v>0</v>
      </c>
      <c r="AD766">
        <v>0</v>
      </c>
      <c r="AE766">
        <v>0</v>
      </c>
      <c r="AF766">
        <v>0</v>
      </c>
      <c r="AG766">
        <v>0</v>
      </c>
      <c r="AH766">
        <v>0</v>
      </c>
      <c r="AI766">
        <v>0</v>
      </c>
      <c r="AJ766">
        <v>0</v>
      </c>
      <c r="AK766">
        <v>65.819999999999993</v>
      </c>
      <c r="AL766">
        <v>0</v>
      </c>
      <c r="AM766">
        <v>0</v>
      </c>
      <c r="AN766">
        <v>0</v>
      </c>
      <c r="AO766">
        <v>0</v>
      </c>
      <c r="AP766">
        <v>0</v>
      </c>
      <c r="AQ766">
        <v>0</v>
      </c>
      <c r="AR766">
        <v>0</v>
      </c>
      <c r="AS766">
        <v>0</v>
      </c>
      <c r="AT766">
        <v>0</v>
      </c>
      <c r="AU766">
        <v>0</v>
      </c>
      <c r="AV766">
        <v>0</v>
      </c>
      <c r="AW766">
        <v>0</v>
      </c>
      <c r="AX766">
        <v>0</v>
      </c>
      <c r="AY766">
        <v>0</v>
      </c>
      <c r="AZ766">
        <v>0</v>
      </c>
      <c r="BA766">
        <v>0</v>
      </c>
      <c r="BB766">
        <v>0</v>
      </c>
      <c r="BC766">
        <v>0</v>
      </c>
      <c r="BD766">
        <v>0</v>
      </c>
      <c r="BE766">
        <v>0</v>
      </c>
      <c r="BF766">
        <v>0</v>
      </c>
      <c r="BG766">
        <v>0</v>
      </c>
      <c r="BH766">
        <v>1</v>
      </c>
      <c r="BI766">
        <v>33</v>
      </c>
      <c r="BJ766">
        <v>39.200000000000003</v>
      </c>
      <c r="BK766">
        <v>40</v>
      </c>
      <c r="BL766">
        <v>242.02</v>
      </c>
      <c r="BM766">
        <v>36.299999999999997</v>
      </c>
      <c r="BN766">
        <v>278.32</v>
      </c>
      <c r="BO766">
        <v>278.32</v>
      </c>
      <c r="BQ766" t="s">
        <v>311</v>
      </c>
      <c r="BR766" t="s">
        <v>1874</v>
      </c>
      <c r="BS766" s="3">
        <v>44613</v>
      </c>
      <c r="BT766" s="4">
        <v>0.41666666666666669</v>
      </c>
      <c r="BU766" t="s">
        <v>1875</v>
      </c>
      <c r="BV766" t="s">
        <v>84</v>
      </c>
      <c r="BW766" t="s">
        <v>801</v>
      </c>
      <c r="BX766" t="s">
        <v>787</v>
      </c>
      <c r="BY766">
        <v>195840</v>
      </c>
      <c r="BZ766" t="s">
        <v>137</v>
      </c>
      <c r="CC766" t="s">
        <v>1437</v>
      </c>
      <c r="CD766">
        <v>2146</v>
      </c>
      <c r="CE766" t="s">
        <v>130</v>
      </c>
      <c r="CF766" s="3">
        <v>44614</v>
      </c>
      <c r="CI766">
        <v>3</v>
      </c>
      <c r="CJ766">
        <v>4</v>
      </c>
      <c r="CK766">
        <v>41</v>
      </c>
      <c r="CL766" t="s">
        <v>84</v>
      </c>
    </row>
    <row r="767" spans="1:90" x14ac:dyDescent="0.25">
      <c r="A767" t="s">
        <v>1417</v>
      </c>
      <c r="B767" t="s">
        <v>1400</v>
      </c>
      <c r="C767" t="s">
        <v>74</v>
      </c>
      <c r="E767" t="str">
        <f>"009941209236"</f>
        <v>009941209236</v>
      </c>
      <c r="F767" s="3">
        <v>44607</v>
      </c>
      <c r="G767">
        <v>202208</v>
      </c>
      <c r="H767" t="s">
        <v>1436</v>
      </c>
      <c r="I767" t="s">
        <v>1437</v>
      </c>
      <c r="J767" t="s">
        <v>1401</v>
      </c>
      <c r="K767" t="s">
        <v>78</v>
      </c>
      <c r="L767" t="s">
        <v>761</v>
      </c>
      <c r="M767" t="s">
        <v>762</v>
      </c>
      <c r="N767" t="s">
        <v>1627</v>
      </c>
      <c r="O767" t="s">
        <v>80</v>
      </c>
      <c r="P767" t="str">
        <f>"STORES                        "</f>
        <v xml:space="preserve">STORES                        </v>
      </c>
      <c r="Q767">
        <v>0</v>
      </c>
      <c r="R767">
        <v>0</v>
      </c>
      <c r="S767">
        <v>0</v>
      </c>
      <c r="T767">
        <v>0</v>
      </c>
      <c r="U767">
        <v>0</v>
      </c>
      <c r="V767">
        <v>0</v>
      </c>
      <c r="W767">
        <v>0</v>
      </c>
      <c r="X767">
        <v>0</v>
      </c>
      <c r="Y767">
        <v>0</v>
      </c>
      <c r="Z767">
        <v>0</v>
      </c>
      <c r="AA767">
        <v>0</v>
      </c>
      <c r="AB767">
        <v>0</v>
      </c>
      <c r="AC767">
        <v>0</v>
      </c>
      <c r="AD767">
        <v>0</v>
      </c>
      <c r="AE767">
        <v>0</v>
      </c>
      <c r="AF767">
        <v>0</v>
      </c>
      <c r="AG767">
        <v>0</v>
      </c>
      <c r="AH767">
        <v>0</v>
      </c>
      <c r="AI767">
        <v>0</v>
      </c>
      <c r="AJ767">
        <v>0</v>
      </c>
      <c r="AK767">
        <v>16.760000000000002</v>
      </c>
      <c r="AL767">
        <v>0</v>
      </c>
      <c r="AM767">
        <v>0</v>
      </c>
      <c r="AN767">
        <v>0</v>
      </c>
      <c r="AO767">
        <v>0</v>
      </c>
      <c r="AP767">
        <v>0</v>
      </c>
      <c r="AQ767">
        <v>0</v>
      </c>
      <c r="AR767">
        <v>0</v>
      </c>
      <c r="AS767">
        <v>0</v>
      </c>
      <c r="AT767">
        <v>0</v>
      </c>
      <c r="AU767">
        <v>0</v>
      </c>
      <c r="AV767">
        <v>0</v>
      </c>
      <c r="AW767">
        <v>0</v>
      </c>
      <c r="AX767">
        <v>0</v>
      </c>
      <c r="AY767">
        <v>0</v>
      </c>
      <c r="AZ767">
        <v>0</v>
      </c>
      <c r="BA767">
        <v>0</v>
      </c>
      <c r="BB767">
        <v>0</v>
      </c>
      <c r="BC767">
        <v>0</v>
      </c>
      <c r="BD767">
        <v>0</v>
      </c>
      <c r="BE767">
        <v>0</v>
      </c>
      <c r="BF767">
        <v>0</v>
      </c>
      <c r="BG767">
        <v>0</v>
      </c>
      <c r="BH767">
        <v>1</v>
      </c>
      <c r="BI767">
        <v>0.2</v>
      </c>
      <c r="BJ767">
        <v>2</v>
      </c>
      <c r="BK767">
        <v>2</v>
      </c>
      <c r="BL767">
        <v>60.3</v>
      </c>
      <c r="BM767">
        <v>9.0500000000000007</v>
      </c>
      <c r="BN767">
        <v>69.349999999999994</v>
      </c>
      <c r="BO767">
        <v>69.349999999999994</v>
      </c>
      <c r="BQ767" t="s">
        <v>1526</v>
      </c>
      <c r="BR767" t="s">
        <v>733</v>
      </c>
      <c r="BS767" s="3">
        <v>44608</v>
      </c>
      <c r="BT767" s="4">
        <v>0.45833333333333331</v>
      </c>
      <c r="BU767" t="s">
        <v>1876</v>
      </c>
      <c r="BV767" t="s">
        <v>84</v>
      </c>
      <c r="BW767" t="s">
        <v>239</v>
      </c>
      <c r="BX767" t="s">
        <v>899</v>
      </c>
      <c r="BY767">
        <v>10084.9</v>
      </c>
      <c r="BZ767" t="s">
        <v>87</v>
      </c>
      <c r="CA767" t="s">
        <v>767</v>
      </c>
      <c r="CC767" t="s">
        <v>762</v>
      </c>
      <c r="CD767">
        <v>9300</v>
      </c>
      <c r="CE767" t="s">
        <v>130</v>
      </c>
      <c r="CF767" s="3">
        <v>44609</v>
      </c>
      <c r="CI767">
        <v>1</v>
      </c>
      <c r="CJ767">
        <v>1</v>
      </c>
      <c r="CK767">
        <v>21</v>
      </c>
      <c r="CL767" t="s">
        <v>84</v>
      </c>
    </row>
    <row r="768" spans="1:90" x14ac:dyDescent="0.25">
      <c r="A768" t="s">
        <v>1417</v>
      </c>
      <c r="B768" t="s">
        <v>1400</v>
      </c>
      <c r="C768" t="s">
        <v>74</v>
      </c>
      <c r="E768" t="str">
        <f>"029907975258"</f>
        <v>029907975258</v>
      </c>
      <c r="F768" s="3">
        <v>44607</v>
      </c>
      <c r="G768">
        <v>202208</v>
      </c>
      <c r="H768" t="s">
        <v>131</v>
      </c>
      <c r="I768" t="s">
        <v>132</v>
      </c>
      <c r="J768" t="s">
        <v>1406</v>
      </c>
      <c r="K768" t="s">
        <v>78</v>
      </c>
      <c r="L768" t="s">
        <v>384</v>
      </c>
      <c r="M768" t="s">
        <v>385</v>
      </c>
      <c r="N768" t="s">
        <v>1877</v>
      </c>
      <c r="O768" t="s">
        <v>979</v>
      </c>
      <c r="P768" t="str">
        <f>"                              "</f>
        <v xml:space="preserve">                              </v>
      </c>
      <c r="Q768">
        <v>0</v>
      </c>
      <c r="R768">
        <v>0</v>
      </c>
      <c r="S768">
        <v>0</v>
      </c>
      <c r="T768">
        <v>0</v>
      </c>
      <c r="U768">
        <v>0</v>
      </c>
      <c r="V768">
        <v>0</v>
      </c>
      <c r="W768">
        <v>0</v>
      </c>
      <c r="X768">
        <v>0</v>
      </c>
      <c r="Y768">
        <v>0</v>
      </c>
      <c r="Z768">
        <v>0</v>
      </c>
      <c r="AA768">
        <v>0</v>
      </c>
      <c r="AB768">
        <v>0</v>
      </c>
      <c r="AC768">
        <v>0</v>
      </c>
      <c r="AD768">
        <v>0</v>
      </c>
      <c r="AE768">
        <v>0</v>
      </c>
      <c r="AF768">
        <v>0</v>
      </c>
      <c r="AG768">
        <v>0</v>
      </c>
      <c r="AH768">
        <v>0</v>
      </c>
      <c r="AI768">
        <v>0</v>
      </c>
      <c r="AJ768">
        <v>0</v>
      </c>
      <c r="AK768">
        <v>31.43</v>
      </c>
      <c r="AL768">
        <v>0</v>
      </c>
      <c r="AM768">
        <v>0</v>
      </c>
      <c r="AN768">
        <v>0</v>
      </c>
      <c r="AO768">
        <v>0</v>
      </c>
      <c r="AP768">
        <v>0</v>
      </c>
      <c r="AQ768">
        <v>0</v>
      </c>
      <c r="AR768">
        <v>0</v>
      </c>
      <c r="AS768">
        <v>0</v>
      </c>
      <c r="AT768">
        <v>0</v>
      </c>
      <c r="AU768">
        <v>0</v>
      </c>
      <c r="AV768">
        <v>0</v>
      </c>
      <c r="AW768">
        <v>0</v>
      </c>
      <c r="AX768">
        <v>0</v>
      </c>
      <c r="AY768">
        <v>0</v>
      </c>
      <c r="AZ768">
        <v>0</v>
      </c>
      <c r="BA768">
        <v>0</v>
      </c>
      <c r="BB768">
        <v>0</v>
      </c>
      <c r="BC768">
        <v>0</v>
      </c>
      <c r="BD768">
        <v>0</v>
      </c>
      <c r="BE768">
        <v>0</v>
      </c>
      <c r="BF768">
        <v>0</v>
      </c>
      <c r="BG768">
        <v>0</v>
      </c>
      <c r="BH768">
        <v>1</v>
      </c>
      <c r="BI768">
        <v>1</v>
      </c>
      <c r="BJ768">
        <v>0.2</v>
      </c>
      <c r="BK768">
        <v>1</v>
      </c>
      <c r="BL768">
        <v>113.07</v>
      </c>
      <c r="BM768">
        <v>16.96</v>
      </c>
      <c r="BN768">
        <v>130.03</v>
      </c>
      <c r="BO768">
        <v>130.03</v>
      </c>
      <c r="BQ768" t="s">
        <v>1878</v>
      </c>
      <c r="BR768" t="s">
        <v>1573</v>
      </c>
      <c r="BS768" s="3">
        <v>44608</v>
      </c>
      <c r="BT768" s="4">
        <v>0.34027777777777773</v>
      </c>
      <c r="BU768" t="s">
        <v>1486</v>
      </c>
      <c r="BV768" t="s">
        <v>101</v>
      </c>
      <c r="BY768">
        <v>1200</v>
      </c>
      <c r="BZ768" t="s">
        <v>137</v>
      </c>
      <c r="CA768" t="s">
        <v>1475</v>
      </c>
      <c r="CC768" t="s">
        <v>385</v>
      </c>
      <c r="CD768">
        <v>2125</v>
      </c>
      <c r="CE768" t="s">
        <v>130</v>
      </c>
      <c r="CF768" s="3">
        <v>44609</v>
      </c>
      <c r="CI768">
        <v>1</v>
      </c>
      <c r="CJ768">
        <v>1</v>
      </c>
      <c r="CK768">
        <v>31</v>
      </c>
      <c r="CL768" t="s">
        <v>84</v>
      </c>
    </row>
    <row r="769" spans="1:90" x14ac:dyDescent="0.25">
      <c r="A769" t="s">
        <v>1417</v>
      </c>
      <c r="B769" t="s">
        <v>1400</v>
      </c>
      <c r="C769" t="s">
        <v>74</v>
      </c>
      <c r="E769" t="str">
        <f>"009941922518"</f>
        <v>009941922518</v>
      </c>
      <c r="F769" s="3">
        <v>44607</v>
      </c>
      <c r="G769">
        <v>202208</v>
      </c>
      <c r="H769" t="s">
        <v>234</v>
      </c>
      <c r="I769" t="s">
        <v>235</v>
      </c>
      <c r="J769" t="s">
        <v>1401</v>
      </c>
      <c r="K769" t="s">
        <v>78</v>
      </c>
      <c r="L769" t="s">
        <v>153</v>
      </c>
      <c r="M769" t="s">
        <v>154</v>
      </c>
      <c r="N769" t="s">
        <v>1879</v>
      </c>
      <c r="O769" t="s">
        <v>80</v>
      </c>
      <c r="P769" t="str">
        <f>"                              "</f>
        <v xml:space="preserve">                              </v>
      </c>
      <c r="Q769">
        <v>0</v>
      </c>
      <c r="R769">
        <v>0</v>
      </c>
      <c r="S769">
        <v>0</v>
      </c>
      <c r="T769">
        <v>0</v>
      </c>
      <c r="U769">
        <v>0</v>
      </c>
      <c r="V769">
        <v>0</v>
      </c>
      <c r="W769">
        <v>0</v>
      </c>
      <c r="X769">
        <v>0</v>
      </c>
      <c r="Y769">
        <v>0</v>
      </c>
      <c r="Z769">
        <v>0</v>
      </c>
      <c r="AA769">
        <v>0</v>
      </c>
      <c r="AB769">
        <v>0</v>
      </c>
      <c r="AC769">
        <v>0</v>
      </c>
      <c r="AD769">
        <v>0</v>
      </c>
      <c r="AE769">
        <v>0</v>
      </c>
      <c r="AF769">
        <v>0</v>
      </c>
      <c r="AG769">
        <v>0</v>
      </c>
      <c r="AH769">
        <v>0</v>
      </c>
      <c r="AI769">
        <v>0</v>
      </c>
      <c r="AJ769">
        <v>0</v>
      </c>
      <c r="AK769">
        <v>16.760000000000002</v>
      </c>
      <c r="AL769">
        <v>0</v>
      </c>
      <c r="AM769">
        <v>0</v>
      </c>
      <c r="AN769">
        <v>0</v>
      </c>
      <c r="AO769">
        <v>0</v>
      </c>
      <c r="AP769">
        <v>0</v>
      </c>
      <c r="AQ769">
        <v>15</v>
      </c>
      <c r="AR769">
        <v>0</v>
      </c>
      <c r="AS769">
        <v>0</v>
      </c>
      <c r="AT769">
        <v>0</v>
      </c>
      <c r="AU769">
        <v>0</v>
      </c>
      <c r="AV769">
        <v>0</v>
      </c>
      <c r="AW769">
        <v>0</v>
      </c>
      <c r="AX769">
        <v>0</v>
      </c>
      <c r="AY769">
        <v>0</v>
      </c>
      <c r="AZ769">
        <v>0</v>
      </c>
      <c r="BA769">
        <v>0</v>
      </c>
      <c r="BB769">
        <v>0</v>
      </c>
      <c r="BC769">
        <v>0</v>
      </c>
      <c r="BD769">
        <v>0</v>
      </c>
      <c r="BE769">
        <v>0</v>
      </c>
      <c r="BF769">
        <v>0</v>
      </c>
      <c r="BG769">
        <v>0</v>
      </c>
      <c r="BH769">
        <v>1</v>
      </c>
      <c r="BI769">
        <v>2</v>
      </c>
      <c r="BJ769">
        <v>0.2</v>
      </c>
      <c r="BK769">
        <v>2</v>
      </c>
      <c r="BL769">
        <v>75.3</v>
      </c>
      <c r="BM769">
        <v>11.3</v>
      </c>
      <c r="BN769">
        <v>86.6</v>
      </c>
      <c r="BO769">
        <v>86.6</v>
      </c>
      <c r="BQ769" t="s">
        <v>1880</v>
      </c>
      <c r="BR769" t="s">
        <v>1871</v>
      </c>
      <c r="BS769" s="3">
        <v>44608</v>
      </c>
      <c r="BT769" s="4">
        <v>0.4375</v>
      </c>
      <c r="BU769" t="s">
        <v>1881</v>
      </c>
      <c r="BV769" t="s">
        <v>101</v>
      </c>
      <c r="BY769">
        <v>1200</v>
      </c>
      <c r="BZ769" t="s">
        <v>121</v>
      </c>
      <c r="CA769" t="s">
        <v>1405</v>
      </c>
      <c r="CC769" t="s">
        <v>154</v>
      </c>
      <c r="CD769">
        <v>2000</v>
      </c>
      <c r="CE769" t="s">
        <v>130</v>
      </c>
      <c r="CF769" s="3">
        <v>44608</v>
      </c>
      <c r="CI769">
        <v>1</v>
      </c>
      <c r="CJ769">
        <v>1</v>
      </c>
      <c r="CK769">
        <v>21</v>
      </c>
      <c r="CL769" t="s">
        <v>84</v>
      </c>
    </row>
    <row r="770" spans="1:90" x14ac:dyDescent="0.25">
      <c r="A770" t="s">
        <v>1417</v>
      </c>
      <c r="B770" t="s">
        <v>1400</v>
      </c>
      <c r="C770" t="s">
        <v>74</v>
      </c>
      <c r="E770" t="str">
        <f>"009942086247"</f>
        <v>009942086247</v>
      </c>
      <c r="F770" s="3">
        <v>44607</v>
      </c>
      <c r="G770">
        <v>202208</v>
      </c>
      <c r="H770" t="s">
        <v>123</v>
      </c>
      <c r="I770" t="s">
        <v>124</v>
      </c>
      <c r="J770" t="s">
        <v>1426</v>
      </c>
      <c r="K770" t="s">
        <v>78</v>
      </c>
      <c r="L770" t="s">
        <v>153</v>
      </c>
      <c r="M770" t="s">
        <v>154</v>
      </c>
      <c r="N770" t="s">
        <v>1433</v>
      </c>
      <c r="O770" t="s">
        <v>125</v>
      </c>
      <c r="P770" t="str">
        <f>"                              "</f>
        <v xml:space="preserve">                              </v>
      </c>
      <c r="Q770">
        <v>0</v>
      </c>
      <c r="R770">
        <v>0</v>
      </c>
      <c r="S770">
        <v>0</v>
      </c>
      <c r="T770">
        <v>0</v>
      </c>
      <c r="U770">
        <v>0</v>
      </c>
      <c r="V770">
        <v>0</v>
      </c>
      <c r="W770">
        <v>0</v>
      </c>
      <c r="X770">
        <v>0</v>
      </c>
      <c r="Y770">
        <v>0</v>
      </c>
      <c r="Z770">
        <v>0</v>
      </c>
      <c r="AA770">
        <v>0</v>
      </c>
      <c r="AB770">
        <v>0</v>
      </c>
      <c r="AC770">
        <v>0</v>
      </c>
      <c r="AD770">
        <v>0</v>
      </c>
      <c r="AE770">
        <v>0</v>
      </c>
      <c r="AF770">
        <v>0</v>
      </c>
      <c r="AG770">
        <v>0</v>
      </c>
      <c r="AH770">
        <v>0</v>
      </c>
      <c r="AI770">
        <v>0</v>
      </c>
      <c r="AJ770">
        <v>0</v>
      </c>
      <c r="AK770">
        <v>39.1</v>
      </c>
      <c r="AL770">
        <v>0</v>
      </c>
      <c r="AM770">
        <v>0</v>
      </c>
      <c r="AN770">
        <v>0</v>
      </c>
      <c r="AO770">
        <v>0</v>
      </c>
      <c r="AP770">
        <v>0</v>
      </c>
      <c r="AQ770">
        <v>0</v>
      </c>
      <c r="AR770">
        <v>0</v>
      </c>
      <c r="AS770">
        <v>0</v>
      </c>
      <c r="AT770">
        <v>0</v>
      </c>
      <c r="AU770">
        <v>0</v>
      </c>
      <c r="AV770">
        <v>0</v>
      </c>
      <c r="AW770">
        <v>0</v>
      </c>
      <c r="AX770">
        <v>0</v>
      </c>
      <c r="AY770">
        <v>0</v>
      </c>
      <c r="AZ770">
        <v>0</v>
      </c>
      <c r="BA770">
        <v>0</v>
      </c>
      <c r="BB770">
        <v>0</v>
      </c>
      <c r="BC770">
        <v>0</v>
      </c>
      <c r="BD770">
        <v>0</v>
      </c>
      <c r="BE770">
        <v>0</v>
      </c>
      <c r="BF770">
        <v>0</v>
      </c>
      <c r="BG770">
        <v>0</v>
      </c>
      <c r="BH770">
        <v>2</v>
      </c>
      <c r="BI770">
        <v>20</v>
      </c>
      <c r="BJ770">
        <v>9.6</v>
      </c>
      <c r="BK770">
        <v>20</v>
      </c>
      <c r="BL770">
        <v>145.9</v>
      </c>
      <c r="BM770">
        <v>21.89</v>
      </c>
      <c r="BN770">
        <v>167.79</v>
      </c>
      <c r="BO770">
        <v>167.79</v>
      </c>
      <c r="BQ770" t="s">
        <v>1434</v>
      </c>
      <c r="BR770" t="s">
        <v>1429</v>
      </c>
      <c r="BS770" s="3">
        <v>44609</v>
      </c>
      <c r="BT770" s="4">
        <v>0.3659722222222222</v>
      </c>
      <c r="BU770" t="s">
        <v>1446</v>
      </c>
      <c r="BV770" t="s">
        <v>101</v>
      </c>
      <c r="BY770">
        <v>24000</v>
      </c>
      <c r="BZ770" t="s">
        <v>137</v>
      </c>
      <c r="CA770" t="s">
        <v>928</v>
      </c>
      <c r="CC770" t="s">
        <v>154</v>
      </c>
      <c r="CD770">
        <v>2090</v>
      </c>
      <c r="CE770" t="s">
        <v>130</v>
      </c>
      <c r="CF770" s="3">
        <v>44609</v>
      </c>
      <c r="CI770">
        <v>2</v>
      </c>
      <c r="CJ770">
        <v>2</v>
      </c>
      <c r="CK770">
        <v>41</v>
      </c>
      <c r="CL770" t="s">
        <v>84</v>
      </c>
    </row>
    <row r="771" spans="1:90" x14ac:dyDescent="0.25">
      <c r="A771" t="s">
        <v>1417</v>
      </c>
      <c r="B771" t="s">
        <v>1400</v>
      </c>
      <c r="C771" t="s">
        <v>74</v>
      </c>
      <c r="E771" t="str">
        <f>"009941567798"</f>
        <v>009941567798</v>
      </c>
      <c r="F771" s="3">
        <v>44607</v>
      </c>
      <c r="G771">
        <v>202208</v>
      </c>
      <c r="H771" t="s">
        <v>1436</v>
      </c>
      <c r="I771" t="s">
        <v>1437</v>
      </c>
      <c r="J771" t="s">
        <v>1401</v>
      </c>
      <c r="K771" t="s">
        <v>78</v>
      </c>
      <c r="L771" t="s">
        <v>1529</v>
      </c>
      <c r="M771" t="s">
        <v>1530</v>
      </c>
      <c r="N771" t="s">
        <v>1488</v>
      </c>
      <c r="O771" t="s">
        <v>80</v>
      </c>
      <c r="P771" t="str">
        <f>"STORES                        "</f>
        <v xml:space="preserve">STORES                        </v>
      </c>
      <c r="Q771">
        <v>0</v>
      </c>
      <c r="R771">
        <v>0</v>
      </c>
      <c r="S771">
        <v>0</v>
      </c>
      <c r="T771">
        <v>0</v>
      </c>
      <c r="U771">
        <v>0</v>
      </c>
      <c r="V771">
        <v>0</v>
      </c>
      <c r="W771">
        <v>0</v>
      </c>
      <c r="X771">
        <v>0</v>
      </c>
      <c r="Y771">
        <v>0</v>
      </c>
      <c r="Z771">
        <v>0</v>
      </c>
      <c r="AA771">
        <v>0</v>
      </c>
      <c r="AB771">
        <v>0</v>
      </c>
      <c r="AC771">
        <v>0</v>
      </c>
      <c r="AD771">
        <v>0</v>
      </c>
      <c r="AE771">
        <v>0</v>
      </c>
      <c r="AF771">
        <v>0</v>
      </c>
      <c r="AG771">
        <v>0</v>
      </c>
      <c r="AH771">
        <v>0</v>
      </c>
      <c r="AI771">
        <v>0</v>
      </c>
      <c r="AJ771">
        <v>0</v>
      </c>
      <c r="AK771">
        <v>32.479999999999997</v>
      </c>
      <c r="AL771">
        <v>0</v>
      </c>
      <c r="AM771">
        <v>0</v>
      </c>
      <c r="AN771">
        <v>0</v>
      </c>
      <c r="AO771">
        <v>0</v>
      </c>
      <c r="AP771">
        <v>0</v>
      </c>
      <c r="AQ771">
        <v>15</v>
      </c>
      <c r="AR771">
        <v>0</v>
      </c>
      <c r="AS771">
        <v>0</v>
      </c>
      <c r="AT771">
        <v>0</v>
      </c>
      <c r="AU771">
        <v>0</v>
      </c>
      <c r="AV771">
        <v>0</v>
      </c>
      <c r="AW771">
        <v>0</v>
      </c>
      <c r="AX771">
        <v>0</v>
      </c>
      <c r="AY771">
        <v>0</v>
      </c>
      <c r="AZ771">
        <v>0</v>
      </c>
      <c r="BA771">
        <v>0</v>
      </c>
      <c r="BB771">
        <v>0</v>
      </c>
      <c r="BC771">
        <v>0</v>
      </c>
      <c r="BD771">
        <v>0</v>
      </c>
      <c r="BE771">
        <v>0</v>
      </c>
      <c r="BF771">
        <v>0</v>
      </c>
      <c r="BG771">
        <v>0</v>
      </c>
      <c r="BH771">
        <v>1</v>
      </c>
      <c r="BI771">
        <v>0.2</v>
      </c>
      <c r="BJ771">
        <v>0.2</v>
      </c>
      <c r="BK771">
        <v>0.5</v>
      </c>
      <c r="BL771">
        <v>131.84</v>
      </c>
      <c r="BM771">
        <v>19.78</v>
      </c>
      <c r="BN771">
        <v>151.62</v>
      </c>
      <c r="BO771">
        <v>151.62</v>
      </c>
      <c r="BQ771" t="s">
        <v>1882</v>
      </c>
      <c r="BR771" t="s">
        <v>1440</v>
      </c>
      <c r="BS771" s="3">
        <v>44608</v>
      </c>
      <c r="BT771" s="4">
        <v>0.43888888888888888</v>
      </c>
      <c r="BU771" t="s">
        <v>907</v>
      </c>
      <c r="BV771" t="s">
        <v>101</v>
      </c>
      <c r="BY771">
        <v>1200</v>
      </c>
      <c r="BZ771" t="s">
        <v>121</v>
      </c>
      <c r="CA771" t="s">
        <v>1532</v>
      </c>
      <c r="CC771" t="s">
        <v>1530</v>
      </c>
      <c r="CD771">
        <v>450</v>
      </c>
      <c r="CE771" t="s">
        <v>130</v>
      </c>
      <c r="CF771" s="3">
        <v>44608</v>
      </c>
      <c r="CI771">
        <v>1</v>
      </c>
      <c r="CJ771">
        <v>1</v>
      </c>
      <c r="CK771">
        <v>23</v>
      </c>
      <c r="CL771" t="s">
        <v>84</v>
      </c>
    </row>
    <row r="773" spans="1:90" x14ac:dyDescent="0.25">
      <c r="E773" t="s">
        <v>1398</v>
      </c>
      <c r="Q773">
        <v>0</v>
      </c>
      <c r="R773">
        <v>0</v>
      </c>
      <c r="S773">
        <v>0</v>
      </c>
      <c r="T773">
        <v>0</v>
      </c>
      <c r="U773">
        <v>0</v>
      </c>
      <c r="V773">
        <v>0</v>
      </c>
      <c r="W773">
        <v>0</v>
      </c>
      <c r="X773">
        <v>0</v>
      </c>
      <c r="Y773">
        <v>30</v>
      </c>
      <c r="Z773">
        <v>0</v>
      </c>
      <c r="AA773">
        <v>0</v>
      </c>
      <c r="AB773">
        <v>0</v>
      </c>
      <c r="AC773">
        <v>0</v>
      </c>
      <c r="AD773">
        <v>0</v>
      </c>
      <c r="AE773">
        <v>0</v>
      </c>
      <c r="AF773">
        <v>0</v>
      </c>
      <c r="AG773">
        <v>0</v>
      </c>
      <c r="AH773">
        <v>0</v>
      </c>
      <c r="AI773">
        <v>0</v>
      </c>
      <c r="AJ773">
        <v>0</v>
      </c>
      <c r="AK773">
        <v>22020.53</v>
      </c>
      <c r="AL773">
        <v>0</v>
      </c>
      <c r="AM773">
        <v>0</v>
      </c>
      <c r="AN773">
        <v>0</v>
      </c>
      <c r="AO773">
        <v>0</v>
      </c>
      <c r="AP773">
        <v>0</v>
      </c>
      <c r="AQ773">
        <v>225</v>
      </c>
      <c r="AR773">
        <v>0</v>
      </c>
      <c r="AS773">
        <v>0</v>
      </c>
      <c r="AT773">
        <v>0</v>
      </c>
      <c r="AU773">
        <v>0</v>
      </c>
      <c r="AV773">
        <v>0</v>
      </c>
      <c r="AW773">
        <v>0</v>
      </c>
      <c r="AX773">
        <v>0</v>
      </c>
      <c r="AY773">
        <v>0</v>
      </c>
      <c r="AZ773">
        <v>0</v>
      </c>
      <c r="BA773">
        <v>0</v>
      </c>
      <c r="BB773">
        <v>0</v>
      </c>
      <c r="BC773">
        <v>0</v>
      </c>
      <c r="BD773">
        <v>0</v>
      </c>
      <c r="BE773">
        <v>0</v>
      </c>
      <c r="BF773">
        <v>0</v>
      </c>
      <c r="BG773">
        <v>0</v>
      </c>
      <c r="BI773">
        <v>5785.1</v>
      </c>
      <c r="BJ773">
        <v>7509.5</v>
      </c>
      <c r="BK773">
        <v>8534.5</v>
      </c>
      <c r="BL773">
        <v>80694.289999999994</v>
      </c>
      <c r="BM773">
        <v>12104.53</v>
      </c>
      <c r="BN773">
        <v>92798.82</v>
      </c>
    </row>
    <row r="775" spans="1:90" x14ac:dyDescent="0.25">
      <c r="A775" t="s">
        <v>1883</v>
      </c>
      <c r="B775" t="s">
        <v>1884</v>
      </c>
      <c r="C775" t="s">
        <v>74</v>
      </c>
      <c r="E775" t="str">
        <f>"009941407565"</f>
        <v>009941407565</v>
      </c>
      <c r="F775" s="3">
        <v>44610</v>
      </c>
      <c r="G775">
        <v>202208</v>
      </c>
      <c r="H775" t="s">
        <v>649</v>
      </c>
      <c r="I775" t="s">
        <v>650</v>
      </c>
      <c r="J775" t="s">
        <v>1885</v>
      </c>
      <c r="K775" t="s">
        <v>78</v>
      </c>
      <c r="L775" t="s">
        <v>623</v>
      </c>
      <c r="M775" t="s">
        <v>624</v>
      </c>
      <c r="N775" t="s">
        <v>1886</v>
      </c>
      <c r="O775" t="s">
        <v>125</v>
      </c>
      <c r="P775" t="str">
        <f>"                              "</f>
        <v xml:space="preserve">                              </v>
      </c>
      <c r="Q775">
        <v>0</v>
      </c>
      <c r="R775">
        <v>0</v>
      </c>
      <c r="S775">
        <v>0</v>
      </c>
      <c r="T775">
        <v>0</v>
      </c>
      <c r="U775">
        <v>0</v>
      </c>
      <c r="V775">
        <v>0</v>
      </c>
      <c r="W775">
        <v>0</v>
      </c>
      <c r="X775">
        <v>0</v>
      </c>
      <c r="Y775">
        <v>0</v>
      </c>
      <c r="Z775">
        <v>0</v>
      </c>
      <c r="AA775">
        <v>0</v>
      </c>
      <c r="AB775">
        <v>0</v>
      </c>
      <c r="AC775">
        <v>0</v>
      </c>
      <c r="AD775">
        <v>0</v>
      </c>
      <c r="AE775">
        <v>0</v>
      </c>
      <c r="AF775">
        <v>0</v>
      </c>
      <c r="AG775">
        <v>0</v>
      </c>
      <c r="AH775">
        <v>0</v>
      </c>
      <c r="AI775">
        <v>0</v>
      </c>
      <c r="AJ775">
        <v>0</v>
      </c>
      <c r="AK775">
        <v>135.29</v>
      </c>
      <c r="AL775">
        <v>0</v>
      </c>
      <c r="AM775">
        <v>0</v>
      </c>
      <c r="AN775">
        <v>0</v>
      </c>
      <c r="AO775">
        <v>0</v>
      </c>
      <c r="AP775">
        <v>0</v>
      </c>
      <c r="AQ775">
        <v>0</v>
      </c>
      <c r="AR775">
        <v>0</v>
      </c>
      <c r="AS775">
        <v>0</v>
      </c>
      <c r="AT775">
        <v>0</v>
      </c>
      <c r="AU775">
        <v>0</v>
      </c>
      <c r="AV775">
        <v>0</v>
      </c>
      <c r="AW775">
        <v>0</v>
      </c>
      <c r="AX775">
        <v>0</v>
      </c>
      <c r="AY775">
        <v>0</v>
      </c>
      <c r="AZ775">
        <v>0</v>
      </c>
      <c r="BA775">
        <v>0</v>
      </c>
      <c r="BB775">
        <v>0</v>
      </c>
      <c r="BC775">
        <v>0</v>
      </c>
      <c r="BD775">
        <v>0</v>
      </c>
      <c r="BE775">
        <v>0</v>
      </c>
      <c r="BF775">
        <v>0</v>
      </c>
      <c r="BG775">
        <v>0</v>
      </c>
      <c r="BH775">
        <v>4</v>
      </c>
      <c r="BI775">
        <v>28</v>
      </c>
      <c r="BJ775">
        <v>91.1</v>
      </c>
      <c r="BK775">
        <v>92</v>
      </c>
      <c r="BL775">
        <v>491.93</v>
      </c>
      <c r="BM775">
        <v>73.790000000000006</v>
      </c>
      <c r="BN775">
        <v>565.72</v>
      </c>
      <c r="BO775">
        <v>565.72</v>
      </c>
      <c r="BS775" s="3">
        <v>44614</v>
      </c>
      <c r="BT775" s="4">
        <v>0.51250000000000007</v>
      </c>
      <c r="BU775" t="s">
        <v>1887</v>
      </c>
      <c r="BV775" t="s">
        <v>101</v>
      </c>
      <c r="BY775">
        <v>113850</v>
      </c>
      <c r="BZ775" t="s">
        <v>137</v>
      </c>
      <c r="CA775" t="s">
        <v>1888</v>
      </c>
      <c r="CC775" t="s">
        <v>624</v>
      </c>
      <c r="CD775">
        <v>4300</v>
      </c>
      <c r="CE775" t="s">
        <v>130</v>
      </c>
      <c r="CF775" s="3">
        <v>44615</v>
      </c>
      <c r="CI775">
        <v>3</v>
      </c>
      <c r="CJ775">
        <v>2</v>
      </c>
      <c r="CK775">
        <v>41</v>
      </c>
      <c r="CL775" t="s">
        <v>84</v>
      </c>
    </row>
    <row r="776" spans="1:90" x14ac:dyDescent="0.25">
      <c r="A776" t="s">
        <v>1889</v>
      </c>
      <c r="B776" t="s">
        <v>1884</v>
      </c>
      <c r="C776" t="s">
        <v>74</v>
      </c>
      <c r="E776" t="str">
        <f>"009941407564"</f>
        <v>009941407564</v>
      </c>
      <c r="F776" s="3">
        <v>44613</v>
      </c>
      <c r="G776">
        <v>202208</v>
      </c>
      <c r="H776" t="s">
        <v>649</v>
      </c>
      <c r="I776" t="s">
        <v>650</v>
      </c>
      <c r="J776" t="s">
        <v>1885</v>
      </c>
      <c r="K776" t="s">
        <v>78</v>
      </c>
      <c r="L776" t="s">
        <v>623</v>
      </c>
      <c r="M776" t="s">
        <v>624</v>
      </c>
      <c r="N776" t="s">
        <v>1886</v>
      </c>
      <c r="O776" t="s">
        <v>125</v>
      </c>
      <c r="P776" t="str">
        <f>"                              "</f>
        <v xml:space="preserve">                              </v>
      </c>
      <c r="Q776">
        <v>0</v>
      </c>
      <c r="R776">
        <v>0</v>
      </c>
      <c r="S776">
        <v>0</v>
      </c>
      <c r="T776">
        <v>0</v>
      </c>
      <c r="U776">
        <v>0</v>
      </c>
      <c r="V776">
        <v>0</v>
      </c>
      <c r="W776">
        <v>0</v>
      </c>
      <c r="X776">
        <v>0</v>
      </c>
      <c r="Y776">
        <v>0</v>
      </c>
      <c r="Z776">
        <v>0</v>
      </c>
      <c r="AA776">
        <v>0</v>
      </c>
      <c r="AB776">
        <v>0</v>
      </c>
      <c r="AC776">
        <v>0</v>
      </c>
      <c r="AD776">
        <v>0</v>
      </c>
      <c r="AE776">
        <v>0</v>
      </c>
      <c r="AF776">
        <v>0</v>
      </c>
      <c r="AG776">
        <v>0</v>
      </c>
      <c r="AH776">
        <v>0</v>
      </c>
      <c r="AI776">
        <v>0</v>
      </c>
      <c r="AJ776">
        <v>0</v>
      </c>
      <c r="AK776">
        <v>101.89</v>
      </c>
      <c r="AL776">
        <v>0</v>
      </c>
      <c r="AM776">
        <v>0</v>
      </c>
      <c r="AN776">
        <v>0</v>
      </c>
      <c r="AO776">
        <v>0</v>
      </c>
      <c r="AP776">
        <v>0</v>
      </c>
      <c r="AQ776">
        <v>0</v>
      </c>
      <c r="AR776">
        <v>0</v>
      </c>
      <c r="AS776">
        <v>0</v>
      </c>
      <c r="AT776">
        <v>0</v>
      </c>
      <c r="AU776">
        <v>0</v>
      </c>
      <c r="AV776">
        <v>0</v>
      </c>
      <c r="AW776">
        <v>0</v>
      </c>
      <c r="AX776">
        <v>0</v>
      </c>
      <c r="AY776">
        <v>0</v>
      </c>
      <c r="AZ776">
        <v>0</v>
      </c>
      <c r="BA776">
        <v>0</v>
      </c>
      <c r="BB776">
        <v>0</v>
      </c>
      <c r="BC776">
        <v>0</v>
      </c>
      <c r="BD776">
        <v>0</v>
      </c>
      <c r="BE776">
        <v>0</v>
      </c>
      <c r="BF776">
        <v>0</v>
      </c>
      <c r="BG776">
        <v>0</v>
      </c>
      <c r="BH776">
        <v>3</v>
      </c>
      <c r="BI776">
        <v>21</v>
      </c>
      <c r="BJ776">
        <v>66.8</v>
      </c>
      <c r="BK776">
        <v>67</v>
      </c>
      <c r="BL776">
        <v>371.78</v>
      </c>
      <c r="BM776">
        <v>55.77</v>
      </c>
      <c r="BN776">
        <v>427.55</v>
      </c>
      <c r="BO776">
        <v>427.55</v>
      </c>
      <c r="BS776" s="3">
        <v>44620</v>
      </c>
      <c r="BT776" s="4">
        <v>0.52777777777777779</v>
      </c>
      <c r="BU776" t="s">
        <v>1890</v>
      </c>
      <c r="BV776" t="s">
        <v>84</v>
      </c>
      <c r="BY776">
        <v>111375</v>
      </c>
      <c r="BZ776" t="s">
        <v>137</v>
      </c>
      <c r="CA776" t="s">
        <v>1888</v>
      </c>
      <c r="CC776" t="s">
        <v>624</v>
      </c>
      <c r="CD776">
        <v>4300</v>
      </c>
      <c r="CE776" t="s">
        <v>130</v>
      </c>
      <c r="CI776">
        <v>3</v>
      </c>
      <c r="CJ776">
        <v>5</v>
      </c>
      <c r="CK776">
        <v>41</v>
      </c>
      <c r="CL776" t="s">
        <v>84</v>
      </c>
    </row>
    <row r="777" spans="1:90" x14ac:dyDescent="0.25">
      <c r="A777" t="s">
        <v>1883</v>
      </c>
      <c r="B777" t="s">
        <v>1884</v>
      </c>
      <c r="C777" t="s">
        <v>74</v>
      </c>
      <c r="E777" t="str">
        <f>"009941407568"</f>
        <v>009941407568</v>
      </c>
      <c r="F777" s="3">
        <v>44599</v>
      </c>
      <c r="G777">
        <v>202208</v>
      </c>
      <c r="H777" t="s">
        <v>649</v>
      </c>
      <c r="I777" t="s">
        <v>650</v>
      </c>
      <c r="J777" t="s">
        <v>1891</v>
      </c>
      <c r="K777" t="s">
        <v>78</v>
      </c>
      <c r="L777" t="s">
        <v>623</v>
      </c>
      <c r="M777" t="s">
        <v>624</v>
      </c>
      <c r="N777" t="s">
        <v>1886</v>
      </c>
      <c r="O777" t="s">
        <v>125</v>
      </c>
      <c r="P777" t="str">
        <f>"                              "</f>
        <v xml:space="preserve">                              </v>
      </c>
      <c r="Q777">
        <v>0</v>
      </c>
      <c r="R777">
        <v>0</v>
      </c>
      <c r="S777">
        <v>0</v>
      </c>
      <c r="T777">
        <v>0</v>
      </c>
      <c r="U777">
        <v>0</v>
      </c>
      <c r="V777">
        <v>0</v>
      </c>
      <c r="W777">
        <v>0</v>
      </c>
      <c r="X777">
        <v>0</v>
      </c>
      <c r="Y777">
        <v>0</v>
      </c>
      <c r="Z777">
        <v>0</v>
      </c>
      <c r="AA777">
        <v>0</v>
      </c>
      <c r="AB777">
        <v>0</v>
      </c>
      <c r="AC777">
        <v>0</v>
      </c>
      <c r="AD777">
        <v>0</v>
      </c>
      <c r="AE777">
        <v>0</v>
      </c>
      <c r="AF777">
        <v>0</v>
      </c>
      <c r="AG777">
        <v>0</v>
      </c>
      <c r="AH777">
        <v>0</v>
      </c>
      <c r="AI777">
        <v>0</v>
      </c>
      <c r="AJ777">
        <v>0</v>
      </c>
      <c r="AK777">
        <v>220.79</v>
      </c>
      <c r="AL777">
        <v>0</v>
      </c>
      <c r="AM777">
        <v>0</v>
      </c>
      <c r="AN777">
        <v>0</v>
      </c>
      <c r="AO777">
        <v>0</v>
      </c>
      <c r="AP777">
        <v>0</v>
      </c>
      <c r="AQ777">
        <v>0</v>
      </c>
      <c r="AR777">
        <v>0</v>
      </c>
      <c r="AS777">
        <v>0</v>
      </c>
      <c r="AT777">
        <v>0</v>
      </c>
      <c r="AU777">
        <v>0</v>
      </c>
      <c r="AV777">
        <v>0</v>
      </c>
      <c r="AW777">
        <v>0</v>
      </c>
      <c r="AX777">
        <v>0</v>
      </c>
      <c r="AY777">
        <v>0</v>
      </c>
      <c r="AZ777">
        <v>0</v>
      </c>
      <c r="BA777">
        <v>0</v>
      </c>
      <c r="BB777">
        <v>0</v>
      </c>
      <c r="BC777">
        <v>0</v>
      </c>
      <c r="BD777">
        <v>0</v>
      </c>
      <c r="BE777">
        <v>0</v>
      </c>
      <c r="BF777">
        <v>0</v>
      </c>
      <c r="BG777">
        <v>0</v>
      </c>
      <c r="BH777">
        <v>7</v>
      </c>
      <c r="BI777">
        <v>49</v>
      </c>
      <c r="BJ777">
        <v>155.9</v>
      </c>
      <c r="BK777">
        <v>156</v>
      </c>
      <c r="BL777">
        <v>799.51</v>
      </c>
      <c r="BM777">
        <v>119.93</v>
      </c>
      <c r="BN777">
        <v>919.44</v>
      </c>
      <c r="BO777">
        <v>919.44</v>
      </c>
      <c r="BS777" s="3">
        <v>44603</v>
      </c>
      <c r="BT777" s="4">
        <v>0.51180555555555551</v>
      </c>
      <c r="BU777" t="s">
        <v>1892</v>
      </c>
      <c r="BV777" t="s">
        <v>84</v>
      </c>
      <c r="BW777" t="s">
        <v>268</v>
      </c>
      <c r="BX777" t="s">
        <v>240</v>
      </c>
      <c r="BY777">
        <v>222750</v>
      </c>
      <c r="BZ777" t="s">
        <v>137</v>
      </c>
      <c r="CA777" t="s">
        <v>1888</v>
      </c>
      <c r="CC777" t="s">
        <v>624</v>
      </c>
      <c r="CD777">
        <v>4302</v>
      </c>
      <c r="CE777" t="s">
        <v>130</v>
      </c>
      <c r="CF777" s="3">
        <v>44603</v>
      </c>
      <c r="CI777">
        <v>3</v>
      </c>
      <c r="CJ777">
        <v>4</v>
      </c>
      <c r="CK777">
        <v>41</v>
      </c>
      <c r="CL777" t="s">
        <v>84</v>
      </c>
    </row>
    <row r="778" spans="1:90" x14ac:dyDescent="0.25">
      <c r="A778" t="s">
        <v>1889</v>
      </c>
      <c r="B778" t="s">
        <v>1884</v>
      </c>
      <c r="C778" t="s">
        <v>74</v>
      </c>
      <c r="E778" t="str">
        <f>"009941407567"</f>
        <v>009941407567</v>
      </c>
      <c r="F778" s="3">
        <v>44602</v>
      </c>
      <c r="G778">
        <v>202208</v>
      </c>
      <c r="H778" t="s">
        <v>649</v>
      </c>
      <c r="I778" t="s">
        <v>650</v>
      </c>
      <c r="J778" t="s">
        <v>1893</v>
      </c>
      <c r="K778" t="s">
        <v>78</v>
      </c>
      <c r="L778" t="s">
        <v>623</v>
      </c>
      <c r="M778" t="s">
        <v>624</v>
      </c>
      <c r="N778" t="s">
        <v>1894</v>
      </c>
      <c r="O778" t="s">
        <v>125</v>
      </c>
      <c r="P778" t="str">
        <f>"                              "</f>
        <v xml:space="preserve">                              </v>
      </c>
      <c r="Q778">
        <v>0</v>
      </c>
      <c r="R778">
        <v>0</v>
      </c>
      <c r="S778">
        <v>0</v>
      </c>
      <c r="T778">
        <v>0</v>
      </c>
      <c r="U778">
        <v>0</v>
      </c>
      <c r="V778">
        <v>0</v>
      </c>
      <c r="W778">
        <v>0</v>
      </c>
      <c r="X778">
        <v>0</v>
      </c>
      <c r="Y778">
        <v>0</v>
      </c>
      <c r="Z778">
        <v>0</v>
      </c>
      <c r="AA778">
        <v>0</v>
      </c>
      <c r="AB778">
        <v>0</v>
      </c>
      <c r="AC778">
        <v>0</v>
      </c>
      <c r="AD778">
        <v>0</v>
      </c>
      <c r="AE778">
        <v>0</v>
      </c>
      <c r="AF778">
        <v>0</v>
      </c>
      <c r="AG778">
        <v>0</v>
      </c>
      <c r="AH778">
        <v>0</v>
      </c>
      <c r="AI778">
        <v>0</v>
      </c>
      <c r="AJ778">
        <v>0</v>
      </c>
      <c r="AK778">
        <v>69.819999999999993</v>
      </c>
      <c r="AL778">
        <v>0</v>
      </c>
      <c r="AM778">
        <v>0</v>
      </c>
      <c r="AN778">
        <v>0</v>
      </c>
      <c r="AO778">
        <v>0</v>
      </c>
      <c r="AP778">
        <v>0</v>
      </c>
      <c r="AQ778">
        <v>0</v>
      </c>
      <c r="AR778">
        <v>0</v>
      </c>
      <c r="AS778">
        <v>0</v>
      </c>
      <c r="AT778">
        <v>0</v>
      </c>
      <c r="AU778">
        <v>0</v>
      </c>
      <c r="AV778">
        <v>0</v>
      </c>
      <c r="AW778">
        <v>0</v>
      </c>
      <c r="AX778">
        <v>0</v>
      </c>
      <c r="AY778">
        <v>0</v>
      </c>
      <c r="AZ778">
        <v>0</v>
      </c>
      <c r="BA778">
        <v>0</v>
      </c>
      <c r="BB778">
        <v>0</v>
      </c>
      <c r="BC778">
        <v>0</v>
      </c>
      <c r="BD778">
        <v>0</v>
      </c>
      <c r="BE778">
        <v>0</v>
      </c>
      <c r="BF778">
        <v>0</v>
      </c>
      <c r="BG778">
        <v>0</v>
      </c>
      <c r="BH778">
        <v>2</v>
      </c>
      <c r="BI778">
        <v>16</v>
      </c>
      <c r="BJ778">
        <v>42.1</v>
      </c>
      <c r="BK778">
        <v>43</v>
      </c>
      <c r="BL778">
        <v>256.43</v>
      </c>
      <c r="BM778">
        <v>38.46</v>
      </c>
      <c r="BN778">
        <v>294.89</v>
      </c>
      <c r="BO778">
        <v>294.89</v>
      </c>
      <c r="BR778" t="s">
        <v>1895</v>
      </c>
      <c r="BS778" s="3">
        <v>44607</v>
      </c>
      <c r="BT778" s="4">
        <v>0.52152777777777781</v>
      </c>
      <c r="BU778" t="s">
        <v>1896</v>
      </c>
      <c r="BV778" t="s">
        <v>101</v>
      </c>
      <c r="BY778">
        <v>105300</v>
      </c>
      <c r="BZ778" t="s">
        <v>137</v>
      </c>
      <c r="CA778" t="s">
        <v>1888</v>
      </c>
      <c r="CC778" t="s">
        <v>624</v>
      </c>
      <c r="CD778">
        <v>4300</v>
      </c>
      <c r="CE778" t="s">
        <v>130</v>
      </c>
      <c r="CF778" s="3">
        <v>44608</v>
      </c>
      <c r="CI778">
        <v>3</v>
      </c>
      <c r="CJ778">
        <v>3</v>
      </c>
      <c r="CK778">
        <v>41</v>
      </c>
      <c r="CL778" t="s">
        <v>84</v>
      </c>
    </row>
    <row r="779" spans="1:90" x14ac:dyDescent="0.25">
      <c r="A779" t="s">
        <v>1883</v>
      </c>
      <c r="B779" t="s">
        <v>1884</v>
      </c>
      <c r="C779" t="s">
        <v>74</v>
      </c>
      <c r="E779" t="str">
        <f>"009941407566"</f>
        <v>009941407566</v>
      </c>
      <c r="F779" s="3">
        <v>44606</v>
      </c>
      <c r="G779">
        <v>202208</v>
      </c>
      <c r="H779" t="s">
        <v>649</v>
      </c>
      <c r="I779" t="s">
        <v>650</v>
      </c>
      <c r="J779" t="s">
        <v>1885</v>
      </c>
      <c r="K779" t="s">
        <v>78</v>
      </c>
      <c r="L779" t="s">
        <v>623</v>
      </c>
      <c r="M779" t="s">
        <v>624</v>
      </c>
      <c r="N779" t="s">
        <v>1886</v>
      </c>
      <c r="O779" t="s">
        <v>125</v>
      </c>
      <c r="P779" t="str">
        <f>"                              "</f>
        <v xml:space="preserve">                              </v>
      </c>
      <c r="Q779">
        <v>0</v>
      </c>
      <c r="R779">
        <v>0</v>
      </c>
      <c r="S779">
        <v>0</v>
      </c>
      <c r="T779">
        <v>0</v>
      </c>
      <c r="U779">
        <v>0</v>
      </c>
      <c r="V779">
        <v>0</v>
      </c>
      <c r="W779">
        <v>0</v>
      </c>
      <c r="X779">
        <v>0</v>
      </c>
      <c r="Y779">
        <v>0</v>
      </c>
      <c r="Z779">
        <v>0</v>
      </c>
      <c r="AA779">
        <v>0</v>
      </c>
      <c r="AB779">
        <v>0</v>
      </c>
      <c r="AC779">
        <v>0</v>
      </c>
      <c r="AD779">
        <v>0</v>
      </c>
      <c r="AE779">
        <v>0</v>
      </c>
      <c r="AF779">
        <v>0</v>
      </c>
      <c r="AG779">
        <v>0</v>
      </c>
      <c r="AH779">
        <v>0</v>
      </c>
      <c r="AI779">
        <v>0</v>
      </c>
      <c r="AJ779">
        <v>0</v>
      </c>
      <c r="AK779">
        <v>132.61000000000001</v>
      </c>
      <c r="AL779">
        <v>0</v>
      </c>
      <c r="AM779">
        <v>0</v>
      </c>
      <c r="AN779">
        <v>0</v>
      </c>
      <c r="AO779">
        <v>0</v>
      </c>
      <c r="AP779">
        <v>0</v>
      </c>
      <c r="AQ779">
        <v>0</v>
      </c>
      <c r="AR779">
        <v>0</v>
      </c>
      <c r="AS779">
        <v>0</v>
      </c>
      <c r="AT779">
        <v>0</v>
      </c>
      <c r="AU779">
        <v>0</v>
      </c>
      <c r="AV779">
        <v>0</v>
      </c>
      <c r="AW779">
        <v>0</v>
      </c>
      <c r="AX779">
        <v>0</v>
      </c>
      <c r="AY779">
        <v>0</v>
      </c>
      <c r="AZ779">
        <v>0</v>
      </c>
      <c r="BA779">
        <v>0</v>
      </c>
      <c r="BB779">
        <v>0</v>
      </c>
      <c r="BC779">
        <v>0</v>
      </c>
      <c r="BD779">
        <v>0</v>
      </c>
      <c r="BE779">
        <v>0</v>
      </c>
      <c r="BF779">
        <v>0</v>
      </c>
      <c r="BG779">
        <v>0</v>
      </c>
      <c r="BH779">
        <v>4</v>
      </c>
      <c r="BI779">
        <v>28</v>
      </c>
      <c r="BJ779">
        <v>89.1</v>
      </c>
      <c r="BK779">
        <v>90</v>
      </c>
      <c r="BL779">
        <v>482.31</v>
      </c>
      <c r="BM779">
        <v>72.349999999999994</v>
      </c>
      <c r="BN779">
        <v>554.66</v>
      </c>
      <c r="BO779">
        <v>554.66</v>
      </c>
      <c r="BS779" s="3">
        <v>44610</v>
      </c>
      <c r="BT779" s="4">
        <v>0.54097222222222219</v>
      </c>
      <c r="BU779" t="s">
        <v>1890</v>
      </c>
      <c r="BV779" t="s">
        <v>84</v>
      </c>
      <c r="BW779" t="s">
        <v>268</v>
      </c>
      <c r="BX779" t="s">
        <v>269</v>
      </c>
      <c r="BY779">
        <v>111375</v>
      </c>
      <c r="BZ779" t="s">
        <v>137</v>
      </c>
      <c r="CA779" t="s">
        <v>1888</v>
      </c>
      <c r="CC779" t="s">
        <v>624</v>
      </c>
      <c r="CD779">
        <v>4300</v>
      </c>
      <c r="CE779" t="s">
        <v>130</v>
      </c>
      <c r="CF779" s="3">
        <v>44610</v>
      </c>
      <c r="CI779">
        <v>3</v>
      </c>
      <c r="CJ779">
        <v>4</v>
      </c>
      <c r="CK779">
        <v>41</v>
      </c>
      <c r="CL779" t="s">
        <v>84</v>
      </c>
    </row>
    <row r="781" spans="1:90" x14ac:dyDescent="0.25">
      <c r="E781" t="s">
        <v>1398</v>
      </c>
      <c r="Q781">
        <v>0</v>
      </c>
      <c r="R781">
        <v>0</v>
      </c>
      <c r="S781">
        <v>0</v>
      </c>
      <c r="T781">
        <v>0</v>
      </c>
      <c r="U781">
        <v>0</v>
      </c>
      <c r="V781">
        <v>0</v>
      </c>
      <c r="W781">
        <v>0</v>
      </c>
      <c r="X781">
        <v>0</v>
      </c>
      <c r="Y781">
        <v>0</v>
      </c>
      <c r="Z781">
        <v>0</v>
      </c>
      <c r="AA781">
        <v>0</v>
      </c>
      <c r="AB781">
        <v>0</v>
      </c>
      <c r="AC781">
        <v>0</v>
      </c>
      <c r="AD781">
        <v>0</v>
      </c>
      <c r="AE781">
        <v>0</v>
      </c>
      <c r="AF781">
        <v>0</v>
      </c>
      <c r="AG781">
        <v>0</v>
      </c>
      <c r="AH781">
        <v>0</v>
      </c>
      <c r="AI781">
        <v>0</v>
      </c>
      <c r="AJ781">
        <v>0</v>
      </c>
      <c r="AK781">
        <v>660.4</v>
      </c>
      <c r="AL781">
        <v>0</v>
      </c>
      <c r="AM781">
        <v>0</v>
      </c>
      <c r="AN781">
        <v>0</v>
      </c>
      <c r="AO781">
        <v>0</v>
      </c>
      <c r="AP781">
        <v>0</v>
      </c>
      <c r="AQ781">
        <v>0</v>
      </c>
      <c r="AR781">
        <v>0</v>
      </c>
      <c r="AS781">
        <v>0</v>
      </c>
      <c r="AT781">
        <v>0</v>
      </c>
      <c r="AU781">
        <v>0</v>
      </c>
      <c r="AV781">
        <v>0</v>
      </c>
      <c r="AW781">
        <v>0</v>
      </c>
      <c r="AX781">
        <v>0</v>
      </c>
      <c r="AY781">
        <v>0</v>
      </c>
      <c r="AZ781">
        <v>0</v>
      </c>
      <c r="BA781">
        <v>0</v>
      </c>
      <c r="BB781">
        <v>0</v>
      </c>
      <c r="BC781">
        <v>0</v>
      </c>
      <c r="BD781">
        <v>0</v>
      </c>
      <c r="BE781">
        <v>0</v>
      </c>
      <c r="BF781">
        <v>0</v>
      </c>
      <c r="BG781">
        <v>0</v>
      </c>
      <c r="BI781">
        <v>142</v>
      </c>
      <c r="BJ781">
        <v>445</v>
      </c>
      <c r="BK781">
        <v>448</v>
      </c>
      <c r="BL781">
        <v>2401.96</v>
      </c>
      <c r="BM781">
        <v>360.3</v>
      </c>
      <c r="BN781">
        <v>2762.26</v>
      </c>
    </row>
    <row r="783" spans="1:90" x14ac:dyDescent="0.25">
      <c r="A783" t="s">
        <v>1897</v>
      </c>
      <c r="B783" t="s">
        <v>1898</v>
      </c>
      <c r="C783" t="s">
        <v>74</v>
      </c>
      <c r="E783" t="str">
        <f>"009941705968"</f>
        <v>009941705968</v>
      </c>
      <c r="F783" s="3">
        <v>44601</v>
      </c>
      <c r="G783">
        <v>202208</v>
      </c>
      <c r="H783" t="s">
        <v>447</v>
      </c>
      <c r="I783" t="s">
        <v>448</v>
      </c>
      <c r="J783" t="s">
        <v>1886</v>
      </c>
      <c r="K783" t="s">
        <v>78</v>
      </c>
      <c r="L783" t="s">
        <v>75</v>
      </c>
      <c r="M783" t="s">
        <v>76</v>
      </c>
      <c r="N783" t="s">
        <v>1886</v>
      </c>
      <c r="O783" t="s">
        <v>80</v>
      </c>
      <c r="P783" t="str">
        <f>"PAQ15477905                   "</f>
        <v xml:space="preserve">PAQ15477905                   </v>
      </c>
      <c r="Q783">
        <v>0</v>
      </c>
      <c r="R783">
        <v>0</v>
      </c>
      <c r="S783">
        <v>0</v>
      </c>
      <c r="T783">
        <v>0</v>
      </c>
      <c r="U783">
        <v>0</v>
      </c>
      <c r="V783">
        <v>0</v>
      </c>
      <c r="W783">
        <v>0</v>
      </c>
      <c r="X783">
        <v>0</v>
      </c>
      <c r="Y783">
        <v>0</v>
      </c>
      <c r="Z783">
        <v>0</v>
      </c>
      <c r="AA783">
        <v>0</v>
      </c>
      <c r="AB783">
        <v>0</v>
      </c>
      <c r="AC783">
        <v>0</v>
      </c>
      <c r="AD783">
        <v>0</v>
      </c>
      <c r="AE783">
        <v>0</v>
      </c>
      <c r="AF783">
        <v>0</v>
      </c>
      <c r="AG783">
        <v>0</v>
      </c>
      <c r="AH783">
        <v>0</v>
      </c>
      <c r="AI783">
        <v>0</v>
      </c>
      <c r="AJ783">
        <v>0</v>
      </c>
      <c r="AK783">
        <v>309.98</v>
      </c>
      <c r="AL783">
        <v>0</v>
      </c>
      <c r="AM783">
        <v>0</v>
      </c>
      <c r="AN783">
        <v>0</v>
      </c>
      <c r="AO783">
        <v>0</v>
      </c>
      <c r="AP783">
        <v>0</v>
      </c>
      <c r="AQ783">
        <v>0</v>
      </c>
      <c r="AR783">
        <v>0</v>
      </c>
      <c r="AS783">
        <v>0</v>
      </c>
      <c r="AT783">
        <v>0</v>
      </c>
      <c r="AU783">
        <v>0</v>
      </c>
      <c r="AV783">
        <v>0</v>
      </c>
      <c r="AW783">
        <v>0</v>
      </c>
      <c r="AX783">
        <v>0</v>
      </c>
      <c r="AY783">
        <v>0</v>
      </c>
      <c r="AZ783">
        <v>0</v>
      </c>
      <c r="BA783">
        <v>0</v>
      </c>
      <c r="BB783">
        <v>0</v>
      </c>
      <c r="BC783">
        <v>0</v>
      </c>
      <c r="BD783">
        <v>0</v>
      </c>
      <c r="BE783">
        <v>0</v>
      </c>
      <c r="BF783">
        <v>0</v>
      </c>
      <c r="BG783">
        <v>0</v>
      </c>
      <c r="BH783">
        <v>2</v>
      </c>
      <c r="BI783">
        <v>37</v>
      </c>
      <c r="BJ783">
        <v>25.6</v>
      </c>
      <c r="BK783">
        <v>37</v>
      </c>
      <c r="BL783">
        <v>1115.1199999999999</v>
      </c>
      <c r="BM783">
        <v>167.27</v>
      </c>
      <c r="BN783">
        <v>1282.3900000000001</v>
      </c>
      <c r="BO783">
        <v>1282.3900000000001</v>
      </c>
      <c r="BQ783" t="s">
        <v>1899</v>
      </c>
      <c r="BR783" t="s">
        <v>1900</v>
      </c>
      <c r="BS783" s="3">
        <v>44602</v>
      </c>
      <c r="BT783" s="4">
        <v>0.31805555555555554</v>
      </c>
      <c r="BU783" t="s">
        <v>1901</v>
      </c>
      <c r="BV783" t="s">
        <v>101</v>
      </c>
      <c r="BY783">
        <v>64050</v>
      </c>
      <c r="BZ783" t="s">
        <v>1854</v>
      </c>
      <c r="CC783" t="s">
        <v>76</v>
      </c>
      <c r="CD783">
        <v>7800</v>
      </c>
      <c r="CE783" t="s">
        <v>130</v>
      </c>
      <c r="CF783" s="3">
        <v>44603</v>
      </c>
      <c r="CI783">
        <v>1</v>
      </c>
      <c r="CJ783">
        <v>1</v>
      </c>
      <c r="CK783">
        <v>21</v>
      </c>
      <c r="CL783" t="s">
        <v>84</v>
      </c>
    </row>
    <row r="784" spans="1:90" x14ac:dyDescent="0.25">
      <c r="A784" t="s">
        <v>1897</v>
      </c>
      <c r="B784" t="s">
        <v>1898</v>
      </c>
      <c r="C784" t="s">
        <v>74</v>
      </c>
      <c r="E784" t="str">
        <f>"009941853403"</f>
        <v>009941853403</v>
      </c>
      <c r="F784" s="3">
        <v>44609</v>
      </c>
      <c r="G784">
        <v>202208</v>
      </c>
      <c r="H784" t="s">
        <v>153</v>
      </c>
      <c r="I784" t="s">
        <v>154</v>
      </c>
      <c r="J784" t="s">
        <v>1902</v>
      </c>
      <c r="K784" t="s">
        <v>78</v>
      </c>
      <c r="L784" t="s">
        <v>761</v>
      </c>
      <c r="M784" t="s">
        <v>762</v>
      </c>
      <c r="N784" t="s">
        <v>1903</v>
      </c>
      <c r="O784" t="s">
        <v>1904</v>
      </c>
      <c r="P784" t="str">
        <f>"                              "</f>
        <v xml:space="preserve">                              </v>
      </c>
      <c r="Q784">
        <v>0</v>
      </c>
      <c r="R784">
        <v>0</v>
      </c>
      <c r="S784">
        <v>0</v>
      </c>
      <c r="T784">
        <v>0</v>
      </c>
      <c r="U784">
        <v>0</v>
      </c>
      <c r="V784">
        <v>0</v>
      </c>
      <c r="W784">
        <v>0</v>
      </c>
      <c r="X784">
        <v>0</v>
      </c>
      <c r="Y784">
        <v>0</v>
      </c>
      <c r="Z784">
        <v>0</v>
      </c>
      <c r="AA784">
        <v>0</v>
      </c>
      <c r="AB784">
        <v>0</v>
      </c>
      <c r="AC784">
        <v>0</v>
      </c>
      <c r="AD784">
        <v>0</v>
      </c>
      <c r="AE784">
        <v>455</v>
      </c>
      <c r="AF784">
        <v>0</v>
      </c>
      <c r="AG784">
        <v>0</v>
      </c>
      <c r="AH784">
        <v>0</v>
      </c>
      <c r="AI784">
        <v>0</v>
      </c>
      <c r="AJ784">
        <v>0</v>
      </c>
      <c r="AK784">
        <v>418.14</v>
      </c>
      <c r="AL784">
        <v>0</v>
      </c>
      <c r="AM784">
        <v>0</v>
      </c>
      <c r="AN784">
        <v>0</v>
      </c>
      <c r="AO784">
        <v>0</v>
      </c>
      <c r="AP784">
        <v>0</v>
      </c>
      <c r="AQ784">
        <v>0</v>
      </c>
      <c r="AR784">
        <v>0</v>
      </c>
      <c r="AS784">
        <v>0</v>
      </c>
      <c r="AT784">
        <v>0</v>
      </c>
      <c r="AU784">
        <v>0</v>
      </c>
      <c r="AV784">
        <v>0</v>
      </c>
      <c r="AW784">
        <v>0</v>
      </c>
      <c r="AX784">
        <v>0</v>
      </c>
      <c r="AY784">
        <v>0</v>
      </c>
      <c r="AZ784">
        <v>0</v>
      </c>
      <c r="BA784">
        <v>0</v>
      </c>
      <c r="BB784">
        <v>0</v>
      </c>
      <c r="BC784">
        <v>0</v>
      </c>
      <c r="BD784">
        <v>0</v>
      </c>
      <c r="BE784">
        <v>0</v>
      </c>
      <c r="BF784">
        <v>0</v>
      </c>
      <c r="BG784">
        <v>0</v>
      </c>
      <c r="BH784">
        <v>4</v>
      </c>
      <c r="BI784">
        <v>10.7</v>
      </c>
      <c r="BJ784">
        <v>28.7</v>
      </c>
      <c r="BK784">
        <v>29</v>
      </c>
      <c r="BL784">
        <v>1504.2</v>
      </c>
      <c r="BM784">
        <v>225.63</v>
      </c>
      <c r="BN784">
        <v>1729.83</v>
      </c>
      <c r="BO784">
        <v>1729.83</v>
      </c>
      <c r="BP784" t="s">
        <v>1904</v>
      </c>
      <c r="BQ784" t="s">
        <v>1905</v>
      </c>
      <c r="BR784" t="s">
        <v>1906</v>
      </c>
      <c r="BS784" s="3">
        <v>44610</v>
      </c>
      <c r="BT784" s="4">
        <v>0.36458333333333331</v>
      </c>
      <c r="BU784" t="s">
        <v>1907</v>
      </c>
      <c r="BV784" t="s">
        <v>84</v>
      </c>
      <c r="BY784">
        <v>143615.26999999999</v>
      </c>
      <c r="BZ784" t="s">
        <v>1908</v>
      </c>
      <c r="CA784" t="s">
        <v>1909</v>
      </c>
      <c r="CC784" t="s">
        <v>762</v>
      </c>
      <c r="CD784">
        <v>9300</v>
      </c>
      <c r="CE784" t="s">
        <v>130</v>
      </c>
      <c r="CF784" s="3">
        <v>44613</v>
      </c>
      <c r="CI784">
        <v>0</v>
      </c>
      <c r="CJ784">
        <v>1</v>
      </c>
      <c r="CK784">
        <v>21</v>
      </c>
      <c r="CL784" t="s">
        <v>84</v>
      </c>
    </row>
    <row r="785" spans="1:90" x14ac:dyDescent="0.25">
      <c r="A785" t="s">
        <v>1897</v>
      </c>
      <c r="B785" t="s">
        <v>1898</v>
      </c>
      <c r="C785" t="s">
        <v>74</v>
      </c>
      <c r="E785" t="str">
        <f>"009941853406"</f>
        <v>009941853406</v>
      </c>
      <c r="F785" s="3">
        <v>44609</v>
      </c>
      <c r="G785">
        <v>202208</v>
      </c>
      <c r="H785" t="s">
        <v>153</v>
      </c>
      <c r="I785" t="s">
        <v>154</v>
      </c>
      <c r="J785" t="s">
        <v>1910</v>
      </c>
      <c r="K785" t="s">
        <v>78</v>
      </c>
      <c r="L785" t="s">
        <v>75</v>
      </c>
      <c r="M785" t="s">
        <v>76</v>
      </c>
      <c r="N785" t="s">
        <v>1911</v>
      </c>
      <c r="O785" t="s">
        <v>80</v>
      </c>
      <c r="P785" t="str">
        <f>"11022706DI 4600 40            "</f>
        <v xml:space="preserve">11022706DI 4600 40            </v>
      </c>
      <c r="Q785">
        <v>0</v>
      </c>
      <c r="R785">
        <v>0</v>
      </c>
      <c r="S785">
        <v>0</v>
      </c>
      <c r="T785">
        <v>0</v>
      </c>
      <c r="U785">
        <v>0</v>
      </c>
      <c r="V785">
        <v>0</v>
      </c>
      <c r="W785">
        <v>0</v>
      </c>
      <c r="X785">
        <v>0</v>
      </c>
      <c r="Y785">
        <v>0</v>
      </c>
      <c r="Z785">
        <v>0</v>
      </c>
      <c r="AA785">
        <v>0</v>
      </c>
      <c r="AB785">
        <v>0</v>
      </c>
      <c r="AC785">
        <v>0</v>
      </c>
      <c r="AD785">
        <v>0</v>
      </c>
      <c r="AE785">
        <v>0</v>
      </c>
      <c r="AF785">
        <v>0</v>
      </c>
      <c r="AG785">
        <v>0</v>
      </c>
      <c r="AH785">
        <v>0</v>
      </c>
      <c r="AI785">
        <v>0</v>
      </c>
      <c r="AJ785">
        <v>0</v>
      </c>
      <c r="AK785">
        <v>100.54</v>
      </c>
      <c r="AL785">
        <v>0</v>
      </c>
      <c r="AM785">
        <v>0</v>
      </c>
      <c r="AN785">
        <v>0</v>
      </c>
      <c r="AO785">
        <v>0</v>
      </c>
      <c r="AP785">
        <v>0</v>
      </c>
      <c r="AQ785">
        <v>0</v>
      </c>
      <c r="AR785">
        <v>0</v>
      </c>
      <c r="AS785">
        <v>0</v>
      </c>
      <c r="AT785">
        <v>0</v>
      </c>
      <c r="AU785">
        <v>0</v>
      </c>
      <c r="AV785">
        <v>0</v>
      </c>
      <c r="AW785">
        <v>0</v>
      </c>
      <c r="AX785">
        <v>0</v>
      </c>
      <c r="AY785">
        <v>0</v>
      </c>
      <c r="AZ785">
        <v>0</v>
      </c>
      <c r="BA785">
        <v>0</v>
      </c>
      <c r="BB785">
        <v>0</v>
      </c>
      <c r="BC785">
        <v>0</v>
      </c>
      <c r="BD785">
        <v>0</v>
      </c>
      <c r="BE785">
        <v>0</v>
      </c>
      <c r="BF785">
        <v>0</v>
      </c>
      <c r="BG785">
        <v>0</v>
      </c>
      <c r="BH785">
        <v>2</v>
      </c>
      <c r="BI785">
        <v>3.1</v>
      </c>
      <c r="BJ785">
        <v>11.6</v>
      </c>
      <c r="BK785">
        <v>12</v>
      </c>
      <c r="BL785">
        <v>361.68</v>
      </c>
      <c r="BM785">
        <v>54.25</v>
      </c>
      <c r="BN785">
        <v>415.93</v>
      </c>
      <c r="BO785">
        <v>415.93</v>
      </c>
      <c r="BQ785" t="s">
        <v>1912</v>
      </c>
      <c r="BR785" t="s">
        <v>1913</v>
      </c>
      <c r="BS785" s="3">
        <v>44610</v>
      </c>
      <c r="BT785" s="4">
        <v>0.3527777777777778</v>
      </c>
      <c r="BU785" t="s">
        <v>1914</v>
      </c>
      <c r="BV785" t="s">
        <v>101</v>
      </c>
      <c r="BY785">
        <v>58151.11</v>
      </c>
      <c r="BZ785" t="s">
        <v>87</v>
      </c>
      <c r="CA785" t="s">
        <v>1915</v>
      </c>
      <c r="CC785" t="s">
        <v>76</v>
      </c>
      <c r="CD785">
        <v>7475</v>
      </c>
      <c r="CE785" t="s">
        <v>130</v>
      </c>
      <c r="CF785" s="3">
        <v>44613</v>
      </c>
      <c r="CI785">
        <v>1</v>
      </c>
      <c r="CJ785">
        <v>1</v>
      </c>
      <c r="CK785">
        <v>21</v>
      </c>
      <c r="CL785" t="s">
        <v>84</v>
      </c>
    </row>
    <row r="786" spans="1:90" x14ac:dyDescent="0.25">
      <c r="A786" t="s">
        <v>1897</v>
      </c>
      <c r="B786" t="s">
        <v>1898</v>
      </c>
      <c r="C786" t="s">
        <v>74</v>
      </c>
      <c r="E786" t="str">
        <f>"009941853404"</f>
        <v>009941853404</v>
      </c>
      <c r="F786" s="3">
        <v>44609</v>
      </c>
      <c r="G786">
        <v>202208</v>
      </c>
      <c r="H786" t="s">
        <v>153</v>
      </c>
      <c r="I786" t="s">
        <v>154</v>
      </c>
      <c r="J786" t="s">
        <v>1910</v>
      </c>
      <c r="K786" t="s">
        <v>78</v>
      </c>
      <c r="L786" t="s">
        <v>131</v>
      </c>
      <c r="M786" t="s">
        <v>132</v>
      </c>
      <c r="N786" t="s">
        <v>1916</v>
      </c>
      <c r="O786" t="s">
        <v>80</v>
      </c>
      <c r="P786" t="str">
        <f>"1102270BDI 460040             "</f>
        <v xml:space="preserve">1102270BDI 460040             </v>
      </c>
      <c r="Q786">
        <v>0</v>
      </c>
      <c r="R786">
        <v>0</v>
      </c>
      <c r="S786">
        <v>0</v>
      </c>
      <c r="T786">
        <v>0</v>
      </c>
      <c r="U786">
        <v>0</v>
      </c>
      <c r="V786">
        <v>0</v>
      </c>
      <c r="W786">
        <v>0</v>
      </c>
      <c r="X786">
        <v>0</v>
      </c>
      <c r="Y786">
        <v>0</v>
      </c>
      <c r="Z786">
        <v>0</v>
      </c>
      <c r="AA786">
        <v>0</v>
      </c>
      <c r="AB786">
        <v>0</v>
      </c>
      <c r="AC786">
        <v>0</v>
      </c>
      <c r="AD786">
        <v>0</v>
      </c>
      <c r="AE786">
        <v>0</v>
      </c>
      <c r="AF786">
        <v>0</v>
      </c>
      <c r="AG786">
        <v>0</v>
      </c>
      <c r="AH786">
        <v>0</v>
      </c>
      <c r="AI786">
        <v>0</v>
      </c>
      <c r="AJ786">
        <v>0</v>
      </c>
      <c r="AK786">
        <v>142.43</v>
      </c>
      <c r="AL786">
        <v>0</v>
      </c>
      <c r="AM786">
        <v>0</v>
      </c>
      <c r="AN786">
        <v>0</v>
      </c>
      <c r="AO786">
        <v>0</v>
      </c>
      <c r="AP786">
        <v>0</v>
      </c>
      <c r="AQ786">
        <v>0</v>
      </c>
      <c r="AR786">
        <v>0</v>
      </c>
      <c r="AS786">
        <v>0</v>
      </c>
      <c r="AT786">
        <v>0</v>
      </c>
      <c r="AU786">
        <v>0</v>
      </c>
      <c r="AV786">
        <v>0</v>
      </c>
      <c r="AW786">
        <v>0</v>
      </c>
      <c r="AX786">
        <v>0</v>
      </c>
      <c r="AY786">
        <v>0</v>
      </c>
      <c r="AZ786">
        <v>0</v>
      </c>
      <c r="BA786">
        <v>0</v>
      </c>
      <c r="BB786">
        <v>0</v>
      </c>
      <c r="BC786">
        <v>0</v>
      </c>
      <c r="BD786">
        <v>0</v>
      </c>
      <c r="BE786">
        <v>0</v>
      </c>
      <c r="BF786">
        <v>0</v>
      </c>
      <c r="BG786">
        <v>0</v>
      </c>
      <c r="BH786">
        <v>3</v>
      </c>
      <c r="BI786">
        <v>5.8</v>
      </c>
      <c r="BJ786">
        <v>16.899999999999999</v>
      </c>
      <c r="BK786">
        <v>17</v>
      </c>
      <c r="BL786">
        <v>512.37</v>
      </c>
      <c r="BM786">
        <v>76.86</v>
      </c>
      <c r="BN786">
        <v>589.23</v>
      </c>
      <c r="BO786">
        <v>589.23</v>
      </c>
      <c r="BQ786" t="s">
        <v>1917</v>
      </c>
      <c r="BR786" t="s">
        <v>1918</v>
      </c>
      <c r="BS786" s="3">
        <v>44610</v>
      </c>
      <c r="BT786" s="4">
        <v>0.48194444444444445</v>
      </c>
      <c r="BU786" t="s">
        <v>1919</v>
      </c>
      <c r="BV786" t="s">
        <v>84</v>
      </c>
      <c r="BW786" t="s">
        <v>964</v>
      </c>
      <c r="BX786" t="s">
        <v>1920</v>
      </c>
      <c r="BY786">
        <v>84599.19</v>
      </c>
      <c r="BZ786" t="s">
        <v>87</v>
      </c>
      <c r="CA786" t="s">
        <v>1575</v>
      </c>
      <c r="CC786" t="s">
        <v>132</v>
      </c>
      <c r="CD786">
        <v>4051</v>
      </c>
      <c r="CE786" t="s">
        <v>130</v>
      </c>
      <c r="CF786" s="3">
        <v>44613</v>
      </c>
      <c r="CI786">
        <v>1</v>
      </c>
      <c r="CJ786">
        <v>1</v>
      </c>
      <c r="CK786">
        <v>21</v>
      </c>
      <c r="CL786" t="s">
        <v>84</v>
      </c>
    </row>
    <row r="787" spans="1:90" x14ac:dyDescent="0.25">
      <c r="A787" t="s">
        <v>1897</v>
      </c>
      <c r="B787" t="s">
        <v>1898</v>
      </c>
      <c r="C787" t="s">
        <v>74</v>
      </c>
      <c r="E787" t="str">
        <f>"009942476459"</f>
        <v>009942476459</v>
      </c>
      <c r="F787" s="3">
        <v>44609</v>
      </c>
      <c r="G787">
        <v>202208</v>
      </c>
      <c r="H787" t="s">
        <v>75</v>
      </c>
      <c r="I787" t="s">
        <v>76</v>
      </c>
      <c r="J787" t="s">
        <v>1886</v>
      </c>
      <c r="K787" t="s">
        <v>78</v>
      </c>
      <c r="L787" t="s">
        <v>447</v>
      </c>
      <c r="M787" t="s">
        <v>448</v>
      </c>
      <c r="N787" t="s">
        <v>1921</v>
      </c>
      <c r="O787" t="s">
        <v>80</v>
      </c>
      <c r="P787" t="str">
        <f>"JHB                           "</f>
        <v xml:space="preserve">JHB                           </v>
      </c>
      <c r="Q787">
        <v>0</v>
      </c>
      <c r="R787">
        <v>0</v>
      </c>
      <c r="S787">
        <v>0</v>
      </c>
      <c r="T787">
        <v>0</v>
      </c>
      <c r="U787">
        <v>0</v>
      </c>
      <c r="V787">
        <v>0</v>
      </c>
      <c r="W787">
        <v>0</v>
      </c>
      <c r="X787">
        <v>0</v>
      </c>
      <c r="Y787">
        <v>0</v>
      </c>
      <c r="Z787">
        <v>0</v>
      </c>
      <c r="AA787">
        <v>0</v>
      </c>
      <c r="AB787">
        <v>0</v>
      </c>
      <c r="AC787">
        <v>0</v>
      </c>
      <c r="AD787">
        <v>0</v>
      </c>
      <c r="AE787">
        <v>0</v>
      </c>
      <c r="AF787">
        <v>0</v>
      </c>
      <c r="AG787">
        <v>0</v>
      </c>
      <c r="AH787">
        <v>0</v>
      </c>
      <c r="AI787">
        <v>0</v>
      </c>
      <c r="AJ787">
        <v>0</v>
      </c>
      <c r="AK787">
        <v>226.2</v>
      </c>
      <c r="AL787">
        <v>0</v>
      </c>
      <c r="AM787">
        <v>0</v>
      </c>
      <c r="AN787">
        <v>0</v>
      </c>
      <c r="AO787">
        <v>0</v>
      </c>
      <c r="AP787">
        <v>0</v>
      </c>
      <c r="AQ787">
        <v>0</v>
      </c>
      <c r="AR787">
        <v>0</v>
      </c>
      <c r="AS787">
        <v>0</v>
      </c>
      <c r="AT787">
        <v>0</v>
      </c>
      <c r="AU787">
        <v>0</v>
      </c>
      <c r="AV787">
        <v>0</v>
      </c>
      <c r="AW787">
        <v>0</v>
      </c>
      <c r="AX787">
        <v>0</v>
      </c>
      <c r="AY787">
        <v>0</v>
      </c>
      <c r="AZ787">
        <v>0</v>
      </c>
      <c r="BA787">
        <v>0</v>
      </c>
      <c r="BB787">
        <v>0</v>
      </c>
      <c r="BC787">
        <v>0</v>
      </c>
      <c r="BD787">
        <v>0</v>
      </c>
      <c r="BE787">
        <v>0</v>
      </c>
      <c r="BF787">
        <v>0</v>
      </c>
      <c r="BG787">
        <v>0</v>
      </c>
      <c r="BH787">
        <v>1</v>
      </c>
      <c r="BI787">
        <v>26.7</v>
      </c>
      <c r="BJ787">
        <v>24.8</v>
      </c>
      <c r="BK787">
        <v>27</v>
      </c>
      <c r="BL787">
        <v>813.74</v>
      </c>
      <c r="BM787">
        <v>122.06</v>
      </c>
      <c r="BN787">
        <v>935.8</v>
      </c>
      <c r="BO787">
        <v>935.8</v>
      </c>
      <c r="BQ787" t="s">
        <v>1922</v>
      </c>
      <c r="BR787" t="s">
        <v>1899</v>
      </c>
      <c r="BS787" s="3">
        <v>44610</v>
      </c>
      <c r="BT787" s="4">
        <v>0.51041666666666663</v>
      </c>
      <c r="BU787" t="s">
        <v>1923</v>
      </c>
      <c r="BV787" t="s">
        <v>84</v>
      </c>
      <c r="BW787" t="s">
        <v>95</v>
      </c>
      <c r="BX787" t="s">
        <v>787</v>
      </c>
      <c r="BY787">
        <v>123857.22</v>
      </c>
      <c r="BZ787" t="s">
        <v>87</v>
      </c>
      <c r="CA787" t="s">
        <v>1924</v>
      </c>
      <c r="CC787" t="s">
        <v>448</v>
      </c>
      <c r="CD787">
        <v>1683</v>
      </c>
      <c r="CE787" t="s">
        <v>130</v>
      </c>
      <c r="CF787" s="3">
        <v>44610</v>
      </c>
      <c r="CI787">
        <v>1</v>
      </c>
      <c r="CJ787">
        <v>1</v>
      </c>
      <c r="CK787">
        <v>21</v>
      </c>
      <c r="CL787" t="s">
        <v>84</v>
      </c>
    </row>
    <row r="788" spans="1:90" x14ac:dyDescent="0.25">
      <c r="A788" t="s">
        <v>1897</v>
      </c>
      <c r="B788" t="s">
        <v>1898</v>
      </c>
      <c r="C788" t="s">
        <v>74</v>
      </c>
      <c r="E788" t="str">
        <f>"009942476460"</f>
        <v>009942476460</v>
      </c>
      <c r="F788" s="3">
        <v>44609</v>
      </c>
      <c r="G788">
        <v>202208</v>
      </c>
      <c r="H788" t="s">
        <v>75</v>
      </c>
      <c r="I788" t="s">
        <v>76</v>
      </c>
      <c r="J788" t="s">
        <v>1886</v>
      </c>
      <c r="K788" t="s">
        <v>78</v>
      </c>
      <c r="L788" t="s">
        <v>75</v>
      </c>
      <c r="M788" t="s">
        <v>76</v>
      </c>
      <c r="N788" t="s">
        <v>1925</v>
      </c>
      <c r="O788" t="s">
        <v>125</v>
      </c>
      <c r="P788" t="str">
        <f>"MT CPT                        "</f>
        <v xml:space="preserve">MT CPT                        </v>
      </c>
      <c r="Q788">
        <v>0</v>
      </c>
      <c r="R788">
        <v>0</v>
      </c>
      <c r="S788">
        <v>0</v>
      </c>
      <c r="T788">
        <v>0</v>
      </c>
      <c r="U788">
        <v>0</v>
      </c>
      <c r="V788">
        <v>0</v>
      </c>
      <c r="W788">
        <v>0</v>
      </c>
      <c r="X788">
        <v>0</v>
      </c>
      <c r="Y788">
        <v>0</v>
      </c>
      <c r="Z788">
        <v>0</v>
      </c>
      <c r="AA788">
        <v>0</v>
      </c>
      <c r="AB788">
        <v>0</v>
      </c>
      <c r="AC788">
        <v>0</v>
      </c>
      <c r="AD788">
        <v>0</v>
      </c>
      <c r="AE788">
        <v>0</v>
      </c>
      <c r="AF788">
        <v>0</v>
      </c>
      <c r="AG788">
        <v>0</v>
      </c>
      <c r="AH788">
        <v>0</v>
      </c>
      <c r="AI788">
        <v>0</v>
      </c>
      <c r="AJ788">
        <v>0</v>
      </c>
      <c r="AK788">
        <v>25.01</v>
      </c>
      <c r="AL788">
        <v>0</v>
      </c>
      <c r="AM788">
        <v>0</v>
      </c>
      <c r="AN788">
        <v>0</v>
      </c>
      <c r="AO788">
        <v>0</v>
      </c>
      <c r="AP788">
        <v>0</v>
      </c>
      <c r="AQ788">
        <v>0</v>
      </c>
      <c r="AR788">
        <v>0</v>
      </c>
      <c r="AS788">
        <v>0</v>
      </c>
      <c r="AT788">
        <v>0</v>
      </c>
      <c r="AU788">
        <v>0</v>
      </c>
      <c r="AV788">
        <v>0</v>
      </c>
      <c r="AW788">
        <v>0</v>
      </c>
      <c r="AX788">
        <v>0</v>
      </c>
      <c r="AY788">
        <v>0</v>
      </c>
      <c r="AZ788">
        <v>0</v>
      </c>
      <c r="BA788">
        <v>0</v>
      </c>
      <c r="BB788">
        <v>0</v>
      </c>
      <c r="BC788">
        <v>0</v>
      </c>
      <c r="BD788">
        <v>0</v>
      </c>
      <c r="BE788">
        <v>0</v>
      </c>
      <c r="BF788">
        <v>0</v>
      </c>
      <c r="BG788">
        <v>0</v>
      </c>
      <c r="BH788">
        <v>1</v>
      </c>
      <c r="BI788">
        <v>0.9</v>
      </c>
      <c r="BJ788">
        <v>1.5</v>
      </c>
      <c r="BK788">
        <v>2</v>
      </c>
      <c r="BL788">
        <v>95.23</v>
      </c>
      <c r="BM788">
        <v>14.28</v>
      </c>
      <c r="BN788">
        <v>109.51</v>
      </c>
      <c r="BO788">
        <v>109.51</v>
      </c>
      <c r="BQ788" t="s">
        <v>1926</v>
      </c>
      <c r="BR788" t="s">
        <v>1899</v>
      </c>
      <c r="BS788" s="3">
        <v>44613</v>
      </c>
      <c r="BT788" s="4">
        <v>0.3576388888888889</v>
      </c>
      <c r="BU788" t="s">
        <v>1927</v>
      </c>
      <c r="BV788" t="s">
        <v>84</v>
      </c>
      <c r="BW788" t="s">
        <v>95</v>
      </c>
      <c r="BX788" t="s">
        <v>86</v>
      </c>
      <c r="BY788">
        <v>7495.47</v>
      </c>
      <c r="BZ788" t="s">
        <v>137</v>
      </c>
      <c r="CA788" t="s">
        <v>1928</v>
      </c>
      <c r="CC788" t="s">
        <v>76</v>
      </c>
      <c r="CD788">
        <v>7535</v>
      </c>
      <c r="CE788" t="s">
        <v>130</v>
      </c>
      <c r="CF788" s="3">
        <v>44614</v>
      </c>
      <c r="CI788">
        <v>1</v>
      </c>
      <c r="CJ788">
        <v>2</v>
      </c>
      <c r="CK788">
        <v>42</v>
      </c>
      <c r="CL788" t="s">
        <v>84</v>
      </c>
    </row>
    <row r="789" spans="1:90" x14ac:dyDescent="0.25">
      <c r="A789" t="s">
        <v>1897</v>
      </c>
      <c r="B789" t="s">
        <v>1898</v>
      </c>
      <c r="C789" t="s">
        <v>74</v>
      </c>
      <c r="E789" t="str">
        <f>"009942476474"</f>
        <v>009942476474</v>
      </c>
      <c r="F789" s="3">
        <v>44609</v>
      </c>
      <c r="G789">
        <v>202208</v>
      </c>
      <c r="H789" t="s">
        <v>75</v>
      </c>
      <c r="I789" t="s">
        <v>76</v>
      </c>
      <c r="J789" t="s">
        <v>1886</v>
      </c>
      <c r="K789" t="s">
        <v>78</v>
      </c>
      <c r="L789" t="s">
        <v>123</v>
      </c>
      <c r="M789" t="s">
        <v>124</v>
      </c>
      <c r="N789" t="s">
        <v>1929</v>
      </c>
      <c r="O789" t="s">
        <v>125</v>
      </c>
      <c r="P789" t="str">
        <f>"MT CPT                        "</f>
        <v xml:space="preserve">MT CPT                        </v>
      </c>
      <c r="Q789">
        <v>0</v>
      </c>
      <c r="R789">
        <v>0</v>
      </c>
      <c r="S789">
        <v>0</v>
      </c>
      <c r="T789">
        <v>0</v>
      </c>
      <c r="U789">
        <v>0</v>
      </c>
      <c r="V789">
        <v>0</v>
      </c>
      <c r="W789">
        <v>0</v>
      </c>
      <c r="X789">
        <v>0</v>
      </c>
      <c r="Y789">
        <v>0</v>
      </c>
      <c r="Z789">
        <v>0</v>
      </c>
      <c r="AA789">
        <v>0</v>
      </c>
      <c r="AB789">
        <v>0</v>
      </c>
      <c r="AC789">
        <v>0</v>
      </c>
      <c r="AD789">
        <v>0</v>
      </c>
      <c r="AE789">
        <v>0</v>
      </c>
      <c r="AF789">
        <v>0</v>
      </c>
      <c r="AG789">
        <v>0</v>
      </c>
      <c r="AH789">
        <v>0</v>
      </c>
      <c r="AI789">
        <v>0</v>
      </c>
      <c r="AJ789">
        <v>0</v>
      </c>
      <c r="AK789">
        <v>33.75</v>
      </c>
      <c r="AL789">
        <v>0</v>
      </c>
      <c r="AM789">
        <v>0</v>
      </c>
      <c r="AN789">
        <v>0</v>
      </c>
      <c r="AO789">
        <v>0</v>
      </c>
      <c r="AP789">
        <v>0</v>
      </c>
      <c r="AQ789">
        <v>0</v>
      </c>
      <c r="AR789">
        <v>0</v>
      </c>
      <c r="AS789">
        <v>0</v>
      </c>
      <c r="AT789">
        <v>0</v>
      </c>
      <c r="AU789">
        <v>0</v>
      </c>
      <c r="AV789">
        <v>0</v>
      </c>
      <c r="AW789">
        <v>0</v>
      </c>
      <c r="AX789">
        <v>0</v>
      </c>
      <c r="AY789">
        <v>0</v>
      </c>
      <c r="AZ789">
        <v>0</v>
      </c>
      <c r="BA789">
        <v>0</v>
      </c>
      <c r="BB789">
        <v>0</v>
      </c>
      <c r="BC789">
        <v>0</v>
      </c>
      <c r="BD789">
        <v>0</v>
      </c>
      <c r="BE789">
        <v>0</v>
      </c>
      <c r="BF789">
        <v>0</v>
      </c>
      <c r="BG789">
        <v>0</v>
      </c>
      <c r="BH789">
        <v>1</v>
      </c>
      <c r="BI789">
        <v>11.9</v>
      </c>
      <c r="BJ789">
        <v>15.8</v>
      </c>
      <c r="BK789">
        <v>16</v>
      </c>
      <c r="BL789">
        <v>126.67</v>
      </c>
      <c r="BM789">
        <v>19</v>
      </c>
      <c r="BN789">
        <v>145.66999999999999</v>
      </c>
      <c r="BO789">
        <v>145.66999999999999</v>
      </c>
      <c r="BQ789" t="s">
        <v>1930</v>
      </c>
      <c r="BR789" t="s">
        <v>1899</v>
      </c>
      <c r="BS789" s="3">
        <v>44613</v>
      </c>
      <c r="BT789" s="4">
        <v>0.4548611111111111</v>
      </c>
      <c r="BU789" t="s">
        <v>1931</v>
      </c>
      <c r="BV789" t="s">
        <v>101</v>
      </c>
      <c r="BY789">
        <v>78830.86</v>
      </c>
      <c r="BZ789" t="s">
        <v>137</v>
      </c>
      <c r="CA789" t="s">
        <v>317</v>
      </c>
      <c r="CC789" t="s">
        <v>124</v>
      </c>
      <c r="CD789">
        <v>6020</v>
      </c>
      <c r="CE789" t="s">
        <v>130</v>
      </c>
      <c r="CF789" s="3">
        <v>44613</v>
      </c>
      <c r="CI789">
        <v>2</v>
      </c>
      <c r="CJ789">
        <v>2</v>
      </c>
      <c r="CK789">
        <v>41</v>
      </c>
      <c r="CL789" t="s">
        <v>84</v>
      </c>
    </row>
    <row r="790" spans="1:90" x14ac:dyDescent="0.25">
      <c r="A790" t="s">
        <v>1897</v>
      </c>
      <c r="B790" t="s">
        <v>1898</v>
      </c>
      <c r="C790" t="s">
        <v>74</v>
      </c>
      <c r="E790" t="str">
        <f>"009942476479"</f>
        <v>009942476479</v>
      </c>
      <c r="F790" s="3">
        <v>44610</v>
      </c>
      <c r="G790">
        <v>202208</v>
      </c>
      <c r="H790" t="s">
        <v>75</v>
      </c>
      <c r="I790" t="s">
        <v>76</v>
      </c>
      <c r="J790" t="s">
        <v>1886</v>
      </c>
      <c r="K790" t="s">
        <v>78</v>
      </c>
      <c r="L790" t="s">
        <v>1932</v>
      </c>
      <c r="M790" t="s">
        <v>1933</v>
      </c>
      <c r="N790" t="s">
        <v>1934</v>
      </c>
      <c r="O790" t="s">
        <v>979</v>
      </c>
      <c r="P790" t="str">
        <f>"MT-CT                         "</f>
        <v xml:space="preserve">MT-CT                         </v>
      </c>
      <c r="Q790">
        <v>0</v>
      </c>
      <c r="R790">
        <v>0</v>
      </c>
      <c r="S790">
        <v>0</v>
      </c>
      <c r="T790">
        <v>0</v>
      </c>
      <c r="U790">
        <v>0</v>
      </c>
      <c r="V790">
        <v>0</v>
      </c>
      <c r="W790">
        <v>0</v>
      </c>
      <c r="X790">
        <v>0</v>
      </c>
      <c r="Y790">
        <v>0</v>
      </c>
      <c r="Z790">
        <v>0</v>
      </c>
      <c r="AA790">
        <v>0</v>
      </c>
      <c r="AB790">
        <v>0</v>
      </c>
      <c r="AC790">
        <v>0</v>
      </c>
      <c r="AD790">
        <v>0</v>
      </c>
      <c r="AE790">
        <v>0</v>
      </c>
      <c r="AF790">
        <v>0</v>
      </c>
      <c r="AG790">
        <v>0</v>
      </c>
      <c r="AH790">
        <v>0</v>
      </c>
      <c r="AI790">
        <v>0</v>
      </c>
      <c r="AJ790">
        <v>0</v>
      </c>
      <c r="AK790">
        <v>32.479999999999997</v>
      </c>
      <c r="AL790">
        <v>0</v>
      </c>
      <c r="AM790">
        <v>0</v>
      </c>
      <c r="AN790">
        <v>0</v>
      </c>
      <c r="AO790">
        <v>0</v>
      </c>
      <c r="AP790">
        <v>0</v>
      </c>
      <c r="AQ790">
        <v>0</v>
      </c>
      <c r="AR790">
        <v>0</v>
      </c>
      <c r="AS790">
        <v>0</v>
      </c>
      <c r="AT790">
        <v>0</v>
      </c>
      <c r="AU790">
        <v>0</v>
      </c>
      <c r="AV790">
        <v>0</v>
      </c>
      <c r="AW790">
        <v>0</v>
      </c>
      <c r="AX790">
        <v>0</v>
      </c>
      <c r="AY790">
        <v>0</v>
      </c>
      <c r="AZ790">
        <v>0</v>
      </c>
      <c r="BA790">
        <v>0</v>
      </c>
      <c r="BB790">
        <v>0</v>
      </c>
      <c r="BC790">
        <v>0</v>
      </c>
      <c r="BD790">
        <v>0</v>
      </c>
      <c r="BE790">
        <v>0</v>
      </c>
      <c r="BF790">
        <v>0</v>
      </c>
      <c r="BG790">
        <v>0</v>
      </c>
      <c r="BH790">
        <v>1</v>
      </c>
      <c r="BI790">
        <v>0.5</v>
      </c>
      <c r="BJ790">
        <v>2</v>
      </c>
      <c r="BK790">
        <v>2</v>
      </c>
      <c r="BL790">
        <v>116.84</v>
      </c>
      <c r="BM790">
        <v>17.53</v>
      </c>
      <c r="BN790">
        <v>134.37</v>
      </c>
      <c r="BO790">
        <v>134.37</v>
      </c>
      <c r="BQ790" t="s">
        <v>1935</v>
      </c>
      <c r="BR790" t="s">
        <v>1936</v>
      </c>
      <c r="BS790" s="3">
        <v>44615</v>
      </c>
      <c r="BT790" s="4">
        <v>0.54166666666666663</v>
      </c>
      <c r="BU790" t="s">
        <v>1937</v>
      </c>
      <c r="BV790" t="s">
        <v>84</v>
      </c>
      <c r="BY790">
        <v>10138.799999999999</v>
      </c>
      <c r="BZ790" t="s">
        <v>137</v>
      </c>
      <c r="CC790" t="s">
        <v>1933</v>
      </c>
      <c r="CD790">
        <v>4800</v>
      </c>
      <c r="CE790" t="s">
        <v>130</v>
      </c>
      <c r="CF790" s="3">
        <v>44620</v>
      </c>
      <c r="CI790">
        <v>5</v>
      </c>
      <c r="CJ790">
        <v>3</v>
      </c>
      <c r="CK790">
        <v>33</v>
      </c>
      <c r="CL790" t="s">
        <v>84</v>
      </c>
    </row>
    <row r="791" spans="1:90" x14ac:dyDescent="0.25">
      <c r="A791" t="s">
        <v>1897</v>
      </c>
      <c r="B791" t="s">
        <v>1898</v>
      </c>
      <c r="C791" t="s">
        <v>74</v>
      </c>
      <c r="E791" t="str">
        <f>"009942476478"</f>
        <v>009942476478</v>
      </c>
      <c r="F791" s="3">
        <v>44610</v>
      </c>
      <c r="G791">
        <v>202208</v>
      </c>
      <c r="H791" t="s">
        <v>75</v>
      </c>
      <c r="I791" t="s">
        <v>76</v>
      </c>
      <c r="J791" t="s">
        <v>1886</v>
      </c>
      <c r="K791" t="s">
        <v>78</v>
      </c>
      <c r="L791" t="s">
        <v>75</v>
      </c>
      <c r="M791" t="s">
        <v>76</v>
      </c>
      <c r="N791" t="s">
        <v>78</v>
      </c>
      <c r="O791" t="s">
        <v>979</v>
      </c>
      <c r="P791" t="str">
        <f>"MT-CT                         "</f>
        <v xml:space="preserve">MT-CT                         </v>
      </c>
      <c r="Q791">
        <v>0</v>
      </c>
      <c r="R791">
        <v>0</v>
      </c>
      <c r="S791">
        <v>0</v>
      </c>
      <c r="T791">
        <v>0</v>
      </c>
      <c r="U791">
        <v>0</v>
      </c>
      <c r="V791">
        <v>0</v>
      </c>
      <c r="W791">
        <v>0</v>
      </c>
      <c r="X791">
        <v>0</v>
      </c>
      <c r="Y791">
        <v>0</v>
      </c>
      <c r="Z791">
        <v>0</v>
      </c>
      <c r="AA791">
        <v>0</v>
      </c>
      <c r="AB791">
        <v>0</v>
      </c>
      <c r="AC791">
        <v>0</v>
      </c>
      <c r="AD791">
        <v>0</v>
      </c>
      <c r="AE791">
        <v>0</v>
      </c>
      <c r="AF791">
        <v>0</v>
      </c>
      <c r="AG791">
        <v>0</v>
      </c>
      <c r="AH791">
        <v>0</v>
      </c>
      <c r="AI791">
        <v>0</v>
      </c>
      <c r="AJ791">
        <v>0</v>
      </c>
      <c r="AK791">
        <v>13.1</v>
      </c>
      <c r="AL791">
        <v>0</v>
      </c>
      <c r="AM791">
        <v>0</v>
      </c>
      <c r="AN791">
        <v>0</v>
      </c>
      <c r="AO791">
        <v>0</v>
      </c>
      <c r="AP791">
        <v>0</v>
      </c>
      <c r="AQ791">
        <v>15</v>
      </c>
      <c r="AR791">
        <v>0</v>
      </c>
      <c r="AS791">
        <v>0</v>
      </c>
      <c r="AT791">
        <v>0</v>
      </c>
      <c r="AU791">
        <v>0</v>
      </c>
      <c r="AV791">
        <v>0</v>
      </c>
      <c r="AW791">
        <v>0</v>
      </c>
      <c r="AX791">
        <v>0</v>
      </c>
      <c r="AY791">
        <v>0</v>
      </c>
      <c r="AZ791">
        <v>0</v>
      </c>
      <c r="BA791">
        <v>0</v>
      </c>
      <c r="BB791">
        <v>0</v>
      </c>
      <c r="BC791">
        <v>0</v>
      </c>
      <c r="BD791">
        <v>0</v>
      </c>
      <c r="BE791">
        <v>0</v>
      </c>
      <c r="BF791">
        <v>0</v>
      </c>
      <c r="BG791">
        <v>0</v>
      </c>
      <c r="BH791">
        <v>1</v>
      </c>
      <c r="BI791">
        <v>0.7</v>
      </c>
      <c r="BJ791">
        <v>1.8</v>
      </c>
      <c r="BK791">
        <v>2</v>
      </c>
      <c r="BL791">
        <v>62.12</v>
      </c>
      <c r="BM791">
        <v>9.32</v>
      </c>
      <c r="BN791">
        <v>71.44</v>
      </c>
      <c r="BO791">
        <v>71.44</v>
      </c>
      <c r="BQ791" t="s">
        <v>1938</v>
      </c>
      <c r="BR791" t="s">
        <v>1936</v>
      </c>
      <c r="BS791" s="3">
        <v>44614</v>
      </c>
      <c r="BT791" s="4">
        <v>0.6694444444444444</v>
      </c>
      <c r="BU791" t="s">
        <v>1939</v>
      </c>
      <c r="BV791" t="s">
        <v>84</v>
      </c>
      <c r="BW791" t="s">
        <v>801</v>
      </c>
      <c r="BX791" t="s">
        <v>86</v>
      </c>
      <c r="BY791">
        <v>9238.32</v>
      </c>
      <c r="BZ791" t="s">
        <v>1463</v>
      </c>
      <c r="CA791" t="s">
        <v>1940</v>
      </c>
      <c r="CC791" t="s">
        <v>76</v>
      </c>
      <c r="CD791">
        <v>7784</v>
      </c>
      <c r="CE791" t="s">
        <v>130</v>
      </c>
      <c r="CF791" s="3">
        <v>44615</v>
      </c>
      <c r="CI791">
        <v>1</v>
      </c>
      <c r="CJ791">
        <v>2</v>
      </c>
      <c r="CK791">
        <v>32</v>
      </c>
      <c r="CL791" t="s">
        <v>84</v>
      </c>
    </row>
    <row r="792" spans="1:90" x14ac:dyDescent="0.25">
      <c r="A792" t="s">
        <v>1897</v>
      </c>
      <c r="B792" t="s">
        <v>1898</v>
      </c>
      <c r="C792" t="s">
        <v>74</v>
      </c>
      <c r="E792" t="str">
        <f>"009942476498"</f>
        <v>009942476498</v>
      </c>
      <c r="F792" s="3">
        <v>44610</v>
      </c>
      <c r="G792">
        <v>202208</v>
      </c>
      <c r="H792" t="s">
        <v>75</v>
      </c>
      <c r="I792" t="s">
        <v>76</v>
      </c>
      <c r="J792" t="s">
        <v>1886</v>
      </c>
      <c r="K792" t="s">
        <v>78</v>
      </c>
      <c r="L792" t="s">
        <v>623</v>
      </c>
      <c r="M792" t="s">
        <v>624</v>
      </c>
      <c r="N792" t="s">
        <v>1886</v>
      </c>
      <c r="O792" t="s">
        <v>125</v>
      </c>
      <c r="P792" t="str">
        <f>"NA                            "</f>
        <v xml:space="preserve">NA                            </v>
      </c>
      <c r="Q792">
        <v>0</v>
      </c>
      <c r="R792">
        <v>0</v>
      </c>
      <c r="S792">
        <v>0</v>
      </c>
      <c r="T792">
        <v>0</v>
      </c>
      <c r="U792">
        <v>0</v>
      </c>
      <c r="V792">
        <v>0</v>
      </c>
      <c r="W792">
        <v>0</v>
      </c>
      <c r="X792">
        <v>0</v>
      </c>
      <c r="Y792">
        <v>0</v>
      </c>
      <c r="Z792">
        <v>0</v>
      </c>
      <c r="AA792">
        <v>0</v>
      </c>
      <c r="AB792">
        <v>0</v>
      </c>
      <c r="AC792">
        <v>0</v>
      </c>
      <c r="AD792">
        <v>0</v>
      </c>
      <c r="AE792">
        <v>0</v>
      </c>
      <c r="AF792">
        <v>0</v>
      </c>
      <c r="AG792">
        <v>0</v>
      </c>
      <c r="AH792">
        <v>0</v>
      </c>
      <c r="AI792">
        <v>0</v>
      </c>
      <c r="AJ792">
        <v>0</v>
      </c>
      <c r="AK792">
        <v>49.78</v>
      </c>
      <c r="AL792">
        <v>0</v>
      </c>
      <c r="AM792">
        <v>0</v>
      </c>
      <c r="AN792">
        <v>0</v>
      </c>
      <c r="AO792">
        <v>0</v>
      </c>
      <c r="AP792">
        <v>0</v>
      </c>
      <c r="AQ792">
        <v>0</v>
      </c>
      <c r="AR792">
        <v>0</v>
      </c>
      <c r="AS792">
        <v>0</v>
      </c>
      <c r="AT792">
        <v>0</v>
      </c>
      <c r="AU792">
        <v>0</v>
      </c>
      <c r="AV792">
        <v>0</v>
      </c>
      <c r="AW792">
        <v>0</v>
      </c>
      <c r="AX792">
        <v>0</v>
      </c>
      <c r="AY792">
        <v>0</v>
      </c>
      <c r="AZ792">
        <v>0</v>
      </c>
      <c r="BA792">
        <v>0</v>
      </c>
      <c r="BB792">
        <v>0</v>
      </c>
      <c r="BC792">
        <v>0</v>
      </c>
      <c r="BD792">
        <v>0</v>
      </c>
      <c r="BE792">
        <v>0</v>
      </c>
      <c r="BF792">
        <v>0</v>
      </c>
      <c r="BG792">
        <v>0</v>
      </c>
      <c r="BH792">
        <v>1</v>
      </c>
      <c r="BI792">
        <v>27.4</v>
      </c>
      <c r="BJ792">
        <v>27.6</v>
      </c>
      <c r="BK792">
        <v>28</v>
      </c>
      <c r="BL792">
        <v>184.34</v>
      </c>
      <c r="BM792">
        <v>27.65</v>
      </c>
      <c r="BN792">
        <v>211.99</v>
      </c>
      <c r="BO792">
        <v>211.99</v>
      </c>
      <c r="BQ792" t="s">
        <v>1941</v>
      </c>
      <c r="BR792" t="s">
        <v>1942</v>
      </c>
      <c r="BS792" s="3">
        <v>44613</v>
      </c>
      <c r="BT792" s="4">
        <v>0.6020833333333333</v>
      </c>
      <c r="BU792" t="s">
        <v>1890</v>
      </c>
      <c r="BV792" t="s">
        <v>101</v>
      </c>
      <c r="BY792">
        <v>137807.48000000001</v>
      </c>
      <c r="BZ792" t="s">
        <v>137</v>
      </c>
      <c r="CA792" t="s">
        <v>1888</v>
      </c>
      <c r="CC792" t="s">
        <v>624</v>
      </c>
      <c r="CD792">
        <v>4300</v>
      </c>
      <c r="CE792" t="s">
        <v>130</v>
      </c>
      <c r="CF792" s="3">
        <v>44614</v>
      </c>
      <c r="CI792">
        <v>3</v>
      </c>
      <c r="CJ792">
        <v>1</v>
      </c>
      <c r="CK792">
        <v>41</v>
      </c>
      <c r="CL792" t="s">
        <v>84</v>
      </c>
    </row>
    <row r="793" spans="1:90" x14ac:dyDescent="0.25">
      <c r="A793" t="s">
        <v>1897</v>
      </c>
      <c r="B793" t="s">
        <v>1898</v>
      </c>
      <c r="C793" t="s">
        <v>74</v>
      </c>
      <c r="E793" t="str">
        <f>"009942476480"</f>
        <v>009942476480</v>
      </c>
      <c r="F793" s="3">
        <v>44610</v>
      </c>
      <c r="G793">
        <v>202208</v>
      </c>
      <c r="H793" t="s">
        <v>75</v>
      </c>
      <c r="I793" t="s">
        <v>76</v>
      </c>
      <c r="J793" t="s">
        <v>1886</v>
      </c>
      <c r="K793" t="s">
        <v>78</v>
      </c>
      <c r="L793" t="s">
        <v>1458</v>
      </c>
      <c r="M793" t="s">
        <v>1459</v>
      </c>
      <c r="N793" t="s">
        <v>1943</v>
      </c>
      <c r="O793" t="s">
        <v>979</v>
      </c>
      <c r="P793" t="str">
        <f>"MT-CT                         "</f>
        <v xml:space="preserve">MT-CT                         </v>
      </c>
      <c r="Q793">
        <v>0</v>
      </c>
      <c r="R793">
        <v>0</v>
      </c>
      <c r="S793">
        <v>0</v>
      </c>
      <c r="T793">
        <v>0</v>
      </c>
      <c r="U793">
        <v>0</v>
      </c>
      <c r="V793">
        <v>0</v>
      </c>
      <c r="W793">
        <v>0</v>
      </c>
      <c r="X793">
        <v>0</v>
      </c>
      <c r="Y793">
        <v>0</v>
      </c>
      <c r="Z793">
        <v>0</v>
      </c>
      <c r="AA793">
        <v>0</v>
      </c>
      <c r="AB793">
        <v>0</v>
      </c>
      <c r="AC793">
        <v>0</v>
      </c>
      <c r="AD793">
        <v>0</v>
      </c>
      <c r="AE793">
        <v>0</v>
      </c>
      <c r="AF793">
        <v>0</v>
      </c>
      <c r="AG793">
        <v>0</v>
      </c>
      <c r="AH793">
        <v>0</v>
      </c>
      <c r="AI793">
        <v>0</v>
      </c>
      <c r="AJ793">
        <v>0</v>
      </c>
      <c r="AK793">
        <v>32.479999999999997</v>
      </c>
      <c r="AL793">
        <v>0</v>
      </c>
      <c r="AM793">
        <v>0</v>
      </c>
      <c r="AN793">
        <v>0</v>
      </c>
      <c r="AO793">
        <v>0</v>
      </c>
      <c r="AP793">
        <v>0</v>
      </c>
      <c r="AQ793">
        <v>15</v>
      </c>
      <c r="AR793">
        <v>0</v>
      </c>
      <c r="AS793">
        <v>0</v>
      </c>
      <c r="AT793">
        <v>0</v>
      </c>
      <c r="AU793">
        <v>0</v>
      </c>
      <c r="AV793">
        <v>0</v>
      </c>
      <c r="AW793">
        <v>0</v>
      </c>
      <c r="AX793">
        <v>0</v>
      </c>
      <c r="AY793">
        <v>0</v>
      </c>
      <c r="AZ793">
        <v>0</v>
      </c>
      <c r="BA793">
        <v>0</v>
      </c>
      <c r="BB793">
        <v>0</v>
      </c>
      <c r="BC793">
        <v>0</v>
      </c>
      <c r="BD793">
        <v>0</v>
      </c>
      <c r="BE793">
        <v>0</v>
      </c>
      <c r="BF793">
        <v>0</v>
      </c>
      <c r="BG793">
        <v>0</v>
      </c>
      <c r="BH793">
        <v>1</v>
      </c>
      <c r="BI793">
        <v>1.6</v>
      </c>
      <c r="BJ793">
        <v>2.8</v>
      </c>
      <c r="BK793">
        <v>3</v>
      </c>
      <c r="BL793">
        <v>131.84</v>
      </c>
      <c r="BM793">
        <v>19.78</v>
      </c>
      <c r="BN793">
        <v>151.62</v>
      </c>
      <c r="BO793">
        <v>151.62</v>
      </c>
      <c r="BQ793" t="s">
        <v>1944</v>
      </c>
      <c r="BR793" t="s">
        <v>1936</v>
      </c>
      <c r="BS793" s="3">
        <v>44615</v>
      </c>
      <c r="BT793" s="4">
        <v>0.71527777777777779</v>
      </c>
      <c r="BU793" t="s">
        <v>1945</v>
      </c>
      <c r="BV793" t="s">
        <v>84</v>
      </c>
      <c r="BW793" t="s">
        <v>801</v>
      </c>
      <c r="BX793" t="s">
        <v>766</v>
      </c>
      <c r="BY793">
        <v>13768.16</v>
      </c>
      <c r="BZ793" t="s">
        <v>1463</v>
      </c>
      <c r="CA793" t="s">
        <v>1946</v>
      </c>
      <c r="CC793" t="s">
        <v>1459</v>
      </c>
      <c r="CD793">
        <v>993</v>
      </c>
      <c r="CE793" t="s">
        <v>130</v>
      </c>
      <c r="CF793" s="3">
        <v>44616</v>
      </c>
      <c r="CI793">
        <v>2</v>
      </c>
      <c r="CJ793">
        <v>3</v>
      </c>
      <c r="CK793">
        <v>33</v>
      </c>
      <c r="CL793" t="s">
        <v>84</v>
      </c>
    </row>
    <row r="794" spans="1:90" x14ac:dyDescent="0.25">
      <c r="A794" t="s">
        <v>1897</v>
      </c>
      <c r="B794" t="s">
        <v>1898</v>
      </c>
      <c r="C794" t="s">
        <v>74</v>
      </c>
      <c r="E794" t="str">
        <f>"009940127164"</f>
        <v>009940127164</v>
      </c>
      <c r="F794" s="3">
        <v>44609</v>
      </c>
      <c r="G794">
        <v>202208</v>
      </c>
      <c r="H794" t="s">
        <v>153</v>
      </c>
      <c r="I794" t="s">
        <v>154</v>
      </c>
      <c r="J794" t="s">
        <v>1910</v>
      </c>
      <c r="K794" t="s">
        <v>78</v>
      </c>
      <c r="L794" t="s">
        <v>131</v>
      </c>
      <c r="M794" t="s">
        <v>132</v>
      </c>
      <c r="N794" t="s">
        <v>1916</v>
      </c>
      <c r="O794" t="s">
        <v>80</v>
      </c>
      <c r="P794" t="str">
        <f>"11022706DI 4600 40            "</f>
        <v xml:space="preserve">11022706DI 4600 40            </v>
      </c>
      <c r="Q794">
        <v>0</v>
      </c>
      <c r="R794">
        <v>0</v>
      </c>
      <c r="S794">
        <v>0</v>
      </c>
      <c r="T794">
        <v>0</v>
      </c>
      <c r="U794">
        <v>0</v>
      </c>
      <c r="V794">
        <v>0</v>
      </c>
      <c r="W794">
        <v>0</v>
      </c>
      <c r="X794">
        <v>0</v>
      </c>
      <c r="Y794">
        <v>0</v>
      </c>
      <c r="Z794">
        <v>0</v>
      </c>
      <c r="AA794">
        <v>0</v>
      </c>
      <c r="AB794">
        <v>0</v>
      </c>
      <c r="AC794">
        <v>0</v>
      </c>
      <c r="AD794">
        <v>0</v>
      </c>
      <c r="AE794">
        <v>0</v>
      </c>
      <c r="AF794">
        <v>0</v>
      </c>
      <c r="AG794">
        <v>0</v>
      </c>
      <c r="AH794">
        <v>0</v>
      </c>
      <c r="AI794">
        <v>0</v>
      </c>
      <c r="AJ794">
        <v>0</v>
      </c>
      <c r="AK794">
        <v>2358.3000000000002</v>
      </c>
      <c r="AL794">
        <v>0</v>
      </c>
      <c r="AM794">
        <v>0</v>
      </c>
      <c r="AN794">
        <v>0</v>
      </c>
      <c r="AO794">
        <v>0</v>
      </c>
      <c r="AP794">
        <v>0</v>
      </c>
      <c r="AQ794">
        <v>0</v>
      </c>
      <c r="AR794">
        <v>0</v>
      </c>
      <c r="AS794">
        <v>0</v>
      </c>
      <c r="AT794">
        <v>0</v>
      </c>
      <c r="AU794">
        <v>0</v>
      </c>
      <c r="AV794">
        <v>0</v>
      </c>
      <c r="AW794">
        <v>0</v>
      </c>
      <c r="AX794">
        <v>0</v>
      </c>
      <c r="AY794">
        <v>0</v>
      </c>
      <c r="AZ794">
        <v>0</v>
      </c>
      <c r="BA794">
        <v>0</v>
      </c>
      <c r="BB794">
        <v>0</v>
      </c>
      <c r="BC794">
        <v>0</v>
      </c>
      <c r="BD794">
        <v>0</v>
      </c>
      <c r="BE794">
        <v>0</v>
      </c>
      <c r="BF794">
        <v>0</v>
      </c>
      <c r="BG794">
        <v>0</v>
      </c>
      <c r="BH794">
        <v>44</v>
      </c>
      <c r="BI794">
        <v>118.5</v>
      </c>
      <c r="BJ794">
        <v>281.10000000000002</v>
      </c>
      <c r="BK794">
        <v>281.5</v>
      </c>
      <c r="BL794">
        <v>8483.76</v>
      </c>
      <c r="BM794">
        <v>1272.56</v>
      </c>
      <c r="BN794">
        <v>9756.32</v>
      </c>
      <c r="BO794">
        <v>9756.32</v>
      </c>
      <c r="BQ794" t="s">
        <v>1947</v>
      </c>
      <c r="BR794" t="s">
        <v>1913</v>
      </c>
      <c r="BS794" s="3">
        <v>44610</v>
      </c>
      <c r="BT794" s="4">
        <v>0.48125000000000001</v>
      </c>
      <c r="BU794" t="s">
        <v>1919</v>
      </c>
      <c r="BV794" t="s">
        <v>84</v>
      </c>
      <c r="BW794" t="s">
        <v>964</v>
      </c>
      <c r="BX794" t="s">
        <v>1920</v>
      </c>
      <c r="BY794">
        <v>1405497.21</v>
      </c>
      <c r="BZ794" t="s">
        <v>87</v>
      </c>
      <c r="CA794" t="s">
        <v>1575</v>
      </c>
      <c r="CC794" t="s">
        <v>132</v>
      </c>
      <c r="CD794">
        <v>4051</v>
      </c>
      <c r="CE794" t="s">
        <v>130</v>
      </c>
      <c r="CF794" s="3">
        <v>44613</v>
      </c>
      <c r="CI794">
        <v>1</v>
      </c>
      <c r="CJ794">
        <v>1</v>
      </c>
      <c r="CK794">
        <v>21</v>
      </c>
      <c r="CL794" t="s">
        <v>84</v>
      </c>
    </row>
    <row r="795" spans="1:90" x14ac:dyDescent="0.25">
      <c r="A795" t="s">
        <v>1897</v>
      </c>
      <c r="B795" t="s">
        <v>1898</v>
      </c>
      <c r="C795" t="s">
        <v>74</v>
      </c>
      <c r="E795" t="str">
        <f>"009941853405"</f>
        <v>009941853405</v>
      </c>
      <c r="F795" s="3">
        <v>44609</v>
      </c>
      <c r="G795">
        <v>202208</v>
      </c>
      <c r="H795" t="s">
        <v>153</v>
      </c>
      <c r="I795" t="s">
        <v>154</v>
      </c>
      <c r="J795" t="s">
        <v>1910</v>
      </c>
      <c r="K795" t="s">
        <v>78</v>
      </c>
      <c r="L795" t="s">
        <v>75</v>
      </c>
      <c r="M795" t="s">
        <v>76</v>
      </c>
      <c r="N795" t="s">
        <v>1911</v>
      </c>
      <c r="O795" t="s">
        <v>80</v>
      </c>
      <c r="P795" t="str">
        <f>"11022706 4600 40              "</f>
        <v xml:space="preserve">11022706 4600 40              </v>
      </c>
      <c r="Q795">
        <v>0</v>
      </c>
      <c r="R795">
        <v>0</v>
      </c>
      <c r="S795">
        <v>0</v>
      </c>
      <c r="T795">
        <v>0</v>
      </c>
      <c r="U795">
        <v>0</v>
      </c>
      <c r="V795">
        <v>0</v>
      </c>
      <c r="W795">
        <v>0</v>
      </c>
      <c r="X795">
        <v>0</v>
      </c>
      <c r="Y795">
        <v>0</v>
      </c>
      <c r="Z795">
        <v>0</v>
      </c>
      <c r="AA795">
        <v>0</v>
      </c>
      <c r="AB795">
        <v>0</v>
      </c>
      <c r="AC795">
        <v>0</v>
      </c>
      <c r="AD795">
        <v>0</v>
      </c>
      <c r="AE795">
        <v>0</v>
      </c>
      <c r="AF795">
        <v>0</v>
      </c>
      <c r="AG795">
        <v>0</v>
      </c>
      <c r="AH795">
        <v>0</v>
      </c>
      <c r="AI795">
        <v>0</v>
      </c>
      <c r="AJ795">
        <v>0</v>
      </c>
      <c r="AK795">
        <v>1244.08</v>
      </c>
      <c r="AL795">
        <v>0</v>
      </c>
      <c r="AM795">
        <v>0</v>
      </c>
      <c r="AN795">
        <v>0</v>
      </c>
      <c r="AO795">
        <v>0</v>
      </c>
      <c r="AP795">
        <v>0</v>
      </c>
      <c r="AQ795">
        <v>0</v>
      </c>
      <c r="AR795">
        <v>0</v>
      </c>
      <c r="AS795">
        <v>0</v>
      </c>
      <c r="AT795">
        <v>0</v>
      </c>
      <c r="AU795">
        <v>0</v>
      </c>
      <c r="AV795">
        <v>0</v>
      </c>
      <c r="AW795">
        <v>0</v>
      </c>
      <c r="AX795">
        <v>0</v>
      </c>
      <c r="AY795">
        <v>0</v>
      </c>
      <c r="AZ795">
        <v>0</v>
      </c>
      <c r="BA795">
        <v>0</v>
      </c>
      <c r="BB795">
        <v>0</v>
      </c>
      <c r="BC795">
        <v>0</v>
      </c>
      <c r="BD795">
        <v>0</v>
      </c>
      <c r="BE795">
        <v>0</v>
      </c>
      <c r="BF795">
        <v>0</v>
      </c>
      <c r="BG795">
        <v>0</v>
      </c>
      <c r="BH795">
        <v>24</v>
      </c>
      <c r="BI795">
        <v>64.7</v>
      </c>
      <c r="BJ795">
        <v>148.4</v>
      </c>
      <c r="BK795">
        <v>148.5</v>
      </c>
      <c r="BL795">
        <v>4475.46</v>
      </c>
      <c r="BM795">
        <v>671.32</v>
      </c>
      <c r="BN795">
        <v>5146.78</v>
      </c>
      <c r="BO795">
        <v>5146.78</v>
      </c>
      <c r="BQ795" t="s">
        <v>1948</v>
      </c>
      <c r="BR795" t="s">
        <v>1949</v>
      </c>
      <c r="BS795" s="3">
        <v>44614</v>
      </c>
      <c r="BT795" s="4">
        <v>0.3527777777777778</v>
      </c>
      <c r="BU795" t="s">
        <v>1335</v>
      </c>
      <c r="BV795" t="s">
        <v>84</v>
      </c>
      <c r="BW795" t="s">
        <v>95</v>
      </c>
      <c r="BX795" t="s">
        <v>86</v>
      </c>
      <c r="BY795">
        <v>742090.88</v>
      </c>
      <c r="BZ795" t="s">
        <v>87</v>
      </c>
      <c r="CA795" t="s">
        <v>1915</v>
      </c>
      <c r="CC795" t="s">
        <v>76</v>
      </c>
      <c r="CD795">
        <v>7475</v>
      </c>
      <c r="CE795" t="s">
        <v>130</v>
      </c>
      <c r="CF795" s="3">
        <v>44615</v>
      </c>
      <c r="CI795">
        <v>1</v>
      </c>
      <c r="CJ795">
        <v>3</v>
      </c>
      <c r="CK795">
        <v>21</v>
      </c>
      <c r="CL795" t="s">
        <v>84</v>
      </c>
    </row>
    <row r="796" spans="1:90" x14ac:dyDescent="0.25">
      <c r="A796" t="s">
        <v>1897</v>
      </c>
      <c r="B796" t="s">
        <v>1898</v>
      </c>
      <c r="C796" t="s">
        <v>74</v>
      </c>
      <c r="E796" t="str">
        <f>"009942449671"</f>
        <v>009942449671</v>
      </c>
      <c r="F796" s="3">
        <v>44608</v>
      </c>
      <c r="G796">
        <v>202208</v>
      </c>
      <c r="H796" t="s">
        <v>447</v>
      </c>
      <c r="I796" t="s">
        <v>448</v>
      </c>
      <c r="J796" t="s">
        <v>1886</v>
      </c>
      <c r="K796" t="s">
        <v>78</v>
      </c>
      <c r="L796" t="s">
        <v>75</v>
      </c>
      <c r="M796" t="s">
        <v>76</v>
      </c>
      <c r="N796" t="s">
        <v>1950</v>
      </c>
      <c r="O796" t="s">
        <v>80</v>
      </c>
      <c r="P796" t="str">
        <f>"NA                            "</f>
        <v xml:space="preserve">NA                            </v>
      </c>
      <c r="Q796">
        <v>0</v>
      </c>
      <c r="R796">
        <v>0</v>
      </c>
      <c r="S796">
        <v>0</v>
      </c>
      <c r="T796">
        <v>0</v>
      </c>
      <c r="U796">
        <v>0</v>
      </c>
      <c r="V796">
        <v>0</v>
      </c>
      <c r="W796">
        <v>0</v>
      </c>
      <c r="X796">
        <v>0</v>
      </c>
      <c r="Y796">
        <v>0</v>
      </c>
      <c r="Z796">
        <v>0</v>
      </c>
      <c r="AA796">
        <v>0</v>
      </c>
      <c r="AB796">
        <v>0</v>
      </c>
      <c r="AC796">
        <v>0</v>
      </c>
      <c r="AD796">
        <v>0</v>
      </c>
      <c r="AE796">
        <v>0</v>
      </c>
      <c r="AF796">
        <v>0</v>
      </c>
      <c r="AG796">
        <v>0</v>
      </c>
      <c r="AH796">
        <v>0</v>
      </c>
      <c r="AI796">
        <v>0</v>
      </c>
      <c r="AJ796">
        <v>0</v>
      </c>
      <c r="AK796">
        <v>16.760000000000002</v>
      </c>
      <c r="AL796">
        <v>0</v>
      </c>
      <c r="AM796">
        <v>0</v>
      </c>
      <c r="AN796">
        <v>0</v>
      </c>
      <c r="AO796">
        <v>0</v>
      </c>
      <c r="AP796">
        <v>0</v>
      </c>
      <c r="AQ796">
        <v>0</v>
      </c>
      <c r="AR796">
        <v>0</v>
      </c>
      <c r="AS796">
        <v>0</v>
      </c>
      <c r="AT796">
        <v>0</v>
      </c>
      <c r="AU796">
        <v>0</v>
      </c>
      <c r="AV796">
        <v>0</v>
      </c>
      <c r="AW796">
        <v>0</v>
      </c>
      <c r="AX796">
        <v>0</v>
      </c>
      <c r="AY796">
        <v>0</v>
      </c>
      <c r="AZ796">
        <v>0</v>
      </c>
      <c r="BA796">
        <v>0</v>
      </c>
      <c r="BB796">
        <v>0</v>
      </c>
      <c r="BC796">
        <v>0</v>
      </c>
      <c r="BD796">
        <v>0</v>
      </c>
      <c r="BE796">
        <v>0</v>
      </c>
      <c r="BF796">
        <v>0</v>
      </c>
      <c r="BG796">
        <v>0</v>
      </c>
      <c r="BH796">
        <v>1</v>
      </c>
      <c r="BI796">
        <v>0.5</v>
      </c>
      <c r="BJ796">
        <v>0.9</v>
      </c>
      <c r="BK796">
        <v>1</v>
      </c>
      <c r="BL796">
        <v>60.3</v>
      </c>
      <c r="BM796">
        <v>9.0500000000000007</v>
      </c>
      <c r="BN796">
        <v>69.349999999999994</v>
      </c>
      <c r="BO796">
        <v>69.349999999999994</v>
      </c>
      <c r="BQ796" t="s">
        <v>1951</v>
      </c>
      <c r="BR796" t="s">
        <v>1952</v>
      </c>
      <c r="BS796" s="3">
        <v>44609</v>
      </c>
      <c r="BT796" s="4">
        <v>0.33333333333333331</v>
      </c>
      <c r="BU796" t="s">
        <v>1953</v>
      </c>
      <c r="BV796" t="s">
        <v>101</v>
      </c>
      <c r="BY796">
        <v>4687.2</v>
      </c>
      <c r="BZ796" t="s">
        <v>87</v>
      </c>
      <c r="CA796" t="s">
        <v>102</v>
      </c>
      <c r="CC796" t="s">
        <v>76</v>
      </c>
      <c r="CD796">
        <v>7800</v>
      </c>
      <c r="CE796" t="s">
        <v>130</v>
      </c>
      <c r="CF796" s="3">
        <v>44610</v>
      </c>
      <c r="CI796">
        <v>1</v>
      </c>
      <c r="CJ796">
        <v>1</v>
      </c>
      <c r="CK796">
        <v>21</v>
      </c>
      <c r="CL796" t="s">
        <v>84</v>
      </c>
    </row>
    <row r="797" spans="1:90" x14ac:dyDescent="0.25">
      <c r="A797" t="s">
        <v>1897</v>
      </c>
      <c r="B797" t="s">
        <v>1898</v>
      </c>
      <c r="C797" t="s">
        <v>74</v>
      </c>
      <c r="E797" t="str">
        <f>"009941578695"</f>
        <v>009941578695</v>
      </c>
      <c r="F797" s="3">
        <v>44613</v>
      </c>
      <c r="G797">
        <v>202208</v>
      </c>
      <c r="H797" t="s">
        <v>123</v>
      </c>
      <c r="I797" t="s">
        <v>124</v>
      </c>
      <c r="J797" t="s">
        <v>1954</v>
      </c>
      <c r="K797" t="s">
        <v>78</v>
      </c>
      <c r="L797" t="s">
        <v>75</v>
      </c>
      <c r="M797" t="s">
        <v>76</v>
      </c>
      <c r="N797" t="s">
        <v>1724</v>
      </c>
      <c r="O797" t="s">
        <v>80</v>
      </c>
      <c r="P797" t="str">
        <f>"11912270 FM                   "</f>
        <v xml:space="preserve">11912270 FM                   </v>
      </c>
      <c r="Q797">
        <v>0</v>
      </c>
      <c r="R797">
        <v>0</v>
      </c>
      <c r="S797">
        <v>0</v>
      </c>
      <c r="T797">
        <v>0</v>
      </c>
      <c r="U797">
        <v>0</v>
      </c>
      <c r="V797">
        <v>0</v>
      </c>
      <c r="W797">
        <v>0</v>
      </c>
      <c r="X797">
        <v>0</v>
      </c>
      <c r="Y797">
        <v>0</v>
      </c>
      <c r="Z797">
        <v>0</v>
      </c>
      <c r="AA797">
        <v>0</v>
      </c>
      <c r="AB797">
        <v>0</v>
      </c>
      <c r="AC797">
        <v>0</v>
      </c>
      <c r="AD797">
        <v>0</v>
      </c>
      <c r="AE797">
        <v>0</v>
      </c>
      <c r="AF797">
        <v>0</v>
      </c>
      <c r="AG797">
        <v>0</v>
      </c>
      <c r="AH797">
        <v>0</v>
      </c>
      <c r="AI797">
        <v>0</v>
      </c>
      <c r="AJ797">
        <v>0</v>
      </c>
      <c r="AK797">
        <v>41.9</v>
      </c>
      <c r="AL797">
        <v>0</v>
      </c>
      <c r="AM797">
        <v>0</v>
      </c>
      <c r="AN797">
        <v>0</v>
      </c>
      <c r="AO797">
        <v>0</v>
      </c>
      <c r="AP797">
        <v>0</v>
      </c>
      <c r="AQ797">
        <v>0</v>
      </c>
      <c r="AR797">
        <v>0</v>
      </c>
      <c r="AS797">
        <v>0</v>
      </c>
      <c r="AT797">
        <v>0</v>
      </c>
      <c r="AU797">
        <v>0</v>
      </c>
      <c r="AV797">
        <v>0</v>
      </c>
      <c r="AW797">
        <v>0</v>
      </c>
      <c r="AX797">
        <v>0</v>
      </c>
      <c r="AY797">
        <v>0</v>
      </c>
      <c r="AZ797">
        <v>0</v>
      </c>
      <c r="BA797">
        <v>0</v>
      </c>
      <c r="BB797">
        <v>0</v>
      </c>
      <c r="BC797">
        <v>0</v>
      </c>
      <c r="BD797">
        <v>0</v>
      </c>
      <c r="BE797">
        <v>0</v>
      </c>
      <c r="BF797">
        <v>0</v>
      </c>
      <c r="BG797">
        <v>0</v>
      </c>
      <c r="BH797">
        <v>1</v>
      </c>
      <c r="BI797">
        <v>5</v>
      </c>
      <c r="BJ797">
        <v>4</v>
      </c>
      <c r="BK797">
        <v>5</v>
      </c>
      <c r="BL797">
        <v>150.72</v>
      </c>
      <c r="BM797">
        <v>22.61</v>
      </c>
      <c r="BN797">
        <v>173.33</v>
      </c>
      <c r="BO797">
        <v>173.33</v>
      </c>
      <c r="BQ797" t="s">
        <v>1955</v>
      </c>
      <c r="BR797" t="s">
        <v>1956</v>
      </c>
      <c r="BS797" s="3">
        <v>44614</v>
      </c>
      <c r="BT797" s="4">
        <v>0.46597222222222223</v>
      </c>
      <c r="BU797" t="s">
        <v>1957</v>
      </c>
      <c r="BV797" t="s">
        <v>101</v>
      </c>
      <c r="BY797">
        <v>19890</v>
      </c>
      <c r="BZ797" t="s">
        <v>87</v>
      </c>
      <c r="CA797" t="s">
        <v>1514</v>
      </c>
      <c r="CC797" t="s">
        <v>76</v>
      </c>
      <c r="CD797">
        <v>7925</v>
      </c>
      <c r="CE797" t="s">
        <v>130</v>
      </c>
      <c r="CF797" s="3">
        <v>44615</v>
      </c>
      <c r="CI797">
        <v>1</v>
      </c>
      <c r="CJ797">
        <v>1</v>
      </c>
      <c r="CK797">
        <v>21</v>
      </c>
      <c r="CL797" t="s">
        <v>84</v>
      </c>
    </row>
    <row r="798" spans="1:90" x14ac:dyDescent="0.25">
      <c r="A798" t="s">
        <v>1897</v>
      </c>
      <c r="B798" t="s">
        <v>1898</v>
      </c>
      <c r="C798" t="s">
        <v>74</v>
      </c>
      <c r="E798" t="str">
        <f>"009942476473"</f>
        <v>009942476473</v>
      </c>
      <c r="F798" s="3">
        <v>44613</v>
      </c>
      <c r="G798">
        <v>202208</v>
      </c>
      <c r="H798" t="s">
        <v>75</v>
      </c>
      <c r="I798" t="s">
        <v>76</v>
      </c>
      <c r="J798" t="s">
        <v>1886</v>
      </c>
      <c r="K798" t="s">
        <v>78</v>
      </c>
      <c r="L798" t="s">
        <v>123</v>
      </c>
      <c r="M798" t="s">
        <v>124</v>
      </c>
      <c r="N798" t="s">
        <v>1958</v>
      </c>
      <c r="O798" t="s">
        <v>80</v>
      </c>
      <c r="P798" t="str">
        <f>"NA                            "</f>
        <v xml:space="preserve">NA                            </v>
      </c>
      <c r="Q798">
        <v>0</v>
      </c>
      <c r="R798">
        <v>0</v>
      </c>
      <c r="S798">
        <v>0</v>
      </c>
      <c r="T798">
        <v>0</v>
      </c>
      <c r="U798">
        <v>0</v>
      </c>
      <c r="V798">
        <v>0</v>
      </c>
      <c r="W798">
        <v>0</v>
      </c>
      <c r="X798">
        <v>0</v>
      </c>
      <c r="Y798">
        <v>0</v>
      </c>
      <c r="Z798">
        <v>0</v>
      </c>
      <c r="AA798">
        <v>0</v>
      </c>
      <c r="AB798">
        <v>0</v>
      </c>
      <c r="AC798">
        <v>0</v>
      </c>
      <c r="AD798">
        <v>0</v>
      </c>
      <c r="AE798">
        <v>0</v>
      </c>
      <c r="AF798">
        <v>0</v>
      </c>
      <c r="AG798">
        <v>0</v>
      </c>
      <c r="AH798">
        <v>0</v>
      </c>
      <c r="AI798">
        <v>0</v>
      </c>
      <c r="AJ798">
        <v>0</v>
      </c>
      <c r="AK798">
        <v>16.760000000000002</v>
      </c>
      <c r="AL798">
        <v>0</v>
      </c>
      <c r="AM798">
        <v>0</v>
      </c>
      <c r="AN798">
        <v>0</v>
      </c>
      <c r="AO798">
        <v>0</v>
      </c>
      <c r="AP798">
        <v>0</v>
      </c>
      <c r="AQ798">
        <v>0</v>
      </c>
      <c r="AR798">
        <v>0</v>
      </c>
      <c r="AS798">
        <v>0</v>
      </c>
      <c r="AT798">
        <v>0</v>
      </c>
      <c r="AU798">
        <v>0</v>
      </c>
      <c r="AV798">
        <v>0</v>
      </c>
      <c r="AW798">
        <v>0</v>
      </c>
      <c r="AX798">
        <v>0</v>
      </c>
      <c r="AY798">
        <v>0</v>
      </c>
      <c r="AZ798">
        <v>0</v>
      </c>
      <c r="BA798">
        <v>0</v>
      </c>
      <c r="BB798">
        <v>0</v>
      </c>
      <c r="BC798">
        <v>0</v>
      </c>
      <c r="BD798">
        <v>0</v>
      </c>
      <c r="BE798">
        <v>0</v>
      </c>
      <c r="BF798">
        <v>0</v>
      </c>
      <c r="BG798">
        <v>0</v>
      </c>
      <c r="BH798">
        <v>1</v>
      </c>
      <c r="BI798">
        <v>0.6</v>
      </c>
      <c r="BJ798">
        <v>0.7</v>
      </c>
      <c r="BK798">
        <v>1</v>
      </c>
      <c r="BL798">
        <v>60.3</v>
      </c>
      <c r="BM798">
        <v>9.0500000000000007</v>
      </c>
      <c r="BN798">
        <v>69.349999999999994</v>
      </c>
      <c r="BO798">
        <v>69.349999999999994</v>
      </c>
      <c r="BQ798" t="s">
        <v>1959</v>
      </c>
      <c r="BR798" t="s">
        <v>1960</v>
      </c>
      <c r="BS798" s="3">
        <v>44614</v>
      </c>
      <c r="BT798" s="4">
        <v>0.53472222222222221</v>
      </c>
      <c r="BU798" t="s">
        <v>1961</v>
      </c>
      <c r="BV798" t="s">
        <v>84</v>
      </c>
      <c r="BW798" t="s">
        <v>85</v>
      </c>
      <c r="BX798" t="s">
        <v>1571</v>
      </c>
      <c r="BY798">
        <v>3654</v>
      </c>
      <c r="BZ798" t="s">
        <v>87</v>
      </c>
      <c r="CA798" t="s">
        <v>317</v>
      </c>
      <c r="CC798" t="s">
        <v>124</v>
      </c>
      <c r="CD798">
        <v>6001</v>
      </c>
      <c r="CE798" t="s">
        <v>130</v>
      </c>
      <c r="CF798" s="3">
        <v>44614</v>
      </c>
      <c r="CI798">
        <v>1</v>
      </c>
      <c r="CJ798">
        <v>1</v>
      </c>
      <c r="CK798">
        <v>21</v>
      </c>
      <c r="CL798" t="s">
        <v>84</v>
      </c>
    </row>
    <row r="799" spans="1:90" x14ac:dyDescent="0.25">
      <c r="A799" t="s">
        <v>1897</v>
      </c>
      <c r="B799" t="s">
        <v>1898</v>
      </c>
      <c r="C799" t="s">
        <v>74</v>
      </c>
      <c r="E799" t="str">
        <f>"009942476472"</f>
        <v>009942476472</v>
      </c>
      <c r="F799" s="3">
        <v>44613</v>
      </c>
      <c r="G799">
        <v>202208</v>
      </c>
      <c r="H799" t="s">
        <v>75</v>
      </c>
      <c r="I799" t="s">
        <v>76</v>
      </c>
      <c r="J799" t="s">
        <v>1886</v>
      </c>
      <c r="K799" t="s">
        <v>78</v>
      </c>
      <c r="L799" t="s">
        <v>447</v>
      </c>
      <c r="M799" t="s">
        <v>448</v>
      </c>
      <c r="N799" t="s">
        <v>1962</v>
      </c>
      <c r="O799" t="s">
        <v>80</v>
      </c>
      <c r="P799" t="str">
        <f>"NA                            "</f>
        <v xml:space="preserve">NA                            </v>
      </c>
      <c r="Q799">
        <v>0</v>
      </c>
      <c r="R799">
        <v>0</v>
      </c>
      <c r="S799">
        <v>0</v>
      </c>
      <c r="T799">
        <v>0</v>
      </c>
      <c r="U799">
        <v>0</v>
      </c>
      <c r="V799">
        <v>0</v>
      </c>
      <c r="W799">
        <v>0</v>
      </c>
      <c r="X799">
        <v>0</v>
      </c>
      <c r="Y799">
        <v>0</v>
      </c>
      <c r="Z799">
        <v>0</v>
      </c>
      <c r="AA799">
        <v>0</v>
      </c>
      <c r="AB799">
        <v>0</v>
      </c>
      <c r="AC799">
        <v>0</v>
      </c>
      <c r="AD799">
        <v>0</v>
      </c>
      <c r="AE799">
        <v>0</v>
      </c>
      <c r="AF799">
        <v>0</v>
      </c>
      <c r="AG799">
        <v>0</v>
      </c>
      <c r="AH799">
        <v>0</v>
      </c>
      <c r="AI799">
        <v>0</v>
      </c>
      <c r="AJ799">
        <v>0</v>
      </c>
      <c r="AK799">
        <v>222.01</v>
      </c>
      <c r="AL799">
        <v>0</v>
      </c>
      <c r="AM799">
        <v>0</v>
      </c>
      <c r="AN799">
        <v>0</v>
      </c>
      <c r="AO799">
        <v>0</v>
      </c>
      <c r="AP799">
        <v>0</v>
      </c>
      <c r="AQ799">
        <v>0</v>
      </c>
      <c r="AR799">
        <v>0</v>
      </c>
      <c r="AS799">
        <v>0</v>
      </c>
      <c r="AT799">
        <v>0</v>
      </c>
      <c r="AU799">
        <v>0</v>
      </c>
      <c r="AV799">
        <v>0</v>
      </c>
      <c r="AW799">
        <v>0</v>
      </c>
      <c r="AX799">
        <v>0</v>
      </c>
      <c r="AY799">
        <v>0</v>
      </c>
      <c r="AZ799">
        <v>0</v>
      </c>
      <c r="BA799">
        <v>0</v>
      </c>
      <c r="BB799">
        <v>0</v>
      </c>
      <c r="BC799">
        <v>0</v>
      </c>
      <c r="BD799">
        <v>0</v>
      </c>
      <c r="BE799">
        <v>0</v>
      </c>
      <c r="BF799">
        <v>0</v>
      </c>
      <c r="BG799">
        <v>0</v>
      </c>
      <c r="BH799">
        <v>1</v>
      </c>
      <c r="BI799">
        <v>25.7</v>
      </c>
      <c r="BJ799">
        <v>26.5</v>
      </c>
      <c r="BK799">
        <v>26.5</v>
      </c>
      <c r="BL799">
        <v>798.67</v>
      </c>
      <c r="BM799">
        <v>119.8</v>
      </c>
      <c r="BN799">
        <v>918.47</v>
      </c>
      <c r="BO799">
        <v>918.47</v>
      </c>
      <c r="BQ799" t="s">
        <v>1922</v>
      </c>
      <c r="BR799" t="s">
        <v>1960</v>
      </c>
      <c r="BS799" s="3">
        <v>44614</v>
      </c>
      <c r="BT799" s="4">
        <v>0.44305555555555554</v>
      </c>
      <c r="BU799" t="s">
        <v>1963</v>
      </c>
      <c r="BV799" t="s">
        <v>84</v>
      </c>
      <c r="BW799" t="s">
        <v>95</v>
      </c>
      <c r="BX799" t="s">
        <v>787</v>
      </c>
      <c r="BY799">
        <v>132393.24</v>
      </c>
      <c r="BZ799" t="s">
        <v>87</v>
      </c>
      <c r="CA799" t="s">
        <v>674</v>
      </c>
      <c r="CC799" t="s">
        <v>448</v>
      </c>
      <c r="CD799">
        <v>1683</v>
      </c>
      <c r="CE799" t="s">
        <v>130</v>
      </c>
      <c r="CF799" s="3">
        <v>44615</v>
      </c>
      <c r="CI799">
        <v>1</v>
      </c>
      <c r="CJ799">
        <v>1</v>
      </c>
      <c r="CK799">
        <v>21</v>
      </c>
      <c r="CL799" t="s">
        <v>84</v>
      </c>
    </row>
    <row r="800" spans="1:90" x14ac:dyDescent="0.25">
      <c r="A800" t="s">
        <v>1897</v>
      </c>
      <c r="B800" t="s">
        <v>1898</v>
      </c>
      <c r="C800" t="s">
        <v>74</v>
      </c>
      <c r="E800" t="str">
        <f>"009941705965"</f>
        <v>009941705965</v>
      </c>
      <c r="F800" s="3">
        <v>44609</v>
      </c>
      <c r="G800">
        <v>202208</v>
      </c>
      <c r="H800" t="s">
        <v>153</v>
      </c>
      <c r="I800" t="s">
        <v>154</v>
      </c>
      <c r="J800" t="s">
        <v>1964</v>
      </c>
      <c r="K800" t="s">
        <v>78</v>
      </c>
      <c r="L800" t="s">
        <v>623</v>
      </c>
      <c r="M800" t="s">
        <v>624</v>
      </c>
      <c r="N800" t="s">
        <v>1965</v>
      </c>
      <c r="O800" t="s">
        <v>80</v>
      </c>
      <c r="P800" t="str">
        <f>"NA                            "</f>
        <v xml:space="preserve">NA                            </v>
      </c>
      <c r="Q800">
        <v>0</v>
      </c>
      <c r="R800">
        <v>0</v>
      </c>
      <c r="S800">
        <v>0</v>
      </c>
      <c r="T800">
        <v>0</v>
      </c>
      <c r="U800">
        <v>0</v>
      </c>
      <c r="V800">
        <v>0</v>
      </c>
      <c r="W800">
        <v>0</v>
      </c>
      <c r="X800">
        <v>0</v>
      </c>
      <c r="Y800">
        <v>15</v>
      </c>
      <c r="Z800">
        <v>0</v>
      </c>
      <c r="AA800">
        <v>0</v>
      </c>
      <c r="AB800">
        <v>0</v>
      </c>
      <c r="AC800">
        <v>0</v>
      </c>
      <c r="AD800">
        <v>0</v>
      </c>
      <c r="AE800">
        <v>0</v>
      </c>
      <c r="AF800">
        <v>0</v>
      </c>
      <c r="AG800">
        <v>0</v>
      </c>
      <c r="AH800">
        <v>0</v>
      </c>
      <c r="AI800">
        <v>0</v>
      </c>
      <c r="AJ800">
        <v>0</v>
      </c>
      <c r="AK800">
        <v>58.65</v>
      </c>
      <c r="AL800">
        <v>0</v>
      </c>
      <c r="AM800">
        <v>0</v>
      </c>
      <c r="AN800">
        <v>0</v>
      </c>
      <c r="AO800">
        <v>0</v>
      </c>
      <c r="AP800">
        <v>0</v>
      </c>
      <c r="AQ800">
        <v>0</v>
      </c>
      <c r="AR800">
        <v>0</v>
      </c>
      <c r="AS800">
        <v>0</v>
      </c>
      <c r="AT800">
        <v>0</v>
      </c>
      <c r="AU800">
        <v>0</v>
      </c>
      <c r="AV800">
        <v>0</v>
      </c>
      <c r="AW800">
        <v>0</v>
      </c>
      <c r="AX800">
        <v>0</v>
      </c>
      <c r="AY800">
        <v>0</v>
      </c>
      <c r="AZ800">
        <v>0</v>
      </c>
      <c r="BA800">
        <v>0</v>
      </c>
      <c r="BB800">
        <v>0</v>
      </c>
      <c r="BC800">
        <v>0</v>
      </c>
      <c r="BD800">
        <v>0</v>
      </c>
      <c r="BE800">
        <v>0</v>
      </c>
      <c r="BF800">
        <v>0</v>
      </c>
      <c r="BG800">
        <v>0</v>
      </c>
      <c r="BH800">
        <v>1</v>
      </c>
      <c r="BI800">
        <v>6.9</v>
      </c>
      <c r="BJ800">
        <v>2.8</v>
      </c>
      <c r="BK800">
        <v>7</v>
      </c>
      <c r="BL800">
        <v>225.99</v>
      </c>
      <c r="BM800">
        <v>33.9</v>
      </c>
      <c r="BN800">
        <v>259.89</v>
      </c>
      <c r="BO800">
        <v>259.89</v>
      </c>
      <c r="BQ800" t="s">
        <v>1179</v>
      </c>
      <c r="BR800" t="s">
        <v>1500</v>
      </c>
      <c r="BS800" s="3">
        <v>44610</v>
      </c>
      <c r="BT800" s="4">
        <v>0.39166666666666666</v>
      </c>
      <c r="BU800" t="s">
        <v>1966</v>
      </c>
      <c r="BV800" t="s">
        <v>101</v>
      </c>
      <c r="BY800">
        <v>13898.3</v>
      </c>
      <c r="BZ800" t="s">
        <v>1967</v>
      </c>
      <c r="CA800" t="s">
        <v>1968</v>
      </c>
      <c r="CC800" t="s">
        <v>624</v>
      </c>
      <c r="CD800">
        <v>4300</v>
      </c>
      <c r="CE800" t="s">
        <v>130</v>
      </c>
      <c r="CF800" s="3">
        <v>44610</v>
      </c>
      <c r="CI800">
        <v>1</v>
      </c>
      <c r="CJ800">
        <v>1</v>
      </c>
      <c r="CK800">
        <v>21</v>
      </c>
      <c r="CL800" t="s">
        <v>84</v>
      </c>
    </row>
    <row r="801" spans="1:90" x14ac:dyDescent="0.25">
      <c r="A801" t="s">
        <v>1897</v>
      </c>
      <c r="B801" t="s">
        <v>1898</v>
      </c>
      <c r="C801" t="s">
        <v>74</v>
      </c>
      <c r="E801" t="str">
        <f>"009941853402"</f>
        <v>009941853402</v>
      </c>
      <c r="F801" s="3">
        <v>44609</v>
      </c>
      <c r="G801">
        <v>202208</v>
      </c>
      <c r="H801" t="s">
        <v>153</v>
      </c>
      <c r="I801" t="s">
        <v>154</v>
      </c>
      <c r="J801" t="s">
        <v>1902</v>
      </c>
      <c r="K801" t="s">
        <v>78</v>
      </c>
      <c r="L801" t="s">
        <v>75</v>
      </c>
      <c r="M801" t="s">
        <v>76</v>
      </c>
      <c r="N801" t="s">
        <v>1969</v>
      </c>
      <c r="O801" t="s">
        <v>1904</v>
      </c>
      <c r="P801" t="str">
        <f>"11022706DI460040              "</f>
        <v xml:space="preserve">11022706DI460040              </v>
      </c>
      <c r="Q801">
        <v>0</v>
      </c>
      <c r="R801">
        <v>0</v>
      </c>
      <c r="S801">
        <v>0</v>
      </c>
      <c r="T801">
        <v>0</v>
      </c>
      <c r="U801">
        <v>0</v>
      </c>
      <c r="V801">
        <v>0</v>
      </c>
      <c r="W801">
        <v>0</v>
      </c>
      <c r="X801">
        <v>0</v>
      </c>
      <c r="Y801">
        <v>0</v>
      </c>
      <c r="Z801">
        <v>0</v>
      </c>
      <c r="AA801">
        <v>0</v>
      </c>
      <c r="AB801">
        <v>0</v>
      </c>
      <c r="AC801">
        <v>0</v>
      </c>
      <c r="AD801">
        <v>0</v>
      </c>
      <c r="AE801">
        <v>455</v>
      </c>
      <c r="AF801">
        <v>0</v>
      </c>
      <c r="AG801">
        <v>0</v>
      </c>
      <c r="AH801">
        <v>0</v>
      </c>
      <c r="AI801">
        <v>0</v>
      </c>
      <c r="AJ801">
        <v>0</v>
      </c>
      <c r="AK801">
        <v>778.37</v>
      </c>
      <c r="AL801">
        <v>0</v>
      </c>
      <c r="AM801">
        <v>0</v>
      </c>
      <c r="AN801">
        <v>0</v>
      </c>
      <c r="AO801">
        <v>0</v>
      </c>
      <c r="AP801">
        <v>0</v>
      </c>
      <c r="AQ801">
        <v>0</v>
      </c>
      <c r="AR801">
        <v>0</v>
      </c>
      <c r="AS801">
        <v>0</v>
      </c>
      <c r="AT801">
        <v>0</v>
      </c>
      <c r="AU801">
        <v>0</v>
      </c>
      <c r="AV801">
        <v>0</v>
      </c>
      <c r="AW801">
        <v>0</v>
      </c>
      <c r="AX801">
        <v>0</v>
      </c>
      <c r="AY801">
        <v>0</v>
      </c>
      <c r="AZ801">
        <v>0</v>
      </c>
      <c r="BA801">
        <v>0</v>
      </c>
      <c r="BB801">
        <v>0</v>
      </c>
      <c r="BC801">
        <v>0</v>
      </c>
      <c r="BD801">
        <v>0</v>
      </c>
      <c r="BE801">
        <v>0</v>
      </c>
      <c r="BF801">
        <v>0</v>
      </c>
      <c r="BG801">
        <v>0</v>
      </c>
      <c r="BH801">
        <v>8</v>
      </c>
      <c r="BI801">
        <v>72</v>
      </c>
      <c r="BJ801">
        <v>72</v>
      </c>
      <c r="BK801">
        <v>72</v>
      </c>
      <c r="BL801">
        <v>2800.11</v>
      </c>
      <c r="BM801">
        <v>420.02</v>
      </c>
      <c r="BN801">
        <v>3220.13</v>
      </c>
      <c r="BO801">
        <v>3220.13</v>
      </c>
      <c r="BP801" t="s">
        <v>1970</v>
      </c>
      <c r="BQ801" t="s">
        <v>1971</v>
      </c>
      <c r="BR801" t="s">
        <v>1972</v>
      </c>
      <c r="BS801" s="3">
        <v>44610</v>
      </c>
      <c r="BT801" s="4">
        <v>0.34722222222222227</v>
      </c>
      <c r="BU801" t="s">
        <v>1973</v>
      </c>
      <c r="BV801" t="s">
        <v>84</v>
      </c>
      <c r="BY801">
        <v>45000</v>
      </c>
      <c r="BZ801" t="s">
        <v>1908</v>
      </c>
      <c r="CC801" t="s">
        <v>76</v>
      </c>
      <c r="CD801">
        <v>7460</v>
      </c>
      <c r="CE801" t="s">
        <v>130</v>
      </c>
      <c r="CF801" s="3">
        <v>44613</v>
      </c>
      <c r="CI801">
        <v>0</v>
      </c>
      <c r="CJ801">
        <v>1</v>
      </c>
      <c r="CK801">
        <v>21</v>
      </c>
      <c r="CL801" t="s">
        <v>84</v>
      </c>
    </row>
    <row r="802" spans="1:90" x14ac:dyDescent="0.25">
      <c r="A802" t="s">
        <v>1897</v>
      </c>
      <c r="B802" t="s">
        <v>1898</v>
      </c>
      <c r="C802" t="s">
        <v>74</v>
      </c>
      <c r="E802" t="str">
        <f>"009940127165"</f>
        <v>009940127165</v>
      </c>
      <c r="F802" s="3">
        <v>44609</v>
      </c>
      <c r="G802">
        <v>202208</v>
      </c>
      <c r="H802" t="s">
        <v>153</v>
      </c>
      <c r="I802" t="s">
        <v>154</v>
      </c>
      <c r="J802" t="s">
        <v>1910</v>
      </c>
      <c r="K802" t="s">
        <v>78</v>
      </c>
      <c r="L802" t="s">
        <v>123</v>
      </c>
      <c r="M802" t="s">
        <v>124</v>
      </c>
      <c r="N802" t="s">
        <v>1954</v>
      </c>
      <c r="O802" t="s">
        <v>1904</v>
      </c>
      <c r="P802" t="str">
        <f>"NA                            "</f>
        <v xml:space="preserve">NA                            </v>
      </c>
      <c r="Q802">
        <v>0</v>
      </c>
      <c r="R802">
        <v>0</v>
      </c>
      <c r="S802">
        <v>0</v>
      </c>
      <c r="T802">
        <v>0</v>
      </c>
      <c r="U802">
        <v>0</v>
      </c>
      <c r="V802">
        <v>0</v>
      </c>
      <c r="W802">
        <v>0</v>
      </c>
      <c r="X802">
        <v>0</v>
      </c>
      <c r="Y802">
        <v>0</v>
      </c>
      <c r="Z802">
        <v>0</v>
      </c>
      <c r="AA802">
        <v>0</v>
      </c>
      <c r="AB802">
        <v>0</v>
      </c>
      <c r="AC802">
        <v>0</v>
      </c>
      <c r="AD802">
        <v>0</v>
      </c>
      <c r="AE802">
        <v>455</v>
      </c>
      <c r="AF802">
        <v>0</v>
      </c>
      <c r="AG802">
        <v>0</v>
      </c>
      <c r="AH802">
        <v>0</v>
      </c>
      <c r="AI802">
        <v>0</v>
      </c>
      <c r="AJ802">
        <v>0</v>
      </c>
      <c r="AK802">
        <v>325.98</v>
      </c>
      <c r="AL802">
        <v>0</v>
      </c>
      <c r="AM802">
        <v>0</v>
      </c>
      <c r="AN802">
        <v>0</v>
      </c>
      <c r="AO802">
        <v>0</v>
      </c>
      <c r="AP802">
        <v>0</v>
      </c>
      <c r="AQ802">
        <v>0</v>
      </c>
      <c r="AR802">
        <v>0</v>
      </c>
      <c r="AS802">
        <v>0</v>
      </c>
      <c r="AT802">
        <v>0</v>
      </c>
      <c r="AU802">
        <v>0</v>
      </c>
      <c r="AV802">
        <v>0</v>
      </c>
      <c r="AW802">
        <v>0</v>
      </c>
      <c r="AX802">
        <v>0</v>
      </c>
      <c r="AY802">
        <v>0</v>
      </c>
      <c r="AZ802">
        <v>0</v>
      </c>
      <c r="BA802">
        <v>0</v>
      </c>
      <c r="BB802">
        <v>0</v>
      </c>
      <c r="BC802">
        <v>0</v>
      </c>
      <c r="BD802">
        <v>0</v>
      </c>
      <c r="BE802">
        <v>0</v>
      </c>
      <c r="BF802">
        <v>0</v>
      </c>
      <c r="BG802">
        <v>0</v>
      </c>
      <c r="BH802">
        <v>2</v>
      </c>
      <c r="BI802">
        <v>18</v>
      </c>
      <c r="BJ802">
        <v>18</v>
      </c>
      <c r="BK802">
        <v>18</v>
      </c>
      <c r="BL802">
        <v>1172.68</v>
      </c>
      <c r="BM802">
        <v>175.9</v>
      </c>
      <c r="BN802">
        <v>1348.58</v>
      </c>
      <c r="BO802">
        <v>1348.58</v>
      </c>
      <c r="BQ802" t="s">
        <v>1974</v>
      </c>
      <c r="BR802" t="s">
        <v>1913</v>
      </c>
      <c r="BS802" t="s">
        <v>653</v>
      </c>
      <c r="BY802">
        <v>45000</v>
      </c>
      <c r="BZ802" t="s">
        <v>1908</v>
      </c>
      <c r="CC802" t="s">
        <v>124</v>
      </c>
      <c r="CD802">
        <v>6045</v>
      </c>
      <c r="CE802" t="s">
        <v>130</v>
      </c>
      <c r="CF802" s="3">
        <v>44613</v>
      </c>
      <c r="CI802">
        <v>0</v>
      </c>
      <c r="CJ802" t="s">
        <v>653</v>
      </c>
      <c r="CK802">
        <v>21</v>
      </c>
      <c r="CL802" t="s">
        <v>84</v>
      </c>
    </row>
    <row r="803" spans="1:90" x14ac:dyDescent="0.25">
      <c r="A803" t="s">
        <v>1897</v>
      </c>
      <c r="B803" t="s">
        <v>1898</v>
      </c>
      <c r="C803" t="s">
        <v>74</v>
      </c>
      <c r="E803" t="str">
        <f>"009941578696"</f>
        <v>009941578696</v>
      </c>
      <c r="F803" s="3">
        <v>44614</v>
      </c>
      <c r="G803">
        <v>202208</v>
      </c>
      <c r="H803" t="s">
        <v>123</v>
      </c>
      <c r="I803" t="s">
        <v>124</v>
      </c>
      <c r="J803" t="s">
        <v>1954</v>
      </c>
      <c r="K803" t="s">
        <v>78</v>
      </c>
      <c r="L803" t="s">
        <v>496</v>
      </c>
      <c r="M803" t="s">
        <v>497</v>
      </c>
      <c r="N803" t="s">
        <v>1724</v>
      </c>
      <c r="O803" t="s">
        <v>80</v>
      </c>
      <c r="P803" t="str">
        <f>"11912270 FM                   "</f>
        <v xml:space="preserve">11912270 FM                   </v>
      </c>
      <c r="Q803">
        <v>0</v>
      </c>
      <c r="R803">
        <v>0</v>
      </c>
      <c r="S803">
        <v>0</v>
      </c>
      <c r="T803">
        <v>0</v>
      </c>
      <c r="U803">
        <v>0</v>
      </c>
      <c r="V803">
        <v>0</v>
      </c>
      <c r="W803">
        <v>0</v>
      </c>
      <c r="X803">
        <v>0</v>
      </c>
      <c r="Y803">
        <v>0</v>
      </c>
      <c r="Z803">
        <v>0</v>
      </c>
      <c r="AA803">
        <v>0</v>
      </c>
      <c r="AB803">
        <v>0</v>
      </c>
      <c r="AC803">
        <v>0</v>
      </c>
      <c r="AD803">
        <v>0</v>
      </c>
      <c r="AE803">
        <v>0</v>
      </c>
      <c r="AF803">
        <v>0</v>
      </c>
      <c r="AG803">
        <v>0</v>
      </c>
      <c r="AH803">
        <v>0</v>
      </c>
      <c r="AI803">
        <v>0</v>
      </c>
      <c r="AJ803">
        <v>0</v>
      </c>
      <c r="AK803">
        <v>16.760000000000002</v>
      </c>
      <c r="AL803">
        <v>0</v>
      </c>
      <c r="AM803">
        <v>0</v>
      </c>
      <c r="AN803">
        <v>0</v>
      </c>
      <c r="AO803">
        <v>0</v>
      </c>
      <c r="AP803">
        <v>0</v>
      </c>
      <c r="AQ803">
        <v>0</v>
      </c>
      <c r="AR803">
        <v>0</v>
      </c>
      <c r="AS803">
        <v>0</v>
      </c>
      <c r="AT803">
        <v>0</v>
      </c>
      <c r="AU803">
        <v>0</v>
      </c>
      <c r="AV803">
        <v>0</v>
      </c>
      <c r="AW803">
        <v>0</v>
      </c>
      <c r="AX803">
        <v>0</v>
      </c>
      <c r="AY803">
        <v>0</v>
      </c>
      <c r="AZ803">
        <v>0</v>
      </c>
      <c r="BA803">
        <v>0</v>
      </c>
      <c r="BB803">
        <v>0</v>
      </c>
      <c r="BC803">
        <v>0</v>
      </c>
      <c r="BD803">
        <v>0</v>
      </c>
      <c r="BE803">
        <v>0</v>
      </c>
      <c r="BF803">
        <v>0</v>
      </c>
      <c r="BG803">
        <v>0</v>
      </c>
      <c r="BH803">
        <v>1</v>
      </c>
      <c r="BI803">
        <v>1</v>
      </c>
      <c r="BJ803">
        <v>0.2</v>
      </c>
      <c r="BK803">
        <v>1</v>
      </c>
      <c r="BL803">
        <v>60.3</v>
      </c>
      <c r="BM803">
        <v>9.0500000000000007</v>
      </c>
      <c r="BN803">
        <v>69.349999999999994</v>
      </c>
      <c r="BO803">
        <v>69.349999999999994</v>
      </c>
      <c r="BQ803" t="s">
        <v>1975</v>
      </c>
      <c r="BR803" t="s">
        <v>1956</v>
      </c>
      <c r="BS803" s="3">
        <v>44615</v>
      </c>
      <c r="BT803" s="4">
        <v>0.38541666666666669</v>
      </c>
      <c r="BU803" t="s">
        <v>1976</v>
      </c>
      <c r="BV803" t="s">
        <v>101</v>
      </c>
      <c r="BY803">
        <v>1200</v>
      </c>
      <c r="BZ803" t="s">
        <v>87</v>
      </c>
      <c r="CA803" t="s">
        <v>976</v>
      </c>
      <c r="CC803" t="s">
        <v>497</v>
      </c>
      <c r="CD803">
        <v>6530</v>
      </c>
      <c r="CE803" t="s">
        <v>130</v>
      </c>
      <c r="CI803">
        <v>1</v>
      </c>
      <c r="CJ803">
        <v>1</v>
      </c>
      <c r="CK803">
        <v>21</v>
      </c>
      <c r="CL803" t="s">
        <v>84</v>
      </c>
    </row>
    <row r="804" spans="1:90" x14ac:dyDescent="0.25">
      <c r="A804" t="s">
        <v>1897</v>
      </c>
      <c r="B804" t="s">
        <v>1898</v>
      </c>
      <c r="C804" t="s">
        <v>74</v>
      </c>
      <c r="E804" t="str">
        <f>"009940127166"</f>
        <v>009940127166</v>
      </c>
      <c r="F804" s="3">
        <v>44609</v>
      </c>
      <c r="G804">
        <v>202208</v>
      </c>
      <c r="H804" t="s">
        <v>153</v>
      </c>
      <c r="I804" t="s">
        <v>154</v>
      </c>
      <c r="J804" t="s">
        <v>1910</v>
      </c>
      <c r="K804" t="s">
        <v>78</v>
      </c>
      <c r="L804" t="s">
        <v>623</v>
      </c>
      <c r="M804" t="s">
        <v>624</v>
      </c>
      <c r="N804" t="s">
        <v>1977</v>
      </c>
      <c r="O804" t="s">
        <v>979</v>
      </c>
      <c r="P804" t="str">
        <f>"11022706DI 460040             "</f>
        <v xml:space="preserve">11022706DI 460040             </v>
      </c>
      <c r="Q804">
        <v>0</v>
      </c>
      <c r="R804">
        <v>0</v>
      </c>
      <c r="S804">
        <v>0</v>
      </c>
      <c r="T804">
        <v>0</v>
      </c>
      <c r="U804">
        <v>0</v>
      </c>
      <c r="V804">
        <v>0</v>
      </c>
      <c r="W804">
        <v>0</v>
      </c>
      <c r="X804">
        <v>0</v>
      </c>
      <c r="Y804">
        <v>0</v>
      </c>
      <c r="Z804">
        <v>0</v>
      </c>
      <c r="AA804">
        <v>0</v>
      </c>
      <c r="AB804">
        <v>0</v>
      </c>
      <c r="AC804">
        <v>0</v>
      </c>
      <c r="AD804">
        <v>0</v>
      </c>
      <c r="AE804">
        <v>0</v>
      </c>
      <c r="AF804">
        <v>0</v>
      </c>
      <c r="AG804">
        <v>0</v>
      </c>
      <c r="AH804">
        <v>0</v>
      </c>
      <c r="AI804">
        <v>0</v>
      </c>
      <c r="AJ804">
        <v>0</v>
      </c>
      <c r="AK804">
        <v>1375.12</v>
      </c>
      <c r="AL804">
        <v>0</v>
      </c>
      <c r="AM804">
        <v>0</v>
      </c>
      <c r="AN804">
        <v>0</v>
      </c>
      <c r="AO804">
        <v>0</v>
      </c>
      <c r="AP804">
        <v>0</v>
      </c>
      <c r="AQ804">
        <v>0</v>
      </c>
      <c r="AR804">
        <v>0</v>
      </c>
      <c r="AS804">
        <v>0</v>
      </c>
      <c r="AT804">
        <v>0</v>
      </c>
      <c r="AU804">
        <v>0</v>
      </c>
      <c r="AV804">
        <v>0</v>
      </c>
      <c r="AW804">
        <v>0</v>
      </c>
      <c r="AX804">
        <v>0</v>
      </c>
      <c r="AY804">
        <v>0</v>
      </c>
      <c r="AZ804">
        <v>0</v>
      </c>
      <c r="BA804">
        <v>0</v>
      </c>
      <c r="BB804">
        <v>0</v>
      </c>
      <c r="BC804">
        <v>0</v>
      </c>
      <c r="BD804">
        <v>0</v>
      </c>
      <c r="BE804">
        <v>0</v>
      </c>
      <c r="BF804">
        <v>0</v>
      </c>
      <c r="BG804">
        <v>0</v>
      </c>
      <c r="BH804">
        <v>24</v>
      </c>
      <c r="BI804">
        <v>64.900000000000006</v>
      </c>
      <c r="BJ804">
        <v>174.6</v>
      </c>
      <c r="BK804">
        <v>175</v>
      </c>
      <c r="BL804">
        <v>4946.87</v>
      </c>
      <c r="BM804">
        <v>742.03</v>
      </c>
      <c r="BN804">
        <v>5688.9</v>
      </c>
      <c r="BO804">
        <v>5688.9</v>
      </c>
      <c r="BQ804" t="s">
        <v>1978</v>
      </c>
      <c r="BR804" t="s">
        <v>1913</v>
      </c>
      <c r="BS804" s="3">
        <v>44610</v>
      </c>
      <c r="BT804" s="4">
        <v>0.4604166666666667</v>
      </c>
      <c r="BU804" t="s">
        <v>1979</v>
      </c>
      <c r="BV804" t="s">
        <v>101</v>
      </c>
      <c r="BY804">
        <v>872864.44</v>
      </c>
      <c r="BZ804" t="s">
        <v>1854</v>
      </c>
      <c r="CA804" t="s">
        <v>1888</v>
      </c>
      <c r="CC804" t="s">
        <v>624</v>
      </c>
      <c r="CD804">
        <v>4300</v>
      </c>
      <c r="CE804" t="s">
        <v>130</v>
      </c>
      <c r="CF804" s="3">
        <v>44610</v>
      </c>
      <c r="CI804">
        <v>1</v>
      </c>
      <c r="CJ804">
        <v>1</v>
      </c>
      <c r="CK804">
        <v>31</v>
      </c>
      <c r="CL804" t="s">
        <v>84</v>
      </c>
    </row>
    <row r="805" spans="1:90" x14ac:dyDescent="0.25">
      <c r="A805" t="s">
        <v>1897</v>
      </c>
      <c r="B805" t="s">
        <v>1898</v>
      </c>
      <c r="C805" t="s">
        <v>74</v>
      </c>
      <c r="E805" t="str">
        <f>"009942476471"</f>
        <v>009942476471</v>
      </c>
      <c r="F805" s="3">
        <v>44614</v>
      </c>
      <c r="G805">
        <v>202208</v>
      </c>
      <c r="H805" t="s">
        <v>75</v>
      </c>
      <c r="I805" t="s">
        <v>76</v>
      </c>
      <c r="J805" t="s">
        <v>1886</v>
      </c>
      <c r="K805" t="s">
        <v>78</v>
      </c>
      <c r="L805" t="s">
        <v>234</v>
      </c>
      <c r="M805" t="s">
        <v>235</v>
      </c>
      <c r="N805" t="s">
        <v>1980</v>
      </c>
      <c r="O805" t="s">
        <v>125</v>
      </c>
      <c r="P805" t="str">
        <f>"NA                            "</f>
        <v xml:space="preserve">NA                            </v>
      </c>
      <c r="Q805">
        <v>0</v>
      </c>
      <c r="R805">
        <v>0</v>
      </c>
      <c r="S805">
        <v>0</v>
      </c>
      <c r="T805">
        <v>0</v>
      </c>
      <c r="U805">
        <v>0</v>
      </c>
      <c r="V805">
        <v>0</v>
      </c>
      <c r="W805">
        <v>0</v>
      </c>
      <c r="X805">
        <v>0</v>
      </c>
      <c r="Y805">
        <v>0</v>
      </c>
      <c r="Z805">
        <v>0</v>
      </c>
      <c r="AA805">
        <v>0</v>
      </c>
      <c r="AB805">
        <v>0</v>
      </c>
      <c r="AC805">
        <v>0</v>
      </c>
      <c r="AD805">
        <v>0</v>
      </c>
      <c r="AE805">
        <v>0</v>
      </c>
      <c r="AF805">
        <v>0</v>
      </c>
      <c r="AG805">
        <v>0</v>
      </c>
      <c r="AH805">
        <v>0</v>
      </c>
      <c r="AI805">
        <v>0</v>
      </c>
      <c r="AJ805">
        <v>0</v>
      </c>
      <c r="AK805">
        <v>39.1</v>
      </c>
      <c r="AL805">
        <v>0</v>
      </c>
      <c r="AM805">
        <v>0</v>
      </c>
      <c r="AN805">
        <v>0</v>
      </c>
      <c r="AO805">
        <v>0</v>
      </c>
      <c r="AP805">
        <v>0</v>
      </c>
      <c r="AQ805">
        <v>0</v>
      </c>
      <c r="AR805">
        <v>0</v>
      </c>
      <c r="AS805">
        <v>0</v>
      </c>
      <c r="AT805">
        <v>0</v>
      </c>
      <c r="AU805">
        <v>0</v>
      </c>
      <c r="AV805">
        <v>0</v>
      </c>
      <c r="AW805">
        <v>0</v>
      </c>
      <c r="AX805">
        <v>0</v>
      </c>
      <c r="AY805">
        <v>0</v>
      </c>
      <c r="AZ805">
        <v>0</v>
      </c>
      <c r="BA805">
        <v>0</v>
      </c>
      <c r="BB805">
        <v>0</v>
      </c>
      <c r="BC805">
        <v>0</v>
      </c>
      <c r="BD805">
        <v>0</v>
      </c>
      <c r="BE805">
        <v>0</v>
      </c>
      <c r="BF805">
        <v>0</v>
      </c>
      <c r="BG805">
        <v>0</v>
      </c>
      <c r="BH805">
        <v>1</v>
      </c>
      <c r="BI805">
        <v>17.3</v>
      </c>
      <c r="BJ805">
        <v>19.8</v>
      </c>
      <c r="BK805">
        <v>20</v>
      </c>
      <c r="BL805">
        <v>145.9</v>
      </c>
      <c r="BM805">
        <v>21.89</v>
      </c>
      <c r="BN805">
        <v>167.79</v>
      </c>
      <c r="BO805">
        <v>167.79</v>
      </c>
      <c r="BQ805" t="s">
        <v>1981</v>
      </c>
      <c r="BR805" t="s">
        <v>1899</v>
      </c>
      <c r="BS805" s="3">
        <v>44616</v>
      </c>
      <c r="BT805" s="4">
        <v>0.375</v>
      </c>
      <c r="BU805" t="s">
        <v>260</v>
      </c>
      <c r="BV805" t="s">
        <v>101</v>
      </c>
      <c r="BY805">
        <v>99231.1</v>
      </c>
      <c r="BZ805" t="s">
        <v>137</v>
      </c>
      <c r="CC805" t="s">
        <v>235</v>
      </c>
      <c r="CD805">
        <v>3200</v>
      </c>
      <c r="CE805" t="s">
        <v>130</v>
      </c>
      <c r="CF805" s="3">
        <v>44620</v>
      </c>
      <c r="CI805">
        <v>3</v>
      </c>
      <c r="CJ805">
        <v>2</v>
      </c>
      <c r="CK805">
        <v>41</v>
      </c>
      <c r="CL805" t="s">
        <v>84</v>
      </c>
    </row>
    <row r="806" spans="1:90" x14ac:dyDescent="0.25">
      <c r="A806" t="s">
        <v>1897</v>
      </c>
      <c r="B806" t="s">
        <v>1898</v>
      </c>
      <c r="C806" t="s">
        <v>74</v>
      </c>
      <c r="E806" t="str">
        <f>"009942476470"</f>
        <v>009942476470</v>
      </c>
      <c r="F806" s="3">
        <v>44614</v>
      </c>
      <c r="G806">
        <v>202208</v>
      </c>
      <c r="H806" t="s">
        <v>75</v>
      </c>
      <c r="I806" t="s">
        <v>76</v>
      </c>
      <c r="J806" t="s">
        <v>1886</v>
      </c>
      <c r="K806" t="s">
        <v>78</v>
      </c>
      <c r="L806" t="s">
        <v>623</v>
      </c>
      <c r="M806" t="s">
        <v>624</v>
      </c>
      <c r="N806" t="s">
        <v>1886</v>
      </c>
      <c r="O806" t="s">
        <v>125</v>
      </c>
      <c r="P806" t="str">
        <f>"DBN                           "</f>
        <v xml:space="preserve">DBN                           </v>
      </c>
      <c r="Q806">
        <v>0</v>
      </c>
      <c r="R806">
        <v>0</v>
      </c>
      <c r="S806">
        <v>0</v>
      </c>
      <c r="T806">
        <v>0</v>
      </c>
      <c r="U806">
        <v>0</v>
      </c>
      <c r="V806">
        <v>0</v>
      </c>
      <c r="W806">
        <v>0</v>
      </c>
      <c r="X806">
        <v>0</v>
      </c>
      <c r="Y806">
        <v>0</v>
      </c>
      <c r="Z806">
        <v>0</v>
      </c>
      <c r="AA806">
        <v>0</v>
      </c>
      <c r="AB806">
        <v>0</v>
      </c>
      <c r="AC806">
        <v>0</v>
      </c>
      <c r="AD806">
        <v>0</v>
      </c>
      <c r="AE806">
        <v>0</v>
      </c>
      <c r="AF806">
        <v>0</v>
      </c>
      <c r="AG806">
        <v>0</v>
      </c>
      <c r="AH806">
        <v>0</v>
      </c>
      <c r="AI806">
        <v>0</v>
      </c>
      <c r="AJ806">
        <v>0</v>
      </c>
      <c r="AK806">
        <v>32.42</v>
      </c>
      <c r="AL806">
        <v>0</v>
      </c>
      <c r="AM806">
        <v>0</v>
      </c>
      <c r="AN806">
        <v>0</v>
      </c>
      <c r="AO806">
        <v>0</v>
      </c>
      <c r="AP806">
        <v>0</v>
      </c>
      <c r="AQ806">
        <v>0</v>
      </c>
      <c r="AR806">
        <v>0</v>
      </c>
      <c r="AS806">
        <v>0</v>
      </c>
      <c r="AT806">
        <v>0</v>
      </c>
      <c r="AU806">
        <v>0</v>
      </c>
      <c r="AV806">
        <v>0</v>
      </c>
      <c r="AW806">
        <v>0</v>
      </c>
      <c r="AX806">
        <v>0</v>
      </c>
      <c r="AY806">
        <v>0</v>
      </c>
      <c r="AZ806">
        <v>0</v>
      </c>
      <c r="BA806">
        <v>0</v>
      </c>
      <c r="BB806">
        <v>0</v>
      </c>
      <c r="BC806">
        <v>0</v>
      </c>
      <c r="BD806">
        <v>0</v>
      </c>
      <c r="BE806">
        <v>0</v>
      </c>
      <c r="BF806">
        <v>0</v>
      </c>
      <c r="BG806">
        <v>0</v>
      </c>
      <c r="BH806">
        <v>1</v>
      </c>
      <c r="BI806">
        <v>2.2999999999999998</v>
      </c>
      <c r="BJ806">
        <v>2.8</v>
      </c>
      <c r="BK806">
        <v>3</v>
      </c>
      <c r="BL806">
        <v>121.87</v>
      </c>
      <c r="BM806">
        <v>18.28</v>
      </c>
      <c r="BN806">
        <v>140.15</v>
      </c>
      <c r="BO806">
        <v>140.15</v>
      </c>
      <c r="BQ806" t="s">
        <v>1941</v>
      </c>
      <c r="BR806" t="s">
        <v>1899</v>
      </c>
      <c r="BS806" s="3">
        <v>44616</v>
      </c>
      <c r="BT806" s="4">
        <v>0.54722222222222217</v>
      </c>
      <c r="BU806" t="s">
        <v>1887</v>
      </c>
      <c r="BV806" t="s">
        <v>101</v>
      </c>
      <c r="BY806">
        <v>14188.83</v>
      </c>
      <c r="BZ806" t="s">
        <v>137</v>
      </c>
      <c r="CA806" t="s">
        <v>1888</v>
      </c>
      <c r="CC806" t="s">
        <v>624</v>
      </c>
      <c r="CD806">
        <v>4300</v>
      </c>
      <c r="CE806" t="s">
        <v>130</v>
      </c>
      <c r="CF806" s="3">
        <v>44617</v>
      </c>
      <c r="CI806">
        <v>3</v>
      </c>
      <c r="CJ806">
        <v>2</v>
      </c>
      <c r="CK806">
        <v>41</v>
      </c>
      <c r="CL806" t="s">
        <v>84</v>
      </c>
    </row>
    <row r="807" spans="1:90" x14ac:dyDescent="0.25">
      <c r="A807" t="s">
        <v>1897</v>
      </c>
      <c r="B807" t="s">
        <v>1898</v>
      </c>
      <c r="C807" t="s">
        <v>74</v>
      </c>
      <c r="E807" t="str">
        <f>"R009941963541"</f>
        <v>R009941963541</v>
      </c>
      <c r="F807" s="3">
        <v>44606</v>
      </c>
      <c r="G807">
        <v>202208</v>
      </c>
      <c r="H807" t="s">
        <v>234</v>
      </c>
      <c r="I807" t="s">
        <v>235</v>
      </c>
      <c r="J807" t="s">
        <v>1982</v>
      </c>
      <c r="K807" t="s">
        <v>78</v>
      </c>
      <c r="L807" t="s">
        <v>75</v>
      </c>
      <c r="M807" t="s">
        <v>76</v>
      </c>
      <c r="N807" t="s">
        <v>1983</v>
      </c>
      <c r="O807" t="s">
        <v>80</v>
      </c>
      <c r="P807" t="str">
        <f>"TENDER DOC                    "</f>
        <v xml:space="preserve">TENDER DOC                    </v>
      </c>
      <c r="Q807">
        <v>0</v>
      </c>
      <c r="R807">
        <v>0</v>
      </c>
      <c r="S807">
        <v>0</v>
      </c>
      <c r="T807">
        <v>0</v>
      </c>
      <c r="U807">
        <v>0</v>
      </c>
      <c r="V807">
        <v>0</v>
      </c>
      <c r="W807">
        <v>0</v>
      </c>
      <c r="X807">
        <v>0</v>
      </c>
      <c r="Y807">
        <v>0</v>
      </c>
      <c r="Z807">
        <v>0</v>
      </c>
      <c r="AA807">
        <v>0</v>
      </c>
      <c r="AB807">
        <v>0</v>
      </c>
      <c r="AC807">
        <v>0</v>
      </c>
      <c r="AD807">
        <v>0</v>
      </c>
      <c r="AE807">
        <v>0</v>
      </c>
      <c r="AF807">
        <v>0</v>
      </c>
      <c r="AG807">
        <v>0</v>
      </c>
      <c r="AH807">
        <v>0</v>
      </c>
      <c r="AI807">
        <v>0</v>
      </c>
      <c r="AJ807">
        <v>0</v>
      </c>
      <c r="AK807">
        <v>16.760000000000002</v>
      </c>
      <c r="AL807">
        <v>0</v>
      </c>
      <c r="AM807">
        <v>0</v>
      </c>
      <c r="AN807">
        <v>0</v>
      </c>
      <c r="AO807">
        <v>0</v>
      </c>
      <c r="AP807">
        <v>0</v>
      </c>
      <c r="AQ807">
        <v>0</v>
      </c>
      <c r="AR807">
        <v>0</v>
      </c>
      <c r="AS807">
        <v>0</v>
      </c>
      <c r="AT807">
        <v>0</v>
      </c>
      <c r="AU807">
        <v>0</v>
      </c>
      <c r="AV807">
        <v>0</v>
      </c>
      <c r="AW807">
        <v>0</v>
      </c>
      <c r="AX807">
        <v>0</v>
      </c>
      <c r="AY807">
        <v>0</v>
      </c>
      <c r="AZ807">
        <v>0</v>
      </c>
      <c r="BA807">
        <v>0</v>
      </c>
      <c r="BB807">
        <v>0</v>
      </c>
      <c r="BC807">
        <v>0</v>
      </c>
      <c r="BD807">
        <v>0</v>
      </c>
      <c r="BE807">
        <v>0</v>
      </c>
      <c r="BF807">
        <v>0</v>
      </c>
      <c r="BG807">
        <v>0</v>
      </c>
      <c r="BH807">
        <v>1</v>
      </c>
      <c r="BI807">
        <v>0.4</v>
      </c>
      <c r="BJ807">
        <v>1.6</v>
      </c>
      <c r="BK807">
        <v>2</v>
      </c>
      <c r="BL807">
        <v>60.3</v>
      </c>
      <c r="BM807">
        <v>9.0500000000000007</v>
      </c>
      <c r="BN807">
        <v>69.349999999999994</v>
      </c>
      <c r="BO807">
        <v>69.349999999999994</v>
      </c>
      <c r="BQ807" t="s">
        <v>1984</v>
      </c>
      <c r="BR807" t="s">
        <v>1985</v>
      </c>
      <c r="BS807" t="s">
        <v>653</v>
      </c>
      <c r="BW807" t="s">
        <v>1986</v>
      </c>
      <c r="BX807" t="s">
        <v>766</v>
      </c>
      <c r="BY807">
        <v>7857.14</v>
      </c>
      <c r="BZ807" t="s">
        <v>87</v>
      </c>
      <c r="CC807" t="s">
        <v>76</v>
      </c>
      <c r="CD807">
        <v>8000</v>
      </c>
      <c r="CE807" t="s">
        <v>130</v>
      </c>
      <c r="CI807">
        <v>1</v>
      </c>
      <c r="CJ807" t="s">
        <v>653</v>
      </c>
      <c r="CK807">
        <v>21</v>
      </c>
      <c r="CL807" t="s">
        <v>84</v>
      </c>
    </row>
    <row r="808" spans="1:90" x14ac:dyDescent="0.25">
      <c r="A808" t="s">
        <v>1987</v>
      </c>
      <c r="B808" t="s">
        <v>1898</v>
      </c>
      <c r="C808" t="s">
        <v>74</v>
      </c>
      <c r="E808" t="str">
        <f>"009941948549"</f>
        <v>009941948549</v>
      </c>
      <c r="F808" s="3">
        <v>44607</v>
      </c>
      <c r="G808">
        <v>202208</v>
      </c>
      <c r="H808" t="s">
        <v>1988</v>
      </c>
      <c r="I808" t="s">
        <v>1989</v>
      </c>
      <c r="J808" t="s">
        <v>1990</v>
      </c>
      <c r="K808" t="s">
        <v>78</v>
      </c>
      <c r="L808" t="s">
        <v>346</v>
      </c>
      <c r="M808" t="s">
        <v>346</v>
      </c>
      <c r="N808" t="s">
        <v>1991</v>
      </c>
      <c r="O808" t="s">
        <v>80</v>
      </c>
      <c r="P808" t="str">
        <f>"                              "</f>
        <v xml:space="preserve">                              </v>
      </c>
      <c r="Q808">
        <v>0</v>
      </c>
      <c r="R808">
        <v>0</v>
      </c>
      <c r="S808">
        <v>0</v>
      </c>
      <c r="T808">
        <v>0</v>
      </c>
      <c r="U808">
        <v>0</v>
      </c>
      <c r="V808">
        <v>0</v>
      </c>
      <c r="W808">
        <v>0</v>
      </c>
      <c r="X808">
        <v>0</v>
      </c>
      <c r="Y808">
        <v>0</v>
      </c>
      <c r="Z808">
        <v>0</v>
      </c>
      <c r="AA808">
        <v>0</v>
      </c>
      <c r="AB808">
        <v>0</v>
      </c>
      <c r="AC808">
        <v>0</v>
      </c>
      <c r="AD808">
        <v>0</v>
      </c>
      <c r="AE808">
        <v>0</v>
      </c>
      <c r="AF808">
        <v>0</v>
      </c>
      <c r="AG808">
        <v>0</v>
      </c>
      <c r="AH808">
        <v>0</v>
      </c>
      <c r="AI808">
        <v>0</v>
      </c>
      <c r="AJ808">
        <v>0</v>
      </c>
      <c r="AK808">
        <v>32.479999999999997</v>
      </c>
      <c r="AL808">
        <v>0</v>
      </c>
      <c r="AM808">
        <v>0</v>
      </c>
      <c r="AN808">
        <v>0</v>
      </c>
      <c r="AO808">
        <v>0</v>
      </c>
      <c r="AP808">
        <v>0</v>
      </c>
      <c r="AQ808">
        <v>0</v>
      </c>
      <c r="AR808">
        <v>0</v>
      </c>
      <c r="AS808">
        <v>0</v>
      </c>
      <c r="AT808">
        <v>0</v>
      </c>
      <c r="AU808">
        <v>0</v>
      </c>
      <c r="AV808">
        <v>0</v>
      </c>
      <c r="AW808">
        <v>0</v>
      </c>
      <c r="AX808">
        <v>0</v>
      </c>
      <c r="AY808">
        <v>0</v>
      </c>
      <c r="AZ808">
        <v>0</v>
      </c>
      <c r="BA808">
        <v>0</v>
      </c>
      <c r="BB808">
        <v>0</v>
      </c>
      <c r="BC808">
        <v>0</v>
      </c>
      <c r="BD808">
        <v>0</v>
      </c>
      <c r="BE808">
        <v>0</v>
      </c>
      <c r="BF808">
        <v>0</v>
      </c>
      <c r="BG808">
        <v>0</v>
      </c>
      <c r="BH808">
        <v>1</v>
      </c>
      <c r="BI808">
        <v>1</v>
      </c>
      <c r="BJ808">
        <v>0.2</v>
      </c>
      <c r="BK808">
        <v>1</v>
      </c>
      <c r="BL808">
        <v>116.84</v>
      </c>
      <c r="BM808">
        <v>17.53</v>
      </c>
      <c r="BN808">
        <v>134.37</v>
      </c>
      <c r="BO808">
        <v>134.37</v>
      </c>
      <c r="BR808" t="s">
        <v>1992</v>
      </c>
      <c r="BS808" s="3">
        <v>44608</v>
      </c>
      <c r="BT808" s="4">
        <v>0.46597222222222223</v>
      </c>
      <c r="BU808" t="s">
        <v>1993</v>
      </c>
      <c r="BV808" t="s">
        <v>101</v>
      </c>
      <c r="BY808">
        <v>1200</v>
      </c>
      <c r="BZ808" t="s">
        <v>87</v>
      </c>
      <c r="CA808" t="s">
        <v>1994</v>
      </c>
      <c r="CC808" t="s">
        <v>346</v>
      </c>
      <c r="CD808">
        <v>7620</v>
      </c>
      <c r="CE808" t="s">
        <v>130</v>
      </c>
      <c r="CF808" s="3">
        <v>44609</v>
      </c>
      <c r="CI808">
        <v>2</v>
      </c>
      <c r="CJ808">
        <v>1</v>
      </c>
      <c r="CK808">
        <v>23</v>
      </c>
      <c r="CL808" t="s">
        <v>84</v>
      </c>
    </row>
    <row r="809" spans="1:90" x14ac:dyDescent="0.25">
      <c r="A809" t="s">
        <v>1897</v>
      </c>
      <c r="B809" t="s">
        <v>1898</v>
      </c>
      <c r="C809" t="s">
        <v>74</v>
      </c>
      <c r="E809" t="str">
        <f>"009942476499"</f>
        <v>009942476499</v>
      </c>
      <c r="F809" s="3">
        <v>44615</v>
      </c>
      <c r="G809">
        <v>202208</v>
      </c>
      <c r="H809" t="s">
        <v>75</v>
      </c>
      <c r="I809" t="s">
        <v>76</v>
      </c>
      <c r="J809" t="s">
        <v>1886</v>
      </c>
      <c r="K809" t="s">
        <v>78</v>
      </c>
      <c r="L809" t="s">
        <v>1458</v>
      </c>
      <c r="M809" t="s">
        <v>1459</v>
      </c>
      <c r="N809" t="s">
        <v>1995</v>
      </c>
      <c r="O809" t="s">
        <v>979</v>
      </c>
      <c r="P809" t="str">
        <f>"MT CT                         "</f>
        <v xml:space="preserve">MT CT                         </v>
      </c>
      <c r="Q809">
        <v>0</v>
      </c>
      <c r="R809">
        <v>0</v>
      </c>
      <c r="S809">
        <v>0</v>
      </c>
      <c r="T809">
        <v>0</v>
      </c>
      <c r="U809">
        <v>0</v>
      </c>
      <c r="V809">
        <v>0</v>
      </c>
      <c r="W809">
        <v>0</v>
      </c>
      <c r="X809">
        <v>0</v>
      </c>
      <c r="Y809">
        <v>0</v>
      </c>
      <c r="Z809">
        <v>0</v>
      </c>
      <c r="AA809">
        <v>0</v>
      </c>
      <c r="AB809">
        <v>0</v>
      </c>
      <c r="AC809">
        <v>0</v>
      </c>
      <c r="AD809">
        <v>0</v>
      </c>
      <c r="AE809">
        <v>0</v>
      </c>
      <c r="AF809">
        <v>0</v>
      </c>
      <c r="AG809">
        <v>0</v>
      </c>
      <c r="AH809">
        <v>0</v>
      </c>
      <c r="AI809">
        <v>0</v>
      </c>
      <c r="AJ809">
        <v>0</v>
      </c>
      <c r="AK809">
        <v>32.479999999999997</v>
      </c>
      <c r="AL809">
        <v>0</v>
      </c>
      <c r="AM809">
        <v>0</v>
      </c>
      <c r="AN809">
        <v>0</v>
      </c>
      <c r="AO809">
        <v>0</v>
      </c>
      <c r="AP809">
        <v>0</v>
      </c>
      <c r="AQ809">
        <v>15</v>
      </c>
      <c r="AR809">
        <v>0</v>
      </c>
      <c r="AS809">
        <v>0</v>
      </c>
      <c r="AT809">
        <v>0</v>
      </c>
      <c r="AU809">
        <v>0</v>
      </c>
      <c r="AV809">
        <v>0</v>
      </c>
      <c r="AW809">
        <v>0</v>
      </c>
      <c r="AX809">
        <v>0</v>
      </c>
      <c r="AY809">
        <v>0</v>
      </c>
      <c r="AZ809">
        <v>0</v>
      </c>
      <c r="BA809">
        <v>0</v>
      </c>
      <c r="BB809">
        <v>0</v>
      </c>
      <c r="BC809">
        <v>0</v>
      </c>
      <c r="BD809">
        <v>0</v>
      </c>
      <c r="BE809">
        <v>0</v>
      </c>
      <c r="BF809">
        <v>0</v>
      </c>
      <c r="BG809">
        <v>0</v>
      </c>
      <c r="BH809">
        <v>1</v>
      </c>
      <c r="BI809">
        <v>0.2</v>
      </c>
      <c r="BJ809">
        <v>2.9</v>
      </c>
      <c r="BK809">
        <v>3</v>
      </c>
      <c r="BL809">
        <v>131.84</v>
      </c>
      <c r="BM809">
        <v>19.78</v>
      </c>
      <c r="BN809">
        <v>151.62</v>
      </c>
      <c r="BO809">
        <v>151.62</v>
      </c>
      <c r="BQ809" t="s">
        <v>1996</v>
      </c>
      <c r="BR809" t="s">
        <v>1936</v>
      </c>
      <c r="BS809" t="s">
        <v>653</v>
      </c>
      <c r="BY809">
        <v>14643.72</v>
      </c>
      <c r="BZ809" t="s">
        <v>1463</v>
      </c>
      <c r="CC809" t="s">
        <v>1459</v>
      </c>
      <c r="CD809">
        <v>970</v>
      </c>
      <c r="CE809" t="s">
        <v>130</v>
      </c>
      <c r="CI809">
        <v>1</v>
      </c>
      <c r="CJ809" t="s">
        <v>653</v>
      </c>
      <c r="CK809">
        <v>33</v>
      </c>
      <c r="CL809" t="s">
        <v>84</v>
      </c>
    </row>
    <row r="810" spans="1:90" x14ac:dyDescent="0.25">
      <c r="A810" t="s">
        <v>1897</v>
      </c>
      <c r="B810" t="s">
        <v>1898</v>
      </c>
      <c r="C810" t="s">
        <v>74</v>
      </c>
      <c r="E810" t="str">
        <f>"009942476468"</f>
        <v>009942476468</v>
      </c>
      <c r="F810" s="3">
        <v>44615</v>
      </c>
      <c r="G810">
        <v>202208</v>
      </c>
      <c r="H810" t="s">
        <v>75</v>
      </c>
      <c r="I810" t="s">
        <v>76</v>
      </c>
      <c r="J810" t="s">
        <v>1886</v>
      </c>
      <c r="K810" t="s">
        <v>78</v>
      </c>
      <c r="L810" t="s">
        <v>447</v>
      </c>
      <c r="M810" t="s">
        <v>448</v>
      </c>
      <c r="N810" t="s">
        <v>1997</v>
      </c>
      <c r="O810" t="s">
        <v>80</v>
      </c>
      <c r="P810" t="str">
        <f>"NA                            "</f>
        <v xml:space="preserve">NA                            </v>
      </c>
      <c r="Q810">
        <v>0</v>
      </c>
      <c r="R810">
        <v>0</v>
      </c>
      <c r="S810">
        <v>0</v>
      </c>
      <c r="T810">
        <v>0</v>
      </c>
      <c r="U810">
        <v>0</v>
      </c>
      <c r="V810">
        <v>0</v>
      </c>
      <c r="W810">
        <v>0</v>
      </c>
      <c r="X810">
        <v>0</v>
      </c>
      <c r="Y810">
        <v>0</v>
      </c>
      <c r="Z810">
        <v>0</v>
      </c>
      <c r="AA810">
        <v>0</v>
      </c>
      <c r="AB810">
        <v>0</v>
      </c>
      <c r="AC810">
        <v>0</v>
      </c>
      <c r="AD810">
        <v>0</v>
      </c>
      <c r="AE810">
        <v>0</v>
      </c>
      <c r="AF810">
        <v>0</v>
      </c>
      <c r="AG810">
        <v>0</v>
      </c>
      <c r="AH810">
        <v>0</v>
      </c>
      <c r="AI810">
        <v>0</v>
      </c>
      <c r="AJ810">
        <v>0</v>
      </c>
      <c r="AK810">
        <v>25.14</v>
      </c>
      <c r="AL810">
        <v>0</v>
      </c>
      <c r="AM810">
        <v>0</v>
      </c>
      <c r="AN810">
        <v>0</v>
      </c>
      <c r="AO810">
        <v>0</v>
      </c>
      <c r="AP810">
        <v>0</v>
      </c>
      <c r="AQ810">
        <v>0</v>
      </c>
      <c r="AR810">
        <v>0</v>
      </c>
      <c r="AS810">
        <v>0</v>
      </c>
      <c r="AT810">
        <v>0</v>
      </c>
      <c r="AU810">
        <v>0</v>
      </c>
      <c r="AV810">
        <v>0</v>
      </c>
      <c r="AW810">
        <v>0</v>
      </c>
      <c r="AX810">
        <v>0</v>
      </c>
      <c r="AY810">
        <v>0</v>
      </c>
      <c r="AZ810">
        <v>0</v>
      </c>
      <c r="BA810">
        <v>0</v>
      </c>
      <c r="BB810">
        <v>0</v>
      </c>
      <c r="BC810">
        <v>0</v>
      </c>
      <c r="BD810">
        <v>0</v>
      </c>
      <c r="BE810">
        <v>0</v>
      </c>
      <c r="BF810">
        <v>0</v>
      </c>
      <c r="BG810">
        <v>0</v>
      </c>
      <c r="BH810">
        <v>1</v>
      </c>
      <c r="BI810">
        <v>1.9</v>
      </c>
      <c r="BJ810">
        <v>2.7</v>
      </c>
      <c r="BK810">
        <v>3</v>
      </c>
      <c r="BL810">
        <v>90.44</v>
      </c>
      <c r="BM810">
        <v>13.57</v>
      </c>
      <c r="BN810">
        <v>104.01</v>
      </c>
      <c r="BO810">
        <v>104.01</v>
      </c>
      <c r="BQ810" t="s">
        <v>1998</v>
      </c>
      <c r="BR810" t="s">
        <v>1899</v>
      </c>
      <c r="BS810" s="3">
        <v>44617</v>
      </c>
      <c r="BT810" s="4">
        <v>0.42986111111111108</v>
      </c>
      <c r="BU810" t="s">
        <v>1999</v>
      </c>
      <c r="BV810" t="s">
        <v>84</v>
      </c>
      <c r="BW810" t="s">
        <v>1005</v>
      </c>
      <c r="BX810" t="s">
        <v>1387</v>
      </c>
      <c r="BY810">
        <v>13310.4</v>
      </c>
      <c r="BZ810" t="s">
        <v>87</v>
      </c>
      <c r="CA810" t="s">
        <v>452</v>
      </c>
      <c r="CC810" t="s">
        <v>448</v>
      </c>
      <c r="CD810">
        <v>1683</v>
      </c>
      <c r="CE810" t="s">
        <v>130</v>
      </c>
      <c r="CF810" s="3">
        <v>44618</v>
      </c>
      <c r="CI810">
        <v>1</v>
      </c>
      <c r="CJ810">
        <v>2</v>
      </c>
      <c r="CK810">
        <v>21</v>
      </c>
      <c r="CL810" t="s">
        <v>84</v>
      </c>
    </row>
    <row r="811" spans="1:90" x14ac:dyDescent="0.25">
      <c r="A811" t="s">
        <v>1897</v>
      </c>
      <c r="B811" t="s">
        <v>1898</v>
      </c>
      <c r="C811" t="s">
        <v>74</v>
      </c>
      <c r="E811" t="str">
        <f>"009942476469"</f>
        <v>009942476469</v>
      </c>
      <c r="F811" s="3">
        <v>44615</v>
      </c>
      <c r="G811">
        <v>202208</v>
      </c>
      <c r="H811" t="s">
        <v>75</v>
      </c>
      <c r="I811" t="s">
        <v>76</v>
      </c>
      <c r="J811" t="s">
        <v>1886</v>
      </c>
      <c r="K811" t="s">
        <v>78</v>
      </c>
      <c r="L811" t="s">
        <v>176</v>
      </c>
      <c r="M811" t="s">
        <v>177</v>
      </c>
      <c r="N811" t="s">
        <v>2000</v>
      </c>
      <c r="O811" t="s">
        <v>125</v>
      </c>
      <c r="P811" t="str">
        <f>"MT CAPE TOWN                  "</f>
        <v xml:space="preserve">MT CAPE TOWN                  </v>
      </c>
      <c r="Q811">
        <v>0</v>
      </c>
      <c r="R811">
        <v>0</v>
      </c>
      <c r="S811">
        <v>0</v>
      </c>
      <c r="T811">
        <v>0</v>
      </c>
      <c r="U811">
        <v>0</v>
      </c>
      <c r="V811">
        <v>0</v>
      </c>
      <c r="W811">
        <v>0</v>
      </c>
      <c r="X811">
        <v>0</v>
      </c>
      <c r="Y811">
        <v>0</v>
      </c>
      <c r="Z811">
        <v>0</v>
      </c>
      <c r="AA811">
        <v>0</v>
      </c>
      <c r="AB811">
        <v>0</v>
      </c>
      <c r="AC811">
        <v>0</v>
      </c>
      <c r="AD811">
        <v>0</v>
      </c>
      <c r="AE811">
        <v>0</v>
      </c>
      <c r="AF811">
        <v>0</v>
      </c>
      <c r="AG811">
        <v>0</v>
      </c>
      <c r="AH811">
        <v>0</v>
      </c>
      <c r="AI811">
        <v>0</v>
      </c>
      <c r="AJ811">
        <v>0</v>
      </c>
      <c r="AK811">
        <v>32.42</v>
      </c>
      <c r="AL811">
        <v>0</v>
      </c>
      <c r="AM811">
        <v>0</v>
      </c>
      <c r="AN811">
        <v>0</v>
      </c>
      <c r="AO811">
        <v>0</v>
      </c>
      <c r="AP811">
        <v>0</v>
      </c>
      <c r="AQ811">
        <v>0</v>
      </c>
      <c r="AR811">
        <v>0</v>
      </c>
      <c r="AS811">
        <v>0</v>
      </c>
      <c r="AT811">
        <v>0</v>
      </c>
      <c r="AU811">
        <v>0</v>
      </c>
      <c r="AV811">
        <v>0</v>
      </c>
      <c r="AW811">
        <v>0</v>
      </c>
      <c r="AX811">
        <v>0</v>
      </c>
      <c r="AY811">
        <v>0</v>
      </c>
      <c r="AZ811">
        <v>0</v>
      </c>
      <c r="BA811">
        <v>0</v>
      </c>
      <c r="BB811">
        <v>0</v>
      </c>
      <c r="BC811">
        <v>0</v>
      </c>
      <c r="BD811">
        <v>0</v>
      </c>
      <c r="BE811">
        <v>0</v>
      </c>
      <c r="BF811">
        <v>0</v>
      </c>
      <c r="BG811">
        <v>0</v>
      </c>
      <c r="BH811">
        <v>1</v>
      </c>
      <c r="BI811">
        <v>4.4000000000000004</v>
      </c>
      <c r="BJ811">
        <v>7.2</v>
      </c>
      <c r="BK811">
        <v>8</v>
      </c>
      <c r="BL811">
        <v>121.87</v>
      </c>
      <c r="BM811">
        <v>18.28</v>
      </c>
      <c r="BN811">
        <v>140.15</v>
      </c>
      <c r="BO811">
        <v>140.15</v>
      </c>
      <c r="BQ811" t="s">
        <v>2001</v>
      </c>
      <c r="BR811" t="s">
        <v>1899</v>
      </c>
      <c r="BS811" s="3">
        <v>44620</v>
      </c>
      <c r="BT811" s="4">
        <v>0.41388888888888892</v>
      </c>
      <c r="BU811" t="s">
        <v>2002</v>
      </c>
      <c r="BV811" t="s">
        <v>101</v>
      </c>
      <c r="BY811">
        <v>35977.730000000003</v>
      </c>
      <c r="BZ811" t="s">
        <v>137</v>
      </c>
      <c r="CA811" t="s">
        <v>2003</v>
      </c>
      <c r="CC811" t="s">
        <v>177</v>
      </c>
      <c r="CD811">
        <v>3610</v>
      </c>
      <c r="CE811" t="s">
        <v>130</v>
      </c>
      <c r="CI811">
        <v>3</v>
      </c>
      <c r="CJ811">
        <v>3</v>
      </c>
      <c r="CK811">
        <v>41</v>
      </c>
      <c r="CL811" t="s">
        <v>84</v>
      </c>
    </row>
    <row r="812" spans="1:90" x14ac:dyDescent="0.25">
      <c r="A812" t="s">
        <v>1897</v>
      </c>
      <c r="B812" t="s">
        <v>1898</v>
      </c>
      <c r="C812" t="s">
        <v>74</v>
      </c>
      <c r="E812" t="str">
        <f>"009941020901"</f>
        <v>009941020901</v>
      </c>
      <c r="F812" s="3">
        <v>44615</v>
      </c>
      <c r="G812">
        <v>202208</v>
      </c>
      <c r="H812" t="s">
        <v>123</v>
      </c>
      <c r="I812" t="s">
        <v>124</v>
      </c>
      <c r="J812" t="s">
        <v>1886</v>
      </c>
      <c r="K812" t="s">
        <v>78</v>
      </c>
      <c r="L812" t="s">
        <v>447</v>
      </c>
      <c r="M812" t="s">
        <v>448</v>
      </c>
      <c r="N812" t="s">
        <v>2004</v>
      </c>
      <c r="O812" t="s">
        <v>125</v>
      </c>
      <c r="P812" t="str">
        <f>"..                            "</f>
        <v xml:space="preserve">..                            </v>
      </c>
      <c r="Q812">
        <v>0</v>
      </c>
      <c r="R812">
        <v>0</v>
      </c>
      <c r="S812">
        <v>0</v>
      </c>
      <c r="T812">
        <v>0</v>
      </c>
      <c r="U812">
        <v>0</v>
      </c>
      <c r="V812">
        <v>0</v>
      </c>
      <c r="W812">
        <v>0</v>
      </c>
      <c r="X812">
        <v>0</v>
      </c>
      <c r="Y812">
        <v>0</v>
      </c>
      <c r="Z812">
        <v>0</v>
      </c>
      <c r="AA812">
        <v>0</v>
      </c>
      <c r="AB812">
        <v>0</v>
      </c>
      <c r="AC812">
        <v>0</v>
      </c>
      <c r="AD812">
        <v>0</v>
      </c>
      <c r="AE812">
        <v>0</v>
      </c>
      <c r="AF812">
        <v>0</v>
      </c>
      <c r="AG812">
        <v>0</v>
      </c>
      <c r="AH812">
        <v>0</v>
      </c>
      <c r="AI812">
        <v>0</v>
      </c>
      <c r="AJ812">
        <v>0</v>
      </c>
      <c r="AK812">
        <v>39.1</v>
      </c>
      <c r="AL812">
        <v>0</v>
      </c>
      <c r="AM812">
        <v>0</v>
      </c>
      <c r="AN812">
        <v>0</v>
      </c>
      <c r="AO812">
        <v>0</v>
      </c>
      <c r="AP812">
        <v>0</v>
      </c>
      <c r="AQ812">
        <v>0</v>
      </c>
      <c r="AR812">
        <v>0</v>
      </c>
      <c r="AS812">
        <v>0</v>
      </c>
      <c r="AT812">
        <v>0</v>
      </c>
      <c r="AU812">
        <v>0</v>
      </c>
      <c r="AV812">
        <v>0</v>
      </c>
      <c r="AW812">
        <v>0</v>
      </c>
      <c r="AX812">
        <v>0</v>
      </c>
      <c r="AY812">
        <v>0</v>
      </c>
      <c r="AZ812">
        <v>0</v>
      </c>
      <c r="BA812">
        <v>0</v>
      </c>
      <c r="BB812">
        <v>0</v>
      </c>
      <c r="BC812">
        <v>0</v>
      </c>
      <c r="BD812">
        <v>0</v>
      </c>
      <c r="BE812">
        <v>0</v>
      </c>
      <c r="BF812">
        <v>0</v>
      </c>
      <c r="BG812">
        <v>0</v>
      </c>
      <c r="BH812">
        <v>2</v>
      </c>
      <c r="BI812">
        <v>20</v>
      </c>
      <c r="BJ812">
        <v>9.6</v>
      </c>
      <c r="BK812">
        <v>20</v>
      </c>
      <c r="BL812">
        <v>145.9</v>
      </c>
      <c r="BM812">
        <v>21.89</v>
      </c>
      <c r="BN812">
        <v>167.79</v>
      </c>
      <c r="BO812">
        <v>167.79</v>
      </c>
      <c r="BQ812" t="s">
        <v>2005</v>
      </c>
      <c r="BR812" t="s">
        <v>2006</v>
      </c>
      <c r="BS812" s="3">
        <v>44617</v>
      </c>
      <c r="BT812" s="4">
        <v>0.40833333333333338</v>
      </c>
      <c r="BU812" t="s">
        <v>2007</v>
      </c>
      <c r="BV812" t="s">
        <v>101</v>
      </c>
      <c r="BY812">
        <v>24000</v>
      </c>
      <c r="BZ812" t="s">
        <v>137</v>
      </c>
      <c r="CA812" t="s">
        <v>674</v>
      </c>
      <c r="CC812" t="s">
        <v>448</v>
      </c>
      <c r="CD812">
        <v>1682</v>
      </c>
      <c r="CE812" t="s">
        <v>130</v>
      </c>
      <c r="CF812" s="3">
        <v>44618</v>
      </c>
      <c r="CI812">
        <v>2</v>
      </c>
      <c r="CJ812">
        <v>2</v>
      </c>
      <c r="CK812">
        <v>41</v>
      </c>
      <c r="CL812" t="s">
        <v>84</v>
      </c>
    </row>
    <row r="813" spans="1:90" x14ac:dyDescent="0.25">
      <c r="A813" t="s">
        <v>1897</v>
      </c>
      <c r="B813" t="s">
        <v>1898</v>
      </c>
      <c r="C813" t="s">
        <v>74</v>
      </c>
      <c r="E813" t="str">
        <f>"009940127167"</f>
        <v>009940127167</v>
      </c>
      <c r="F813" s="3">
        <v>44609</v>
      </c>
      <c r="G813">
        <v>202208</v>
      </c>
      <c r="H813" t="s">
        <v>153</v>
      </c>
      <c r="I813" t="s">
        <v>154</v>
      </c>
      <c r="J813" t="s">
        <v>1902</v>
      </c>
      <c r="K813" t="s">
        <v>78</v>
      </c>
      <c r="L813" t="s">
        <v>123</v>
      </c>
      <c r="M813" t="s">
        <v>124</v>
      </c>
      <c r="N813" t="s">
        <v>2008</v>
      </c>
      <c r="O813" t="s">
        <v>1904</v>
      </c>
      <c r="P813" t="str">
        <f>"11022706DI                    "</f>
        <v xml:space="preserve">11022706DI                    </v>
      </c>
      <c r="Q813">
        <v>0</v>
      </c>
      <c r="R813">
        <v>0</v>
      </c>
      <c r="S813">
        <v>0</v>
      </c>
      <c r="T813">
        <v>0</v>
      </c>
      <c r="U813">
        <v>0</v>
      </c>
      <c r="V813">
        <v>0</v>
      </c>
      <c r="W813">
        <v>0</v>
      </c>
      <c r="X813">
        <v>0</v>
      </c>
      <c r="Y813">
        <v>0</v>
      </c>
      <c r="Z813">
        <v>0</v>
      </c>
      <c r="AA813">
        <v>0</v>
      </c>
      <c r="AB813">
        <v>0</v>
      </c>
      <c r="AC813">
        <v>0</v>
      </c>
      <c r="AD813">
        <v>0</v>
      </c>
      <c r="AE813">
        <v>455</v>
      </c>
      <c r="AF813">
        <v>0</v>
      </c>
      <c r="AG813">
        <v>0</v>
      </c>
      <c r="AH813">
        <v>0</v>
      </c>
      <c r="AI813">
        <v>0</v>
      </c>
      <c r="AJ813">
        <v>0</v>
      </c>
      <c r="AK813">
        <v>1381.56</v>
      </c>
      <c r="AL813">
        <v>0</v>
      </c>
      <c r="AM813">
        <v>0</v>
      </c>
      <c r="AN813">
        <v>0</v>
      </c>
      <c r="AO813">
        <v>0</v>
      </c>
      <c r="AP813">
        <v>0</v>
      </c>
      <c r="AQ813">
        <v>0</v>
      </c>
      <c r="AR813">
        <v>0</v>
      </c>
      <c r="AS813">
        <v>0</v>
      </c>
      <c r="AT813">
        <v>0</v>
      </c>
      <c r="AU813">
        <v>0</v>
      </c>
      <c r="AV813">
        <v>0</v>
      </c>
      <c r="AW813">
        <v>0</v>
      </c>
      <c r="AX813">
        <v>0</v>
      </c>
      <c r="AY813">
        <v>0</v>
      </c>
      <c r="AZ813">
        <v>0</v>
      </c>
      <c r="BA813">
        <v>0</v>
      </c>
      <c r="BB813">
        <v>0</v>
      </c>
      <c r="BC813">
        <v>0</v>
      </c>
      <c r="BD813">
        <v>0</v>
      </c>
      <c r="BE813">
        <v>0</v>
      </c>
      <c r="BF813">
        <v>0</v>
      </c>
      <c r="BG813">
        <v>0</v>
      </c>
      <c r="BH813">
        <v>16</v>
      </c>
      <c r="BI813">
        <v>41.6</v>
      </c>
      <c r="BJ813">
        <v>144</v>
      </c>
      <c r="BK813">
        <v>144</v>
      </c>
      <c r="BL813">
        <v>4970.0200000000004</v>
      </c>
      <c r="BM813">
        <v>745.5</v>
      </c>
      <c r="BN813">
        <v>5715.52</v>
      </c>
      <c r="BO813">
        <v>5715.52</v>
      </c>
      <c r="BP813" t="s">
        <v>1904</v>
      </c>
      <c r="BQ813" t="s">
        <v>93</v>
      </c>
      <c r="BR813" t="s">
        <v>1972</v>
      </c>
      <c r="BS813" t="s">
        <v>653</v>
      </c>
      <c r="BY813">
        <v>45000</v>
      </c>
      <c r="BZ813" t="s">
        <v>1908</v>
      </c>
      <c r="CC813" t="s">
        <v>124</v>
      </c>
      <c r="CD813">
        <v>6045</v>
      </c>
      <c r="CE813" t="s">
        <v>130</v>
      </c>
      <c r="CF813" s="3">
        <v>44613</v>
      </c>
      <c r="CI813">
        <v>0</v>
      </c>
      <c r="CJ813" t="s">
        <v>653</v>
      </c>
      <c r="CK813">
        <v>21</v>
      </c>
      <c r="CL813" t="s">
        <v>84</v>
      </c>
    </row>
    <row r="814" spans="1:90" x14ac:dyDescent="0.25">
      <c r="A814" t="s">
        <v>1897</v>
      </c>
      <c r="B814" t="s">
        <v>1898</v>
      </c>
      <c r="C814" t="s">
        <v>74</v>
      </c>
      <c r="E814" t="str">
        <f>"009941705964"</f>
        <v>009941705964</v>
      </c>
      <c r="F814" s="3">
        <v>44616</v>
      </c>
      <c r="G814">
        <v>202208</v>
      </c>
      <c r="H814" t="s">
        <v>447</v>
      </c>
      <c r="I814" t="s">
        <v>448</v>
      </c>
      <c r="J814" t="s">
        <v>1964</v>
      </c>
      <c r="K814" t="s">
        <v>78</v>
      </c>
      <c r="L814" t="s">
        <v>75</v>
      </c>
      <c r="M814" t="s">
        <v>76</v>
      </c>
      <c r="N814" t="s">
        <v>1964</v>
      </c>
      <c r="O814" t="s">
        <v>125</v>
      </c>
      <c r="P814" t="str">
        <f>"NA                            "</f>
        <v xml:space="preserve">NA                            </v>
      </c>
      <c r="Q814">
        <v>0</v>
      </c>
      <c r="R814">
        <v>0</v>
      </c>
      <c r="S814">
        <v>0</v>
      </c>
      <c r="T814">
        <v>0</v>
      </c>
      <c r="U814">
        <v>0</v>
      </c>
      <c r="V814">
        <v>0</v>
      </c>
      <c r="W814">
        <v>0</v>
      </c>
      <c r="X814">
        <v>0</v>
      </c>
      <c r="Y814">
        <v>0</v>
      </c>
      <c r="Z814">
        <v>0</v>
      </c>
      <c r="AA814">
        <v>0</v>
      </c>
      <c r="AB814">
        <v>0</v>
      </c>
      <c r="AC814">
        <v>0</v>
      </c>
      <c r="AD814">
        <v>0</v>
      </c>
      <c r="AE814">
        <v>0</v>
      </c>
      <c r="AF814">
        <v>0</v>
      </c>
      <c r="AG814">
        <v>0</v>
      </c>
      <c r="AH814">
        <v>0</v>
      </c>
      <c r="AI814">
        <v>0</v>
      </c>
      <c r="AJ814">
        <v>0</v>
      </c>
      <c r="AK814">
        <v>37.76</v>
      </c>
      <c r="AL814">
        <v>0</v>
      </c>
      <c r="AM814">
        <v>0</v>
      </c>
      <c r="AN814">
        <v>0</v>
      </c>
      <c r="AO814">
        <v>0</v>
      </c>
      <c r="AP814">
        <v>0</v>
      </c>
      <c r="AQ814">
        <v>0</v>
      </c>
      <c r="AR814">
        <v>0</v>
      </c>
      <c r="AS814">
        <v>0</v>
      </c>
      <c r="AT814">
        <v>0</v>
      </c>
      <c r="AU814">
        <v>0</v>
      </c>
      <c r="AV814">
        <v>0</v>
      </c>
      <c r="AW814">
        <v>0</v>
      </c>
      <c r="AX814">
        <v>0</v>
      </c>
      <c r="AY814">
        <v>0</v>
      </c>
      <c r="AZ814">
        <v>0</v>
      </c>
      <c r="BA814">
        <v>0</v>
      </c>
      <c r="BB814">
        <v>0</v>
      </c>
      <c r="BC814">
        <v>0</v>
      </c>
      <c r="BD814">
        <v>0</v>
      </c>
      <c r="BE814">
        <v>0</v>
      </c>
      <c r="BF814">
        <v>0</v>
      </c>
      <c r="BG814">
        <v>0</v>
      </c>
      <c r="BH814">
        <v>1</v>
      </c>
      <c r="BI814">
        <v>1.3</v>
      </c>
      <c r="BJ814">
        <v>19</v>
      </c>
      <c r="BK814">
        <v>19</v>
      </c>
      <c r="BL814">
        <v>141.09</v>
      </c>
      <c r="BM814">
        <v>21.16</v>
      </c>
      <c r="BN814">
        <v>162.25</v>
      </c>
      <c r="BO814">
        <v>162.25</v>
      </c>
      <c r="BQ814" t="s">
        <v>1899</v>
      </c>
      <c r="BR814" t="s">
        <v>2009</v>
      </c>
      <c r="BS814" s="3">
        <v>44620</v>
      </c>
      <c r="BT814" s="4">
        <v>0.65902777777777777</v>
      </c>
      <c r="BU814" t="s">
        <v>2010</v>
      </c>
      <c r="BV814" t="s">
        <v>101</v>
      </c>
      <c r="BY814">
        <v>94938.48</v>
      </c>
      <c r="BZ814" t="s">
        <v>137</v>
      </c>
      <c r="CA814" t="s">
        <v>609</v>
      </c>
      <c r="CC814" t="s">
        <v>76</v>
      </c>
      <c r="CD814">
        <v>7800</v>
      </c>
      <c r="CE814" t="s">
        <v>130</v>
      </c>
      <c r="CI814">
        <v>2</v>
      </c>
      <c r="CJ814">
        <v>2</v>
      </c>
      <c r="CK814">
        <v>41</v>
      </c>
      <c r="CL814" t="s">
        <v>84</v>
      </c>
    </row>
    <row r="815" spans="1:90" x14ac:dyDescent="0.25">
      <c r="A815" t="s">
        <v>1897</v>
      </c>
      <c r="B815" t="s">
        <v>1898</v>
      </c>
      <c r="C815" t="s">
        <v>74</v>
      </c>
      <c r="E815" t="str">
        <f>"009940127163"</f>
        <v>009940127163</v>
      </c>
      <c r="F815" s="3">
        <v>44616</v>
      </c>
      <c r="G815">
        <v>202208</v>
      </c>
      <c r="H815" t="s">
        <v>153</v>
      </c>
      <c r="I815" t="s">
        <v>154</v>
      </c>
      <c r="J815" t="s">
        <v>1910</v>
      </c>
      <c r="K815" t="s">
        <v>78</v>
      </c>
      <c r="L815" t="s">
        <v>2011</v>
      </c>
      <c r="M815" t="s">
        <v>2012</v>
      </c>
      <c r="N815" t="s">
        <v>2013</v>
      </c>
      <c r="O815" t="s">
        <v>80</v>
      </c>
      <c r="P815" t="str">
        <f>"11005506HR 460040             "</f>
        <v xml:space="preserve">11005506HR 460040             </v>
      </c>
      <c r="Q815">
        <v>0</v>
      </c>
      <c r="R815">
        <v>0</v>
      </c>
      <c r="S815">
        <v>0</v>
      </c>
      <c r="T815">
        <v>0</v>
      </c>
      <c r="U815">
        <v>0</v>
      </c>
      <c r="V815">
        <v>0</v>
      </c>
      <c r="W815">
        <v>0</v>
      </c>
      <c r="X815">
        <v>0</v>
      </c>
      <c r="Y815">
        <v>0</v>
      </c>
      <c r="Z815">
        <v>0</v>
      </c>
      <c r="AA815">
        <v>0</v>
      </c>
      <c r="AB815">
        <v>0</v>
      </c>
      <c r="AC815">
        <v>0</v>
      </c>
      <c r="AD815">
        <v>0</v>
      </c>
      <c r="AE815">
        <v>0</v>
      </c>
      <c r="AF815">
        <v>0</v>
      </c>
      <c r="AG815">
        <v>0</v>
      </c>
      <c r="AH815">
        <v>0</v>
      </c>
      <c r="AI815">
        <v>0</v>
      </c>
      <c r="AJ815">
        <v>0</v>
      </c>
      <c r="AK815">
        <v>105.82</v>
      </c>
      <c r="AL815">
        <v>0</v>
      </c>
      <c r="AM815">
        <v>0</v>
      </c>
      <c r="AN815">
        <v>0</v>
      </c>
      <c r="AO815">
        <v>0</v>
      </c>
      <c r="AP815">
        <v>0</v>
      </c>
      <c r="AQ815">
        <v>0</v>
      </c>
      <c r="AR815">
        <v>0</v>
      </c>
      <c r="AS815">
        <v>0</v>
      </c>
      <c r="AT815">
        <v>0</v>
      </c>
      <c r="AU815">
        <v>0</v>
      </c>
      <c r="AV815">
        <v>0</v>
      </c>
      <c r="AW815">
        <v>0</v>
      </c>
      <c r="AX815">
        <v>0</v>
      </c>
      <c r="AY815">
        <v>0</v>
      </c>
      <c r="AZ815">
        <v>0</v>
      </c>
      <c r="BA815">
        <v>0</v>
      </c>
      <c r="BB815">
        <v>0</v>
      </c>
      <c r="BC815">
        <v>0</v>
      </c>
      <c r="BD815">
        <v>0</v>
      </c>
      <c r="BE815">
        <v>0</v>
      </c>
      <c r="BF815">
        <v>0</v>
      </c>
      <c r="BG815">
        <v>0</v>
      </c>
      <c r="BH815">
        <v>1</v>
      </c>
      <c r="BI815">
        <v>0.9</v>
      </c>
      <c r="BJ815">
        <v>7</v>
      </c>
      <c r="BK815">
        <v>7</v>
      </c>
      <c r="BL815">
        <v>380.68</v>
      </c>
      <c r="BM815">
        <v>57.1</v>
      </c>
      <c r="BN815">
        <v>437.78</v>
      </c>
      <c r="BO815">
        <v>437.78</v>
      </c>
      <c r="BQ815" t="s">
        <v>2014</v>
      </c>
      <c r="BR815" t="s">
        <v>1913</v>
      </c>
      <c r="BS815" t="s">
        <v>653</v>
      </c>
      <c r="BW815" t="s">
        <v>838</v>
      </c>
      <c r="BX815" t="s">
        <v>766</v>
      </c>
      <c r="BY815">
        <v>35249.620000000003</v>
      </c>
      <c r="BZ815" t="s">
        <v>87</v>
      </c>
      <c r="CC815" t="s">
        <v>2012</v>
      </c>
      <c r="CD815">
        <v>7220</v>
      </c>
      <c r="CE815" t="s">
        <v>130</v>
      </c>
      <c r="CI815">
        <v>2</v>
      </c>
      <c r="CJ815" t="s">
        <v>653</v>
      </c>
      <c r="CK815">
        <v>23</v>
      </c>
      <c r="CL815" t="s">
        <v>84</v>
      </c>
    </row>
    <row r="816" spans="1:90" x14ac:dyDescent="0.25">
      <c r="A816" t="s">
        <v>1897</v>
      </c>
      <c r="B816" t="s">
        <v>1898</v>
      </c>
      <c r="C816" t="s">
        <v>74</v>
      </c>
      <c r="E816" t="str">
        <f>"009942476464"</f>
        <v>009942476464</v>
      </c>
      <c r="F816" s="3">
        <v>44617</v>
      </c>
      <c r="G816">
        <v>202208</v>
      </c>
      <c r="H816" t="s">
        <v>75</v>
      </c>
      <c r="I816" t="s">
        <v>76</v>
      </c>
      <c r="J816" t="s">
        <v>1886</v>
      </c>
      <c r="K816" t="s">
        <v>78</v>
      </c>
      <c r="L816" t="s">
        <v>123</v>
      </c>
      <c r="M816" t="s">
        <v>124</v>
      </c>
      <c r="N816" t="s">
        <v>2015</v>
      </c>
      <c r="O816" t="s">
        <v>125</v>
      </c>
      <c r="P816" t="str">
        <f>"MT CAPE TOWN                  "</f>
        <v xml:space="preserve">MT CAPE TOWN                  </v>
      </c>
      <c r="Q816">
        <v>0</v>
      </c>
      <c r="R816">
        <v>0</v>
      </c>
      <c r="S816">
        <v>0</v>
      </c>
      <c r="T816">
        <v>0</v>
      </c>
      <c r="U816">
        <v>0</v>
      </c>
      <c r="V816">
        <v>0</v>
      </c>
      <c r="W816">
        <v>0</v>
      </c>
      <c r="X816">
        <v>0</v>
      </c>
      <c r="Y816">
        <v>0</v>
      </c>
      <c r="Z816">
        <v>0</v>
      </c>
      <c r="AA816">
        <v>0</v>
      </c>
      <c r="AB816">
        <v>0</v>
      </c>
      <c r="AC816">
        <v>0</v>
      </c>
      <c r="AD816">
        <v>0</v>
      </c>
      <c r="AE816">
        <v>0</v>
      </c>
      <c r="AF816">
        <v>0</v>
      </c>
      <c r="AG816">
        <v>0</v>
      </c>
      <c r="AH816">
        <v>0</v>
      </c>
      <c r="AI816">
        <v>0</v>
      </c>
      <c r="AJ816">
        <v>0</v>
      </c>
      <c r="AK816">
        <v>69.819999999999993</v>
      </c>
      <c r="AL816">
        <v>0</v>
      </c>
      <c r="AM816">
        <v>0</v>
      </c>
      <c r="AN816">
        <v>0</v>
      </c>
      <c r="AO816">
        <v>0</v>
      </c>
      <c r="AP816">
        <v>0</v>
      </c>
      <c r="AQ816">
        <v>0</v>
      </c>
      <c r="AR816">
        <v>0</v>
      </c>
      <c r="AS816">
        <v>0</v>
      </c>
      <c r="AT816">
        <v>0</v>
      </c>
      <c r="AU816">
        <v>0</v>
      </c>
      <c r="AV816">
        <v>0</v>
      </c>
      <c r="AW816">
        <v>0</v>
      </c>
      <c r="AX816">
        <v>0</v>
      </c>
      <c r="AY816">
        <v>0</v>
      </c>
      <c r="AZ816">
        <v>0</v>
      </c>
      <c r="BA816">
        <v>0</v>
      </c>
      <c r="BB816">
        <v>0</v>
      </c>
      <c r="BC816">
        <v>0</v>
      </c>
      <c r="BD816">
        <v>0</v>
      </c>
      <c r="BE816">
        <v>0</v>
      </c>
      <c r="BF816">
        <v>0</v>
      </c>
      <c r="BG816">
        <v>0</v>
      </c>
      <c r="BH816">
        <v>2</v>
      </c>
      <c r="BI816">
        <v>21.1</v>
      </c>
      <c r="BJ816">
        <v>43</v>
      </c>
      <c r="BK816">
        <v>43</v>
      </c>
      <c r="BL816">
        <v>256.43</v>
      </c>
      <c r="BM816">
        <v>38.46</v>
      </c>
      <c r="BN816">
        <v>294.89</v>
      </c>
      <c r="BO816">
        <v>294.89</v>
      </c>
      <c r="BQ816" t="s">
        <v>1960</v>
      </c>
      <c r="BR816" t="s">
        <v>1899</v>
      </c>
      <c r="BS816" t="s">
        <v>653</v>
      </c>
      <c r="BY816">
        <v>215177.04</v>
      </c>
      <c r="BZ816" t="s">
        <v>137</v>
      </c>
      <c r="CC816" t="s">
        <v>124</v>
      </c>
      <c r="CD816">
        <v>6014</v>
      </c>
      <c r="CE816" t="s">
        <v>130</v>
      </c>
      <c r="CI816">
        <v>2</v>
      </c>
      <c r="CJ816" t="s">
        <v>653</v>
      </c>
      <c r="CK816">
        <v>41</v>
      </c>
      <c r="CL816" t="s">
        <v>84</v>
      </c>
    </row>
    <row r="817" spans="1:90" x14ac:dyDescent="0.25">
      <c r="A817" t="s">
        <v>1897</v>
      </c>
      <c r="B817" t="s">
        <v>1898</v>
      </c>
      <c r="C817" t="s">
        <v>74</v>
      </c>
      <c r="E817" t="str">
        <f>"009942476467"</f>
        <v>009942476467</v>
      </c>
      <c r="F817" s="3">
        <v>44617</v>
      </c>
      <c r="G817">
        <v>202208</v>
      </c>
      <c r="H817" t="s">
        <v>75</v>
      </c>
      <c r="I817" t="s">
        <v>76</v>
      </c>
      <c r="J817" t="s">
        <v>1886</v>
      </c>
      <c r="K817" t="s">
        <v>78</v>
      </c>
      <c r="L817" t="s">
        <v>123</v>
      </c>
      <c r="M817" t="s">
        <v>124</v>
      </c>
      <c r="N817" t="s">
        <v>2016</v>
      </c>
      <c r="O817" t="s">
        <v>125</v>
      </c>
      <c r="P817" t="str">
        <f>"P.E                           "</f>
        <v xml:space="preserve">P.E                           </v>
      </c>
      <c r="Q817">
        <v>0</v>
      </c>
      <c r="R817">
        <v>0</v>
      </c>
      <c r="S817">
        <v>0</v>
      </c>
      <c r="T817">
        <v>0</v>
      </c>
      <c r="U817">
        <v>0</v>
      </c>
      <c r="V817">
        <v>0</v>
      </c>
      <c r="W817">
        <v>0</v>
      </c>
      <c r="X817">
        <v>0</v>
      </c>
      <c r="Y817">
        <v>0</v>
      </c>
      <c r="Z817">
        <v>0</v>
      </c>
      <c r="AA817">
        <v>0</v>
      </c>
      <c r="AB817">
        <v>0</v>
      </c>
      <c r="AC817">
        <v>0</v>
      </c>
      <c r="AD817">
        <v>0</v>
      </c>
      <c r="AE817">
        <v>0</v>
      </c>
      <c r="AF817">
        <v>0</v>
      </c>
      <c r="AG817">
        <v>0</v>
      </c>
      <c r="AH817">
        <v>0</v>
      </c>
      <c r="AI817">
        <v>0</v>
      </c>
      <c r="AJ817">
        <v>0</v>
      </c>
      <c r="AK817">
        <v>32.42</v>
      </c>
      <c r="AL817">
        <v>0</v>
      </c>
      <c r="AM817">
        <v>0</v>
      </c>
      <c r="AN817">
        <v>0</v>
      </c>
      <c r="AO817">
        <v>0</v>
      </c>
      <c r="AP817">
        <v>0</v>
      </c>
      <c r="AQ817">
        <v>0</v>
      </c>
      <c r="AR817">
        <v>0</v>
      </c>
      <c r="AS817">
        <v>0</v>
      </c>
      <c r="AT817">
        <v>0</v>
      </c>
      <c r="AU817">
        <v>0</v>
      </c>
      <c r="AV817">
        <v>0</v>
      </c>
      <c r="AW817">
        <v>0</v>
      </c>
      <c r="AX817">
        <v>0</v>
      </c>
      <c r="AY817">
        <v>0</v>
      </c>
      <c r="AZ817">
        <v>0</v>
      </c>
      <c r="BA817">
        <v>0</v>
      </c>
      <c r="BB817">
        <v>0</v>
      </c>
      <c r="BC817">
        <v>0</v>
      </c>
      <c r="BD817">
        <v>0</v>
      </c>
      <c r="BE817">
        <v>0</v>
      </c>
      <c r="BF817">
        <v>0</v>
      </c>
      <c r="BG817">
        <v>0</v>
      </c>
      <c r="BH817">
        <v>1</v>
      </c>
      <c r="BI817">
        <v>0.4</v>
      </c>
      <c r="BJ817">
        <v>0.7</v>
      </c>
      <c r="BK817">
        <v>1</v>
      </c>
      <c r="BL817">
        <v>121.87</v>
      </c>
      <c r="BM817">
        <v>18.28</v>
      </c>
      <c r="BN817">
        <v>140.15</v>
      </c>
      <c r="BO817">
        <v>140.15</v>
      </c>
      <c r="BQ817" t="s">
        <v>2006</v>
      </c>
      <c r="BR817" t="s">
        <v>1899</v>
      </c>
      <c r="BS817" s="3">
        <v>44620</v>
      </c>
      <c r="BT817" s="4">
        <v>0.45902777777777781</v>
      </c>
      <c r="BU817" t="s">
        <v>2017</v>
      </c>
      <c r="BV817" t="s">
        <v>101</v>
      </c>
      <c r="BY817">
        <v>3357.55</v>
      </c>
      <c r="BZ817" t="s">
        <v>137</v>
      </c>
      <c r="CA817" t="s">
        <v>317</v>
      </c>
      <c r="CC817" t="s">
        <v>124</v>
      </c>
      <c r="CD817">
        <v>6001</v>
      </c>
      <c r="CE817" t="s">
        <v>130</v>
      </c>
      <c r="CI817">
        <v>2</v>
      </c>
      <c r="CJ817">
        <v>1</v>
      </c>
      <c r="CK817">
        <v>41</v>
      </c>
      <c r="CL817" t="s">
        <v>84</v>
      </c>
    </row>
    <row r="818" spans="1:90" x14ac:dyDescent="0.25">
      <c r="A818" t="s">
        <v>1897</v>
      </c>
      <c r="B818" t="s">
        <v>1898</v>
      </c>
      <c r="C818" t="s">
        <v>74</v>
      </c>
      <c r="E818" t="str">
        <f>"009942476466"</f>
        <v>009942476466</v>
      </c>
      <c r="F818" s="3">
        <v>44617</v>
      </c>
      <c r="G818">
        <v>202208</v>
      </c>
      <c r="H818" t="s">
        <v>75</v>
      </c>
      <c r="I818" t="s">
        <v>76</v>
      </c>
      <c r="J818" t="s">
        <v>1886</v>
      </c>
      <c r="K818" t="s">
        <v>78</v>
      </c>
      <c r="L818" t="s">
        <v>123</v>
      </c>
      <c r="M818" t="s">
        <v>124</v>
      </c>
      <c r="N818" t="s">
        <v>2018</v>
      </c>
      <c r="O818" t="s">
        <v>125</v>
      </c>
      <c r="P818" t="str">
        <f>"MT CAPE TOWN                  "</f>
        <v xml:space="preserve">MT CAPE TOWN                  </v>
      </c>
      <c r="Q818">
        <v>0</v>
      </c>
      <c r="R818">
        <v>0</v>
      </c>
      <c r="S818">
        <v>0</v>
      </c>
      <c r="T818">
        <v>0</v>
      </c>
      <c r="U818">
        <v>0</v>
      </c>
      <c r="V818">
        <v>0</v>
      </c>
      <c r="W818">
        <v>0</v>
      </c>
      <c r="X818">
        <v>0</v>
      </c>
      <c r="Y818">
        <v>0</v>
      </c>
      <c r="Z818">
        <v>0</v>
      </c>
      <c r="AA818">
        <v>0</v>
      </c>
      <c r="AB818">
        <v>0</v>
      </c>
      <c r="AC818">
        <v>0</v>
      </c>
      <c r="AD818">
        <v>0</v>
      </c>
      <c r="AE818">
        <v>0</v>
      </c>
      <c r="AF818">
        <v>0</v>
      </c>
      <c r="AG818">
        <v>0</v>
      </c>
      <c r="AH818">
        <v>0</v>
      </c>
      <c r="AI818">
        <v>0</v>
      </c>
      <c r="AJ818">
        <v>0</v>
      </c>
      <c r="AK818">
        <v>41.77</v>
      </c>
      <c r="AL818">
        <v>0</v>
      </c>
      <c r="AM818">
        <v>0</v>
      </c>
      <c r="AN818">
        <v>0</v>
      </c>
      <c r="AO818">
        <v>0</v>
      </c>
      <c r="AP818">
        <v>0</v>
      </c>
      <c r="AQ818">
        <v>0</v>
      </c>
      <c r="AR818">
        <v>0</v>
      </c>
      <c r="AS818">
        <v>0</v>
      </c>
      <c r="AT818">
        <v>0</v>
      </c>
      <c r="AU818">
        <v>0</v>
      </c>
      <c r="AV818">
        <v>0</v>
      </c>
      <c r="AW818">
        <v>0</v>
      </c>
      <c r="AX818">
        <v>0</v>
      </c>
      <c r="AY818">
        <v>0</v>
      </c>
      <c r="AZ818">
        <v>0</v>
      </c>
      <c r="BA818">
        <v>0</v>
      </c>
      <c r="BB818">
        <v>0</v>
      </c>
      <c r="BC818">
        <v>0</v>
      </c>
      <c r="BD818">
        <v>0</v>
      </c>
      <c r="BE818">
        <v>0</v>
      </c>
      <c r="BF818">
        <v>0</v>
      </c>
      <c r="BG818">
        <v>0</v>
      </c>
      <c r="BH818">
        <v>1</v>
      </c>
      <c r="BI818">
        <v>21.5</v>
      </c>
      <c r="BJ818">
        <v>17.100000000000001</v>
      </c>
      <c r="BK818">
        <v>22</v>
      </c>
      <c r="BL818">
        <v>155.51</v>
      </c>
      <c r="BM818">
        <v>23.33</v>
      </c>
      <c r="BN818">
        <v>178.84</v>
      </c>
      <c r="BO818">
        <v>178.84</v>
      </c>
      <c r="BQ818" t="s">
        <v>1959</v>
      </c>
      <c r="BR818" t="s">
        <v>1899</v>
      </c>
      <c r="BS818" t="s">
        <v>653</v>
      </c>
      <c r="BY818">
        <v>85324.800000000003</v>
      </c>
      <c r="BZ818" t="s">
        <v>137</v>
      </c>
      <c r="CC818" t="s">
        <v>124</v>
      </c>
      <c r="CD818">
        <v>6001</v>
      </c>
      <c r="CE818" t="s">
        <v>130</v>
      </c>
      <c r="CI818">
        <v>2</v>
      </c>
      <c r="CJ818" t="s">
        <v>653</v>
      </c>
      <c r="CK818">
        <v>41</v>
      </c>
      <c r="CL818" t="s">
        <v>84</v>
      </c>
    </row>
    <row r="819" spans="1:90" x14ac:dyDescent="0.25">
      <c r="A819" t="s">
        <v>1897</v>
      </c>
      <c r="B819" t="s">
        <v>1898</v>
      </c>
      <c r="C819" t="s">
        <v>74</v>
      </c>
      <c r="E819" t="str">
        <f>"009942476465"</f>
        <v>009942476465</v>
      </c>
      <c r="F819" s="3">
        <v>44617</v>
      </c>
      <c r="G819">
        <v>202208</v>
      </c>
      <c r="H819" t="s">
        <v>75</v>
      </c>
      <c r="I819" t="s">
        <v>76</v>
      </c>
      <c r="J819" t="s">
        <v>1886</v>
      </c>
      <c r="K819" t="s">
        <v>78</v>
      </c>
      <c r="L819" t="s">
        <v>123</v>
      </c>
      <c r="M819" t="s">
        <v>124</v>
      </c>
      <c r="N819" t="s">
        <v>1929</v>
      </c>
      <c r="O819" t="s">
        <v>125</v>
      </c>
      <c r="P819" t="str">
        <f>"M CAPE TOWN                   "</f>
        <v xml:space="preserve">M CAPE TOWN                   </v>
      </c>
      <c r="Q819">
        <v>0</v>
      </c>
      <c r="R819">
        <v>0</v>
      </c>
      <c r="S819">
        <v>0</v>
      </c>
      <c r="T819">
        <v>0</v>
      </c>
      <c r="U819">
        <v>0</v>
      </c>
      <c r="V819">
        <v>0</v>
      </c>
      <c r="W819">
        <v>0</v>
      </c>
      <c r="X819">
        <v>0</v>
      </c>
      <c r="Y819">
        <v>0</v>
      </c>
      <c r="Z819">
        <v>0</v>
      </c>
      <c r="AA819">
        <v>0</v>
      </c>
      <c r="AB819">
        <v>0</v>
      </c>
      <c r="AC819">
        <v>0</v>
      </c>
      <c r="AD819">
        <v>0</v>
      </c>
      <c r="AE819">
        <v>0</v>
      </c>
      <c r="AF819">
        <v>0</v>
      </c>
      <c r="AG819">
        <v>0</v>
      </c>
      <c r="AH819">
        <v>0</v>
      </c>
      <c r="AI819">
        <v>0</v>
      </c>
      <c r="AJ819">
        <v>0</v>
      </c>
      <c r="AK819">
        <v>51.12</v>
      </c>
      <c r="AL819">
        <v>0</v>
      </c>
      <c r="AM819">
        <v>0</v>
      </c>
      <c r="AN819">
        <v>0</v>
      </c>
      <c r="AO819">
        <v>0</v>
      </c>
      <c r="AP819">
        <v>0</v>
      </c>
      <c r="AQ819">
        <v>0</v>
      </c>
      <c r="AR819">
        <v>0</v>
      </c>
      <c r="AS819">
        <v>0</v>
      </c>
      <c r="AT819">
        <v>0</v>
      </c>
      <c r="AU819">
        <v>0</v>
      </c>
      <c r="AV819">
        <v>0</v>
      </c>
      <c r="AW819">
        <v>0</v>
      </c>
      <c r="AX819">
        <v>0</v>
      </c>
      <c r="AY819">
        <v>0</v>
      </c>
      <c r="AZ819">
        <v>0</v>
      </c>
      <c r="BA819">
        <v>0</v>
      </c>
      <c r="BB819">
        <v>0</v>
      </c>
      <c r="BC819">
        <v>0</v>
      </c>
      <c r="BD819">
        <v>0</v>
      </c>
      <c r="BE819">
        <v>0</v>
      </c>
      <c r="BF819">
        <v>0</v>
      </c>
      <c r="BG819">
        <v>0</v>
      </c>
      <c r="BH819">
        <v>1</v>
      </c>
      <c r="BI819">
        <v>21.4</v>
      </c>
      <c r="BJ819">
        <v>28.3</v>
      </c>
      <c r="BK819">
        <v>29</v>
      </c>
      <c r="BL819">
        <v>189.15</v>
      </c>
      <c r="BM819">
        <v>28.37</v>
      </c>
      <c r="BN819">
        <v>217.52</v>
      </c>
      <c r="BO819">
        <v>217.52</v>
      </c>
      <c r="BQ819" t="s">
        <v>2019</v>
      </c>
      <c r="BR819" t="s">
        <v>1960</v>
      </c>
      <c r="BS819" t="s">
        <v>653</v>
      </c>
      <c r="BY819">
        <v>141566.39999999999</v>
      </c>
      <c r="BZ819" t="s">
        <v>137</v>
      </c>
      <c r="CC819" t="s">
        <v>124</v>
      </c>
      <c r="CD819">
        <v>6020</v>
      </c>
      <c r="CE819" t="s">
        <v>130</v>
      </c>
      <c r="CI819">
        <v>2</v>
      </c>
      <c r="CJ819" t="s">
        <v>653</v>
      </c>
      <c r="CK819">
        <v>41</v>
      </c>
      <c r="CL819" t="s">
        <v>84</v>
      </c>
    </row>
    <row r="820" spans="1:90" x14ac:dyDescent="0.25">
      <c r="A820" t="s">
        <v>1897</v>
      </c>
      <c r="B820" t="s">
        <v>1898</v>
      </c>
      <c r="C820" t="s">
        <v>74</v>
      </c>
      <c r="E820" t="str">
        <f>"009942476463"</f>
        <v>009942476463</v>
      </c>
      <c r="F820" s="3">
        <v>44617</v>
      </c>
      <c r="G820">
        <v>202208</v>
      </c>
      <c r="H820" t="s">
        <v>75</v>
      </c>
      <c r="I820" t="s">
        <v>76</v>
      </c>
      <c r="J820" t="s">
        <v>1886</v>
      </c>
      <c r="K820" t="s">
        <v>78</v>
      </c>
      <c r="L820" t="s">
        <v>447</v>
      </c>
      <c r="M820" t="s">
        <v>448</v>
      </c>
      <c r="N820" t="s">
        <v>1921</v>
      </c>
      <c r="O820" t="s">
        <v>125</v>
      </c>
      <c r="P820" t="str">
        <f>"JHB                           "</f>
        <v xml:space="preserve">JHB                           </v>
      </c>
      <c r="Q820">
        <v>0</v>
      </c>
      <c r="R820">
        <v>0</v>
      </c>
      <c r="S820">
        <v>0</v>
      </c>
      <c r="T820">
        <v>0</v>
      </c>
      <c r="U820">
        <v>0</v>
      </c>
      <c r="V820">
        <v>0</v>
      </c>
      <c r="W820">
        <v>0</v>
      </c>
      <c r="X820">
        <v>0</v>
      </c>
      <c r="Y820">
        <v>0</v>
      </c>
      <c r="Z820">
        <v>0</v>
      </c>
      <c r="AA820">
        <v>0</v>
      </c>
      <c r="AB820">
        <v>0</v>
      </c>
      <c r="AC820">
        <v>0</v>
      </c>
      <c r="AD820">
        <v>0</v>
      </c>
      <c r="AE820">
        <v>0</v>
      </c>
      <c r="AF820">
        <v>0</v>
      </c>
      <c r="AG820">
        <v>0</v>
      </c>
      <c r="AH820">
        <v>0</v>
      </c>
      <c r="AI820">
        <v>0</v>
      </c>
      <c r="AJ820">
        <v>0</v>
      </c>
      <c r="AK820">
        <v>71.16</v>
      </c>
      <c r="AL820">
        <v>0</v>
      </c>
      <c r="AM820">
        <v>0</v>
      </c>
      <c r="AN820">
        <v>0</v>
      </c>
      <c r="AO820">
        <v>0</v>
      </c>
      <c r="AP820">
        <v>0</v>
      </c>
      <c r="AQ820">
        <v>0</v>
      </c>
      <c r="AR820">
        <v>0</v>
      </c>
      <c r="AS820">
        <v>0</v>
      </c>
      <c r="AT820">
        <v>0</v>
      </c>
      <c r="AU820">
        <v>0</v>
      </c>
      <c r="AV820">
        <v>0</v>
      </c>
      <c r="AW820">
        <v>0</v>
      </c>
      <c r="AX820">
        <v>0</v>
      </c>
      <c r="AY820">
        <v>0</v>
      </c>
      <c r="AZ820">
        <v>0</v>
      </c>
      <c r="BA820">
        <v>0</v>
      </c>
      <c r="BB820">
        <v>0</v>
      </c>
      <c r="BC820">
        <v>0</v>
      </c>
      <c r="BD820">
        <v>0</v>
      </c>
      <c r="BE820">
        <v>0</v>
      </c>
      <c r="BF820">
        <v>0</v>
      </c>
      <c r="BG820">
        <v>0</v>
      </c>
      <c r="BH820">
        <v>2</v>
      </c>
      <c r="BI820">
        <v>30.3</v>
      </c>
      <c r="BJ820">
        <v>43.9</v>
      </c>
      <c r="BK820">
        <v>44</v>
      </c>
      <c r="BL820">
        <v>261.24</v>
      </c>
      <c r="BM820">
        <v>39.19</v>
      </c>
      <c r="BN820">
        <v>300.43</v>
      </c>
      <c r="BO820">
        <v>300.43</v>
      </c>
      <c r="BQ820" t="s">
        <v>1922</v>
      </c>
      <c r="BR820" t="s">
        <v>1899</v>
      </c>
      <c r="BS820" s="3">
        <v>44620</v>
      </c>
      <c r="BT820" s="4">
        <v>0.50763888888888886</v>
      </c>
      <c r="BU820" t="s">
        <v>753</v>
      </c>
      <c r="BV820" t="s">
        <v>101</v>
      </c>
      <c r="BY820">
        <v>219446.23</v>
      </c>
      <c r="BZ820" t="s">
        <v>137</v>
      </c>
      <c r="CA820" t="s">
        <v>674</v>
      </c>
      <c r="CC820" t="s">
        <v>448</v>
      </c>
      <c r="CD820">
        <v>1683</v>
      </c>
      <c r="CE820" t="s">
        <v>130</v>
      </c>
      <c r="CI820">
        <v>2</v>
      </c>
      <c r="CJ820">
        <v>1</v>
      </c>
      <c r="CK820">
        <v>41</v>
      </c>
      <c r="CL820" t="s">
        <v>84</v>
      </c>
    </row>
    <row r="821" spans="1:90" x14ac:dyDescent="0.25">
      <c r="A821" t="s">
        <v>1897</v>
      </c>
      <c r="B821" t="s">
        <v>1898</v>
      </c>
      <c r="C821" t="s">
        <v>74</v>
      </c>
      <c r="E821" t="str">
        <f>"080010382371"</f>
        <v>080010382371</v>
      </c>
      <c r="F821" s="3">
        <v>44593</v>
      </c>
      <c r="G821">
        <v>202208</v>
      </c>
      <c r="H821" t="s">
        <v>447</v>
      </c>
      <c r="I821" t="s">
        <v>448</v>
      </c>
      <c r="J821" t="s">
        <v>2020</v>
      </c>
      <c r="K821" t="s">
        <v>78</v>
      </c>
      <c r="L821" t="s">
        <v>75</v>
      </c>
      <c r="M821" t="s">
        <v>76</v>
      </c>
      <c r="N821" t="s">
        <v>2021</v>
      </c>
      <c r="O821" t="s">
        <v>125</v>
      </c>
      <c r="P821" t="str">
        <f>"-                             "</f>
        <v xml:space="preserve">-                             </v>
      </c>
      <c r="Q821">
        <v>0</v>
      </c>
      <c r="R821">
        <v>0</v>
      </c>
      <c r="S821">
        <v>0</v>
      </c>
      <c r="T821">
        <v>0</v>
      </c>
      <c r="U821">
        <v>0</v>
      </c>
      <c r="V821">
        <v>0</v>
      </c>
      <c r="W821">
        <v>0</v>
      </c>
      <c r="X821">
        <v>0</v>
      </c>
      <c r="Y821">
        <v>0</v>
      </c>
      <c r="Z821">
        <v>0</v>
      </c>
      <c r="AA821">
        <v>0</v>
      </c>
      <c r="AB821">
        <v>0</v>
      </c>
      <c r="AC821">
        <v>0</v>
      </c>
      <c r="AD821">
        <v>0</v>
      </c>
      <c r="AE821">
        <v>0</v>
      </c>
      <c r="AF821">
        <v>0</v>
      </c>
      <c r="AG821">
        <v>0</v>
      </c>
      <c r="AH821">
        <v>0</v>
      </c>
      <c r="AI821">
        <v>0</v>
      </c>
      <c r="AJ821">
        <v>0</v>
      </c>
      <c r="AK821">
        <v>29.89</v>
      </c>
      <c r="AL821">
        <v>0</v>
      </c>
      <c r="AM821">
        <v>0</v>
      </c>
      <c r="AN821">
        <v>0</v>
      </c>
      <c r="AO821">
        <v>0</v>
      </c>
      <c r="AP821">
        <v>0</v>
      </c>
      <c r="AQ821">
        <v>0</v>
      </c>
      <c r="AR821">
        <v>0</v>
      </c>
      <c r="AS821">
        <v>0</v>
      </c>
      <c r="AT821">
        <v>0</v>
      </c>
      <c r="AU821">
        <v>0</v>
      </c>
      <c r="AV821">
        <v>0</v>
      </c>
      <c r="AW821">
        <v>0</v>
      </c>
      <c r="AX821">
        <v>0</v>
      </c>
      <c r="AY821">
        <v>0</v>
      </c>
      <c r="AZ821">
        <v>0</v>
      </c>
      <c r="BA821">
        <v>0</v>
      </c>
      <c r="BB821">
        <v>0</v>
      </c>
      <c r="BC821">
        <v>0</v>
      </c>
      <c r="BD821">
        <v>0</v>
      </c>
      <c r="BE821">
        <v>0</v>
      </c>
      <c r="BF821">
        <v>0</v>
      </c>
      <c r="BG821">
        <v>0</v>
      </c>
      <c r="BH821">
        <v>1</v>
      </c>
      <c r="BI821">
        <v>4.0999999999999996</v>
      </c>
      <c r="BJ821">
        <v>8.1999999999999993</v>
      </c>
      <c r="BK821">
        <v>9</v>
      </c>
      <c r="BL821">
        <v>119.34</v>
      </c>
      <c r="BM821">
        <v>17.899999999999999</v>
      </c>
      <c r="BN821">
        <v>137.24</v>
      </c>
      <c r="BO821">
        <v>137.24</v>
      </c>
      <c r="BP821" t="s">
        <v>653</v>
      </c>
      <c r="BQ821" t="s">
        <v>2022</v>
      </c>
      <c r="BR821" t="s">
        <v>266</v>
      </c>
      <c r="BS821" t="s">
        <v>653</v>
      </c>
      <c r="BY821">
        <v>40918.370000000003</v>
      </c>
      <c r="CC821" t="s">
        <v>76</v>
      </c>
      <c r="CD821">
        <v>7824</v>
      </c>
      <c r="CE821" t="s">
        <v>2023</v>
      </c>
      <c r="CI821">
        <v>2</v>
      </c>
      <c r="CJ821" t="s">
        <v>653</v>
      </c>
      <c r="CK821">
        <v>41</v>
      </c>
      <c r="CL821" t="s">
        <v>84</v>
      </c>
    </row>
    <row r="822" spans="1:90" x14ac:dyDescent="0.25">
      <c r="A822" t="s">
        <v>1897</v>
      </c>
      <c r="B822" t="s">
        <v>1898</v>
      </c>
      <c r="C822" t="s">
        <v>74</v>
      </c>
      <c r="E822" t="str">
        <f>"009940648412"</f>
        <v>009940648412</v>
      </c>
      <c r="F822" s="3">
        <v>44593</v>
      </c>
      <c r="G822">
        <v>202208</v>
      </c>
      <c r="H822" t="s">
        <v>75</v>
      </c>
      <c r="I822" t="s">
        <v>76</v>
      </c>
      <c r="J822" t="s">
        <v>1886</v>
      </c>
      <c r="K822" t="s">
        <v>78</v>
      </c>
      <c r="L822" t="s">
        <v>159</v>
      </c>
      <c r="M822" t="s">
        <v>160</v>
      </c>
      <c r="N822" t="s">
        <v>2024</v>
      </c>
      <c r="O822" t="s">
        <v>125</v>
      </c>
      <c r="P822" t="str">
        <f>"MT CAPE TOWN                  "</f>
        <v xml:space="preserve">MT CAPE TOWN                  </v>
      </c>
      <c r="Q822">
        <v>0</v>
      </c>
      <c r="R822">
        <v>0</v>
      </c>
      <c r="S822">
        <v>0</v>
      </c>
      <c r="T822">
        <v>0</v>
      </c>
      <c r="U822">
        <v>0</v>
      </c>
      <c r="V822">
        <v>0</v>
      </c>
      <c r="W822">
        <v>0</v>
      </c>
      <c r="X822">
        <v>0</v>
      </c>
      <c r="Y822">
        <v>0</v>
      </c>
      <c r="Z822">
        <v>0</v>
      </c>
      <c r="AA822">
        <v>0</v>
      </c>
      <c r="AB822">
        <v>0</v>
      </c>
      <c r="AC822">
        <v>0</v>
      </c>
      <c r="AD822">
        <v>0</v>
      </c>
      <c r="AE822">
        <v>0</v>
      </c>
      <c r="AF822">
        <v>0</v>
      </c>
      <c r="AG822">
        <v>0</v>
      </c>
      <c r="AH822">
        <v>0</v>
      </c>
      <c r="AI822">
        <v>0</v>
      </c>
      <c r="AJ822">
        <v>0</v>
      </c>
      <c r="AK822">
        <v>55.09</v>
      </c>
      <c r="AL822">
        <v>0</v>
      </c>
      <c r="AM822">
        <v>0</v>
      </c>
      <c r="AN822">
        <v>0</v>
      </c>
      <c r="AO822">
        <v>0</v>
      </c>
      <c r="AP822">
        <v>0</v>
      </c>
      <c r="AQ822">
        <v>0</v>
      </c>
      <c r="AR822">
        <v>0</v>
      </c>
      <c r="AS822">
        <v>0</v>
      </c>
      <c r="AT822">
        <v>0</v>
      </c>
      <c r="AU822">
        <v>0</v>
      </c>
      <c r="AV822">
        <v>0</v>
      </c>
      <c r="AW822">
        <v>0</v>
      </c>
      <c r="AX822">
        <v>0</v>
      </c>
      <c r="AY822">
        <v>0</v>
      </c>
      <c r="AZ822">
        <v>0</v>
      </c>
      <c r="BA822">
        <v>0</v>
      </c>
      <c r="BB822">
        <v>0</v>
      </c>
      <c r="BC822">
        <v>0</v>
      </c>
      <c r="BD822">
        <v>0</v>
      </c>
      <c r="BE822">
        <v>0</v>
      </c>
      <c r="BF822">
        <v>0</v>
      </c>
      <c r="BG822">
        <v>0</v>
      </c>
      <c r="BH822">
        <v>1</v>
      </c>
      <c r="BI822">
        <v>18.100000000000001</v>
      </c>
      <c r="BJ822">
        <v>20.399999999999999</v>
      </c>
      <c r="BK822">
        <v>21</v>
      </c>
      <c r="BL822">
        <v>215.51</v>
      </c>
      <c r="BM822">
        <v>32.33</v>
      </c>
      <c r="BN822">
        <v>247.84</v>
      </c>
      <c r="BO822">
        <v>247.84</v>
      </c>
      <c r="BQ822" t="s">
        <v>2025</v>
      </c>
      <c r="BR822" t="s">
        <v>1899</v>
      </c>
      <c r="BS822" s="3">
        <v>44595</v>
      </c>
      <c r="BT822" s="4">
        <v>0.46666666666666662</v>
      </c>
      <c r="BU822" t="s">
        <v>2026</v>
      </c>
      <c r="BV822" t="s">
        <v>101</v>
      </c>
      <c r="BY822">
        <v>102245.65</v>
      </c>
      <c r="BZ822" t="s">
        <v>137</v>
      </c>
      <c r="CA822" t="s">
        <v>422</v>
      </c>
      <c r="CC822" t="s">
        <v>160</v>
      </c>
      <c r="CD822">
        <v>9459</v>
      </c>
      <c r="CE822" t="s">
        <v>130</v>
      </c>
      <c r="CF822" s="3">
        <v>44596</v>
      </c>
      <c r="CI822">
        <v>3</v>
      </c>
      <c r="CJ822">
        <v>2</v>
      </c>
      <c r="CK822">
        <v>43</v>
      </c>
      <c r="CL822" t="s">
        <v>84</v>
      </c>
    </row>
    <row r="823" spans="1:90" x14ac:dyDescent="0.25">
      <c r="A823" t="s">
        <v>1897</v>
      </c>
      <c r="B823" t="s">
        <v>1898</v>
      </c>
      <c r="C823" t="s">
        <v>74</v>
      </c>
      <c r="E823" t="str">
        <f>"009940718580"</f>
        <v>009940718580</v>
      </c>
      <c r="F823" s="3">
        <v>44593</v>
      </c>
      <c r="G823">
        <v>202208</v>
      </c>
      <c r="H823" t="s">
        <v>131</v>
      </c>
      <c r="I823" t="s">
        <v>132</v>
      </c>
      <c r="J823" t="s">
        <v>1954</v>
      </c>
      <c r="K823" t="s">
        <v>78</v>
      </c>
      <c r="L823" t="s">
        <v>109</v>
      </c>
      <c r="M823" t="s">
        <v>110</v>
      </c>
      <c r="N823" t="s">
        <v>2027</v>
      </c>
      <c r="O823" t="s">
        <v>80</v>
      </c>
      <c r="P823" t="str">
        <f>"119 422 70FM                  "</f>
        <v xml:space="preserve">119 422 70FM                  </v>
      </c>
      <c r="Q823">
        <v>0</v>
      </c>
      <c r="R823">
        <v>0</v>
      </c>
      <c r="S823">
        <v>0</v>
      </c>
      <c r="T823">
        <v>0</v>
      </c>
      <c r="U823">
        <v>0</v>
      </c>
      <c r="V823">
        <v>0</v>
      </c>
      <c r="W823">
        <v>0</v>
      </c>
      <c r="X823">
        <v>0</v>
      </c>
      <c r="Y823">
        <v>0</v>
      </c>
      <c r="Z823">
        <v>0</v>
      </c>
      <c r="AA823">
        <v>0</v>
      </c>
      <c r="AB823">
        <v>0</v>
      </c>
      <c r="AC823">
        <v>0</v>
      </c>
      <c r="AD823">
        <v>0</v>
      </c>
      <c r="AE823">
        <v>0</v>
      </c>
      <c r="AF823">
        <v>0</v>
      </c>
      <c r="AG823">
        <v>0</v>
      </c>
      <c r="AH823">
        <v>0</v>
      </c>
      <c r="AI823">
        <v>0</v>
      </c>
      <c r="AJ823">
        <v>0</v>
      </c>
      <c r="AK823">
        <v>15.46</v>
      </c>
      <c r="AL823">
        <v>0</v>
      </c>
      <c r="AM823">
        <v>0</v>
      </c>
      <c r="AN823">
        <v>0</v>
      </c>
      <c r="AO823">
        <v>0</v>
      </c>
      <c r="AP823">
        <v>0</v>
      </c>
      <c r="AQ823">
        <v>0</v>
      </c>
      <c r="AR823">
        <v>0</v>
      </c>
      <c r="AS823">
        <v>0</v>
      </c>
      <c r="AT823">
        <v>0</v>
      </c>
      <c r="AU823">
        <v>0</v>
      </c>
      <c r="AV823">
        <v>0</v>
      </c>
      <c r="AW823">
        <v>0</v>
      </c>
      <c r="AX823">
        <v>0</v>
      </c>
      <c r="AY823">
        <v>0</v>
      </c>
      <c r="AZ823">
        <v>0</v>
      </c>
      <c r="BA823">
        <v>0</v>
      </c>
      <c r="BB823">
        <v>0</v>
      </c>
      <c r="BC823">
        <v>0</v>
      </c>
      <c r="BD823">
        <v>0</v>
      </c>
      <c r="BE823">
        <v>0</v>
      </c>
      <c r="BF823">
        <v>0</v>
      </c>
      <c r="BG823">
        <v>0</v>
      </c>
      <c r="BH823">
        <v>1</v>
      </c>
      <c r="BI823">
        <v>1</v>
      </c>
      <c r="BJ823">
        <v>0.2</v>
      </c>
      <c r="BK823">
        <v>1</v>
      </c>
      <c r="BL823">
        <v>59</v>
      </c>
      <c r="BM823">
        <v>8.85</v>
      </c>
      <c r="BN823">
        <v>67.849999999999994</v>
      </c>
      <c r="BO823">
        <v>67.849999999999994</v>
      </c>
      <c r="BQ823" t="s">
        <v>2028</v>
      </c>
      <c r="BR823" t="s">
        <v>2029</v>
      </c>
      <c r="BS823" s="3">
        <v>44594</v>
      </c>
      <c r="BT823" s="4">
        <v>0.4069444444444445</v>
      </c>
      <c r="BU823" t="s">
        <v>2030</v>
      </c>
      <c r="BV823" t="s">
        <v>101</v>
      </c>
      <c r="BY823">
        <v>1200</v>
      </c>
      <c r="BZ823" t="s">
        <v>87</v>
      </c>
      <c r="CA823" t="s">
        <v>2031</v>
      </c>
      <c r="CC823" t="s">
        <v>110</v>
      </c>
      <c r="CD823">
        <v>157</v>
      </c>
      <c r="CE823" t="s">
        <v>130</v>
      </c>
      <c r="CF823" s="3">
        <v>44594</v>
      </c>
      <c r="CI823">
        <v>1</v>
      </c>
      <c r="CJ823">
        <v>1</v>
      </c>
      <c r="CK823">
        <v>21</v>
      </c>
      <c r="CL823" t="s">
        <v>84</v>
      </c>
    </row>
    <row r="824" spans="1:90" x14ac:dyDescent="0.25">
      <c r="A824" t="s">
        <v>1897</v>
      </c>
      <c r="B824" t="s">
        <v>1898</v>
      </c>
      <c r="C824" t="s">
        <v>74</v>
      </c>
      <c r="E824" t="str">
        <f>"080010383948"</f>
        <v>080010383948</v>
      </c>
      <c r="F824" s="3">
        <v>44594</v>
      </c>
      <c r="G824">
        <v>202208</v>
      </c>
      <c r="H824" t="s">
        <v>2032</v>
      </c>
      <c r="I824" t="s">
        <v>2033</v>
      </c>
      <c r="J824" t="s">
        <v>2034</v>
      </c>
      <c r="K824" t="s">
        <v>78</v>
      </c>
      <c r="L824" t="s">
        <v>234</v>
      </c>
      <c r="M824" t="s">
        <v>235</v>
      </c>
      <c r="N824" t="s">
        <v>2035</v>
      </c>
      <c r="O824" t="s">
        <v>125</v>
      </c>
      <c r="P824" t="str">
        <f>"x                             "</f>
        <v xml:space="preserve">x                             </v>
      </c>
      <c r="Q824">
        <v>0</v>
      </c>
      <c r="R824">
        <v>0</v>
      </c>
      <c r="S824">
        <v>0</v>
      </c>
      <c r="T824">
        <v>0</v>
      </c>
      <c r="U824">
        <v>0</v>
      </c>
      <c r="V824">
        <v>0</v>
      </c>
      <c r="W824">
        <v>0</v>
      </c>
      <c r="X824">
        <v>0</v>
      </c>
      <c r="Y824">
        <v>0</v>
      </c>
      <c r="Z824">
        <v>0</v>
      </c>
      <c r="AA824">
        <v>0</v>
      </c>
      <c r="AB824">
        <v>0</v>
      </c>
      <c r="AC824">
        <v>0</v>
      </c>
      <c r="AD824">
        <v>0</v>
      </c>
      <c r="AE824">
        <v>0</v>
      </c>
      <c r="AF824">
        <v>0</v>
      </c>
      <c r="AG824">
        <v>0</v>
      </c>
      <c r="AH824">
        <v>0</v>
      </c>
      <c r="AI824">
        <v>0</v>
      </c>
      <c r="AJ824">
        <v>0</v>
      </c>
      <c r="AK824">
        <v>45.72</v>
      </c>
      <c r="AL824">
        <v>0</v>
      </c>
      <c r="AM824">
        <v>0</v>
      </c>
      <c r="AN824">
        <v>0</v>
      </c>
      <c r="AO824">
        <v>0</v>
      </c>
      <c r="AP824">
        <v>0</v>
      </c>
      <c r="AQ824">
        <v>0</v>
      </c>
      <c r="AR824">
        <v>0</v>
      </c>
      <c r="AS824">
        <v>0</v>
      </c>
      <c r="AT824">
        <v>0</v>
      </c>
      <c r="AU824">
        <v>0</v>
      </c>
      <c r="AV824">
        <v>0</v>
      </c>
      <c r="AW824">
        <v>0</v>
      </c>
      <c r="AX824">
        <v>0</v>
      </c>
      <c r="AY824">
        <v>0</v>
      </c>
      <c r="AZ824">
        <v>0</v>
      </c>
      <c r="BA824">
        <v>0</v>
      </c>
      <c r="BB824">
        <v>0</v>
      </c>
      <c r="BC824">
        <v>0</v>
      </c>
      <c r="BD824">
        <v>0</v>
      </c>
      <c r="BE824">
        <v>0</v>
      </c>
      <c r="BF824">
        <v>0</v>
      </c>
      <c r="BG824">
        <v>0</v>
      </c>
      <c r="BH824">
        <v>1</v>
      </c>
      <c r="BI824">
        <v>1</v>
      </c>
      <c r="BJ824">
        <v>0.5</v>
      </c>
      <c r="BK824">
        <v>1</v>
      </c>
      <c r="BL824">
        <v>169.72</v>
      </c>
      <c r="BM824">
        <v>25.46</v>
      </c>
      <c r="BN824">
        <v>195.18</v>
      </c>
      <c r="BO824">
        <v>195.18</v>
      </c>
      <c r="BP824" t="s">
        <v>653</v>
      </c>
      <c r="BQ824" t="s">
        <v>2036</v>
      </c>
      <c r="BR824" t="s">
        <v>2037</v>
      </c>
      <c r="BS824" s="3">
        <v>44596</v>
      </c>
      <c r="BT824" s="4">
        <v>0.59722222222222221</v>
      </c>
      <c r="BU824" t="s">
        <v>2038</v>
      </c>
      <c r="BV824" t="s">
        <v>101</v>
      </c>
      <c r="BY824">
        <v>2400</v>
      </c>
      <c r="CC824" t="s">
        <v>235</v>
      </c>
      <c r="CD824">
        <v>3201</v>
      </c>
      <c r="CE824" t="s">
        <v>2039</v>
      </c>
      <c r="CF824" s="3">
        <v>44600</v>
      </c>
      <c r="CI824">
        <v>1</v>
      </c>
      <c r="CJ824">
        <v>1</v>
      </c>
      <c r="CK824">
        <v>43</v>
      </c>
      <c r="CL824" t="s">
        <v>84</v>
      </c>
    </row>
    <row r="825" spans="1:90" x14ac:dyDescent="0.25">
      <c r="A825" t="s">
        <v>1897</v>
      </c>
      <c r="B825" t="s">
        <v>1898</v>
      </c>
      <c r="C825" t="s">
        <v>74</v>
      </c>
      <c r="E825" t="str">
        <f>"009940648411"</f>
        <v>009940648411</v>
      </c>
      <c r="F825" s="3">
        <v>44594</v>
      </c>
      <c r="G825">
        <v>202208</v>
      </c>
      <c r="H825" t="s">
        <v>75</v>
      </c>
      <c r="I825" t="s">
        <v>76</v>
      </c>
      <c r="J825" t="s">
        <v>1886</v>
      </c>
      <c r="K825" t="s">
        <v>78</v>
      </c>
      <c r="L825" t="s">
        <v>1382</v>
      </c>
      <c r="M825" t="s">
        <v>1383</v>
      </c>
      <c r="N825" t="s">
        <v>2040</v>
      </c>
      <c r="O825" t="s">
        <v>125</v>
      </c>
      <c r="P825" t="str">
        <f>"MT CAPE TOWN                  "</f>
        <v xml:space="preserve">MT CAPE TOWN                  </v>
      </c>
      <c r="Q825">
        <v>0</v>
      </c>
      <c r="R825">
        <v>0</v>
      </c>
      <c r="S825">
        <v>0</v>
      </c>
      <c r="T825">
        <v>0</v>
      </c>
      <c r="U825">
        <v>0</v>
      </c>
      <c r="V825">
        <v>0</v>
      </c>
      <c r="W825">
        <v>0</v>
      </c>
      <c r="X825">
        <v>0</v>
      </c>
      <c r="Y825">
        <v>0</v>
      </c>
      <c r="Z825">
        <v>0</v>
      </c>
      <c r="AA825">
        <v>0</v>
      </c>
      <c r="AB825">
        <v>0</v>
      </c>
      <c r="AC825">
        <v>0</v>
      </c>
      <c r="AD825">
        <v>0</v>
      </c>
      <c r="AE825">
        <v>0</v>
      </c>
      <c r="AF825">
        <v>0</v>
      </c>
      <c r="AG825">
        <v>0</v>
      </c>
      <c r="AH825">
        <v>0</v>
      </c>
      <c r="AI825">
        <v>0</v>
      </c>
      <c r="AJ825">
        <v>0</v>
      </c>
      <c r="AK825">
        <v>62.08</v>
      </c>
      <c r="AL825">
        <v>0</v>
      </c>
      <c r="AM825">
        <v>0</v>
      </c>
      <c r="AN825">
        <v>0</v>
      </c>
      <c r="AO825">
        <v>0</v>
      </c>
      <c r="AP825">
        <v>0</v>
      </c>
      <c r="AQ825">
        <v>0</v>
      </c>
      <c r="AR825">
        <v>0</v>
      </c>
      <c r="AS825">
        <v>0</v>
      </c>
      <c r="AT825">
        <v>0</v>
      </c>
      <c r="AU825">
        <v>0</v>
      </c>
      <c r="AV825">
        <v>0</v>
      </c>
      <c r="AW825">
        <v>0</v>
      </c>
      <c r="AX825">
        <v>0</v>
      </c>
      <c r="AY825">
        <v>0</v>
      </c>
      <c r="AZ825">
        <v>0</v>
      </c>
      <c r="BA825">
        <v>0</v>
      </c>
      <c r="BB825">
        <v>0</v>
      </c>
      <c r="BC825">
        <v>0</v>
      </c>
      <c r="BD825">
        <v>0</v>
      </c>
      <c r="BE825">
        <v>0</v>
      </c>
      <c r="BF825">
        <v>0</v>
      </c>
      <c r="BG825">
        <v>0</v>
      </c>
      <c r="BH825">
        <v>1</v>
      </c>
      <c r="BI825">
        <v>19.2</v>
      </c>
      <c r="BJ825">
        <v>21.3</v>
      </c>
      <c r="BK825">
        <v>22</v>
      </c>
      <c r="BL825">
        <v>228.57</v>
      </c>
      <c r="BM825">
        <v>34.29</v>
      </c>
      <c r="BN825">
        <v>262.86</v>
      </c>
      <c r="BO825">
        <v>262.86</v>
      </c>
      <c r="BQ825" t="s">
        <v>2041</v>
      </c>
      <c r="BR825" t="s">
        <v>1899</v>
      </c>
      <c r="BS825" s="3">
        <v>44596</v>
      </c>
      <c r="BT825" s="4">
        <v>0.7631944444444444</v>
      </c>
      <c r="BU825" t="s">
        <v>2042</v>
      </c>
      <c r="BV825" t="s">
        <v>84</v>
      </c>
      <c r="BW825" t="s">
        <v>1005</v>
      </c>
      <c r="BX825" t="s">
        <v>1387</v>
      </c>
      <c r="BY825">
        <v>106313.13</v>
      </c>
      <c r="BZ825" t="s">
        <v>137</v>
      </c>
      <c r="CA825" t="s">
        <v>2043</v>
      </c>
      <c r="CC825" t="s">
        <v>1383</v>
      </c>
      <c r="CD825">
        <v>2300</v>
      </c>
      <c r="CE825" t="s">
        <v>130</v>
      </c>
      <c r="CF825" s="3">
        <v>44597</v>
      </c>
      <c r="CI825">
        <v>2</v>
      </c>
      <c r="CJ825">
        <v>2</v>
      </c>
      <c r="CK825">
        <v>43</v>
      </c>
      <c r="CL825" t="s">
        <v>84</v>
      </c>
    </row>
    <row r="826" spans="1:90" x14ac:dyDescent="0.25">
      <c r="A826" t="s">
        <v>1897</v>
      </c>
      <c r="B826" t="s">
        <v>1898</v>
      </c>
      <c r="C826" t="s">
        <v>74</v>
      </c>
      <c r="E826" t="str">
        <f>"009940648389"</f>
        <v>009940648389</v>
      </c>
      <c r="F826" s="3">
        <v>44594</v>
      </c>
      <c r="G826">
        <v>202208</v>
      </c>
      <c r="H826" t="s">
        <v>75</v>
      </c>
      <c r="I826" t="s">
        <v>76</v>
      </c>
      <c r="J826" t="s">
        <v>1886</v>
      </c>
      <c r="K826" t="s">
        <v>78</v>
      </c>
      <c r="L826" t="s">
        <v>131</v>
      </c>
      <c r="M826" t="s">
        <v>132</v>
      </c>
      <c r="N826" t="s">
        <v>1886</v>
      </c>
      <c r="O826" t="s">
        <v>125</v>
      </c>
      <c r="P826" t="str">
        <f>"DURABN                        "</f>
        <v xml:space="preserve">DURABN                        </v>
      </c>
      <c r="Q826">
        <v>0</v>
      </c>
      <c r="R826">
        <v>0</v>
      </c>
      <c r="S826">
        <v>0</v>
      </c>
      <c r="T826">
        <v>0</v>
      </c>
      <c r="U826">
        <v>0</v>
      </c>
      <c r="V826">
        <v>0</v>
      </c>
      <c r="W826">
        <v>0</v>
      </c>
      <c r="X826">
        <v>0</v>
      </c>
      <c r="Y826">
        <v>0</v>
      </c>
      <c r="Z826">
        <v>0</v>
      </c>
      <c r="AA826">
        <v>0</v>
      </c>
      <c r="AB826">
        <v>0</v>
      </c>
      <c r="AC826">
        <v>0</v>
      </c>
      <c r="AD826">
        <v>0</v>
      </c>
      <c r="AE826">
        <v>0</v>
      </c>
      <c r="AF826">
        <v>0</v>
      </c>
      <c r="AG826">
        <v>0</v>
      </c>
      <c r="AH826">
        <v>0</v>
      </c>
      <c r="AI826">
        <v>0</v>
      </c>
      <c r="AJ826">
        <v>0</v>
      </c>
      <c r="AK826">
        <v>45.78</v>
      </c>
      <c r="AL826">
        <v>0</v>
      </c>
      <c r="AM826">
        <v>0</v>
      </c>
      <c r="AN826">
        <v>0</v>
      </c>
      <c r="AO826">
        <v>0</v>
      </c>
      <c r="AP826">
        <v>0</v>
      </c>
      <c r="AQ826">
        <v>0</v>
      </c>
      <c r="AR826">
        <v>0</v>
      </c>
      <c r="AS826">
        <v>0</v>
      </c>
      <c r="AT826">
        <v>0</v>
      </c>
      <c r="AU826">
        <v>0</v>
      </c>
      <c r="AV826">
        <v>0</v>
      </c>
      <c r="AW826">
        <v>0</v>
      </c>
      <c r="AX826">
        <v>0</v>
      </c>
      <c r="AY826">
        <v>0</v>
      </c>
      <c r="AZ826">
        <v>0</v>
      </c>
      <c r="BA826">
        <v>0</v>
      </c>
      <c r="BB826">
        <v>0</v>
      </c>
      <c r="BC826">
        <v>0</v>
      </c>
      <c r="BD826">
        <v>0</v>
      </c>
      <c r="BE826">
        <v>0</v>
      </c>
      <c r="BF826">
        <v>0</v>
      </c>
      <c r="BG826">
        <v>0</v>
      </c>
      <c r="BH826">
        <v>1</v>
      </c>
      <c r="BI826">
        <v>20.399999999999999</v>
      </c>
      <c r="BJ826">
        <v>24.8</v>
      </c>
      <c r="BK826">
        <v>25</v>
      </c>
      <c r="BL826">
        <v>169.93</v>
      </c>
      <c r="BM826">
        <v>25.49</v>
      </c>
      <c r="BN826">
        <v>195.42</v>
      </c>
      <c r="BO826">
        <v>195.42</v>
      </c>
      <c r="BQ826" t="s">
        <v>1941</v>
      </c>
      <c r="BR826" t="s">
        <v>1899</v>
      </c>
      <c r="BS826" s="3">
        <v>44596</v>
      </c>
      <c r="BT826" s="4">
        <v>0.60763888888888895</v>
      </c>
      <c r="BU826" t="s">
        <v>1890</v>
      </c>
      <c r="BV826" t="s">
        <v>101</v>
      </c>
      <c r="BY826">
        <v>124244.12</v>
      </c>
      <c r="BZ826" t="s">
        <v>137</v>
      </c>
      <c r="CA826" t="s">
        <v>1888</v>
      </c>
      <c r="CC826" t="s">
        <v>132</v>
      </c>
      <c r="CD826">
        <v>4001</v>
      </c>
      <c r="CE826" t="s">
        <v>130</v>
      </c>
      <c r="CF826" s="3">
        <v>44599</v>
      </c>
      <c r="CI826">
        <v>3</v>
      </c>
      <c r="CJ826">
        <v>2</v>
      </c>
      <c r="CK826">
        <v>41</v>
      </c>
      <c r="CL826" t="s">
        <v>84</v>
      </c>
    </row>
    <row r="827" spans="1:90" x14ac:dyDescent="0.25">
      <c r="A827" t="s">
        <v>1897</v>
      </c>
      <c r="B827" t="s">
        <v>1898</v>
      </c>
      <c r="C827" t="s">
        <v>74</v>
      </c>
      <c r="E827" t="str">
        <f>"009942039451"</f>
        <v>009942039451</v>
      </c>
      <c r="F827" s="3">
        <v>44595</v>
      </c>
      <c r="G827">
        <v>202208</v>
      </c>
      <c r="H827" t="s">
        <v>153</v>
      </c>
      <c r="I827" t="s">
        <v>154</v>
      </c>
      <c r="J827" t="s">
        <v>1910</v>
      </c>
      <c r="K827" t="s">
        <v>78</v>
      </c>
      <c r="L827" t="s">
        <v>2011</v>
      </c>
      <c r="M827" t="s">
        <v>2012</v>
      </c>
      <c r="N827" t="s">
        <v>2044</v>
      </c>
      <c r="O827" t="s">
        <v>80</v>
      </c>
      <c r="P827" t="str">
        <f>"NA                            "</f>
        <v xml:space="preserve">NA                            </v>
      </c>
      <c r="Q827">
        <v>0</v>
      </c>
      <c r="R827">
        <v>0</v>
      </c>
      <c r="S827">
        <v>0</v>
      </c>
      <c r="T827">
        <v>0</v>
      </c>
      <c r="U827">
        <v>0</v>
      </c>
      <c r="V827">
        <v>0</v>
      </c>
      <c r="W827">
        <v>0</v>
      </c>
      <c r="X827">
        <v>0</v>
      </c>
      <c r="Y827">
        <v>0</v>
      </c>
      <c r="Z827">
        <v>0</v>
      </c>
      <c r="AA827">
        <v>0</v>
      </c>
      <c r="AB827">
        <v>0</v>
      </c>
      <c r="AC827">
        <v>0</v>
      </c>
      <c r="AD827">
        <v>0</v>
      </c>
      <c r="AE827">
        <v>0</v>
      </c>
      <c r="AF827">
        <v>0</v>
      </c>
      <c r="AG827">
        <v>0</v>
      </c>
      <c r="AH827">
        <v>0</v>
      </c>
      <c r="AI827">
        <v>0</v>
      </c>
      <c r="AJ827">
        <v>0</v>
      </c>
      <c r="AK827">
        <v>32.479999999999997</v>
      </c>
      <c r="AL827">
        <v>0</v>
      </c>
      <c r="AM827">
        <v>0</v>
      </c>
      <c r="AN827">
        <v>0</v>
      </c>
      <c r="AO827">
        <v>0</v>
      </c>
      <c r="AP827">
        <v>0</v>
      </c>
      <c r="AQ827">
        <v>0</v>
      </c>
      <c r="AR827">
        <v>0</v>
      </c>
      <c r="AS827">
        <v>0</v>
      </c>
      <c r="AT827">
        <v>0</v>
      </c>
      <c r="AU827">
        <v>0</v>
      </c>
      <c r="AV827">
        <v>0</v>
      </c>
      <c r="AW827">
        <v>0</v>
      </c>
      <c r="AX827">
        <v>0</v>
      </c>
      <c r="AY827">
        <v>0</v>
      </c>
      <c r="AZ827">
        <v>0</v>
      </c>
      <c r="BA827">
        <v>0</v>
      </c>
      <c r="BB827">
        <v>0</v>
      </c>
      <c r="BC827">
        <v>0</v>
      </c>
      <c r="BD827">
        <v>0</v>
      </c>
      <c r="BE827">
        <v>0</v>
      </c>
      <c r="BF827">
        <v>0</v>
      </c>
      <c r="BG827">
        <v>0</v>
      </c>
      <c r="BH827">
        <v>1</v>
      </c>
      <c r="BI827">
        <v>1</v>
      </c>
      <c r="BJ827">
        <v>0.2</v>
      </c>
      <c r="BK827">
        <v>1</v>
      </c>
      <c r="BL827">
        <v>116.84</v>
      </c>
      <c r="BM827">
        <v>17.53</v>
      </c>
      <c r="BN827">
        <v>134.37</v>
      </c>
      <c r="BO827">
        <v>134.37</v>
      </c>
      <c r="BQ827" t="s">
        <v>2014</v>
      </c>
      <c r="BR827" t="s">
        <v>2045</v>
      </c>
      <c r="BS827" s="3">
        <v>44599</v>
      </c>
      <c r="BT827" s="4">
        <v>0.68680555555555556</v>
      </c>
      <c r="BU827" t="s">
        <v>2046</v>
      </c>
      <c r="BV827" t="s">
        <v>101</v>
      </c>
      <c r="BY827">
        <v>1200</v>
      </c>
      <c r="BZ827" t="s">
        <v>87</v>
      </c>
      <c r="CA827" t="s">
        <v>363</v>
      </c>
      <c r="CC827" t="s">
        <v>2012</v>
      </c>
      <c r="CD827">
        <v>7220</v>
      </c>
      <c r="CE827" t="s">
        <v>130</v>
      </c>
      <c r="CF827" s="3">
        <v>44600</v>
      </c>
      <c r="CI827">
        <v>2</v>
      </c>
      <c r="CJ827">
        <v>2</v>
      </c>
      <c r="CK827">
        <v>23</v>
      </c>
      <c r="CL827" t="s">
        <v>84</v>
      </c>
    </row>
    <row r="828" spans="1:90" x14ac:dyDescent="0.25">
      <c r="A828" t="s">
        <v>1897</v>
      </c>
      <c r="B828" t="s">
        <v>1898</v>
      </c>
      <c r="C828" t="s">
        <v>74</v>
      </c>
      <c r="E828" t="str">
        <f>"009940648390"</f>
        <v>009940648390</v>
      </c>
      <c r="F828" s="3">
        <v>44595</v>
      </c>
      <c r="G828">
        <v>202208</v>
      </c>
      <c r="H828" t="s">
        <v>75</v>
      </c>
      <c r="I828" t="s">
        <v>76</v>
      </c>
      <c r="J828" t="s">
        <v>1886</v>
      </c>
      <c r="K828" t="s">
        <v>78</v>
      </c>
      <c r="L828" t="s">
        <v>246</v>
      </c>
      <c r="M828" t="s">
        <v>247</v>
      </c>
      <c r="N828" t="s">
        <v>2047</v>
      </c>
      <c r="O828" t="s">
        <v>125</v>
      </c>
      <c r="P828" t="str">
        <f>"                              "</f>
        <v xml:space="preserve">                              </v>
      </c>
      <c r="Q828">
        <v>0</v>
      </c>
      <c r="R828">
        <v>0</v>
      </c>
      <c r="S828">
        <v>0</v>
      </c>
      <c r="T828">
        <v>0</v>
      </c>
      <c r="U828">
        <v>0</v>
      </c>
      <c r="V828">
        <v>0</v>
      </c>
      <c r="W828">
        <v>0</v>
      </c>
      <c r="X828">
        <v>0</v>
      </c>
      <c r="Y828">
        <v>0</v>
      </c>
      <c r="Z828">
        <v>0</v>
      </c>
      <c r="AA828">
        <v>0</v>
      </c>
      <c r="AB828">
        <v>0</v>
      </c>
      <c r="AC828">
        <v>0</v>
      </c>
      <c r="AD828">
        <v>0</v>
      </c>
      <c r="AE828">
        <v>0</v>
      </c>
      <c r="AF828">
        <v>0</v>
      </c>
      <c r="AG828">
        <v>0</v>
      </c>
      <c r="AH828">
        <v>0</v>
      </c>
      <c r="AI828">
        <v>0</v>
      </c>
      <c r="AJ828">
        <v>0</v>
      </c>
      <c r="AK828">
        <v>35.799999999999997</v>
      </c>
      <c r="AL828">
        <v>0</v>
      </c>
      <c r="AM828">
        <v>0</v>
      </c>
      <c r="AN828">
        <v>0</v>
      </c>
      <c r="AO828">
        <v>0</v>
      </c>
      <c r="AP828">
        <v>0</v>
      </c>
      <c r="AQ828">
        <v>0</v>
      </c>
      <c r="AR828">
        <v>0</v>
      </c>
      <c r="AS828">
        <v>0</v>
      </c>
      <c r="AT828">
        <v>0</v>
      </c>
      <c r="AU828">
        <v>0</v>
      </c>
      <c r="AV828">
        <v>0</v>
      </c>
      <c r="AW828">
        <v>0</v>
      </c>
      <c r="AX828">
        <v>0</v>
      </c>
      <c r="AY828">
        <v>0</v>
      </c>
      <c r="AZ828">
        <v>0</v>
      </c>
      <c r="BA828">
        <v>0</v>
      </c>
      <c r="BB828">
        <v>0</v>
      </c>
      <c r="BC828">
        <v>0</v>
      </c>
      <c r="BD828">
        <v>0</v>
      </c>
      <c r="BE828">
        <v>0</v>
      </c>
      <c r="BF828">
        <v>0</v>
      </c>
      <c r="BG828">
        <v>0</v>
      </c>
      <c r="BH828">
        <v>1</v>
      </c>
      <c r="BI828">
        <v>5.0999999999999996</v>
      </c>
      <c r="BJ828">
        <v>8.6999999999999993</v>
      </c>
      <c r="BK828">
        <v>9</v>
      </c>
      <c r="BL828">
        <v>134.04</v>
      </c>
      <c r="BM828">
        <v>20.11</v>
      </c>
      <c r="BN828">
        <v>154.15</v>
      </c>
      <c r="BO828">
        <v>154.15</v>
      </c>
      <c r="BQ828" t="s">
        <v>776</v>
      </c>
      <c r="BR828" t="s">
        <v>1899</v>
      </c>
      <c r="BS828" s="3">
        <v>44596</v>
      </c>
      <c r="BT828" s="4">
        <v>0.42499999999999999</v>
      </c>
      <c r="BU828" t="s">
        <v>2048</v>
      </c>
      <c r="BV828" t="s">
        <v>101</v>
      </c>
      <c r="BY828">
        <v>43722</v>
      </c>
      <c r="BZ828" t="s">
        <v>137</v>
      </c>
      <c r="CA828" t="s">
        <v>251</v>
      </c>
      <c r="CC828" t="s">
        <v>247</v>
      </c>
      <c r="CD828">
        <v>7130</v>
      </c>
      <c r="CE828" t="s">
        <v>130</v>
      </c>
      <c r="CF828" s="3">
        <v>44599</v>
      </c>
      <c r="CI828">
        <v>1</v>
      </c>
      <c r="CJ828">
        <v>1</v>
      </c>
      <c r="CK828">
        <v>44</v>
      </c>
      <c r="CL828" t="s">
        <v>84</v>
      </c>
    </row>
    <row r="829" spans="1:90" x14ac:dyDescent="0.25">
      <c r="A829" t="s">
        <v>1897</v>
      </c>
      <c r="B829" t="s">
        <v>1898</v>
      </c>
      <c r="C829" t="s">
        <v>74</v>
      </c>
      <c r="E829" t="str">
        <f>"009941578737"</f>
        <v>009941578737</v>
      </c>
      <c r="F829" s="3">
        <v>44594</v>
      </c>
      <c r="G829">
        <v>202208</v>
      </c>
      <c r="H829" t="s">
        <v>123</v>
      </c>
      <c r="I829" t="s">
        <v>124</v>
      </c>
      <c r="J829" t="s">
        <v>1954</v>
      </c>
      <c r="K829" t="s">
        <v>78</v>
      </c>
      <c r="L829" t="s">
        <v>153</v>
      </c>
      <c r="M829" t="s">
        <v>154</v>
      </c>
      <c r="N829" t="s">
        <v>1724</v>
      </c>
      <c r="O829" t="s">
        <v>80</v>
      </c>
      <c r="P829" t="str">
        <f>"11912270 FM                   "</f>
        <v xml:space="preserve">11912270 FM                   </v>
      </c>
      <c r="Q829">
        <v>0</v>
      </c>
      <c r="R829">
        <v>0</v>
      </c>
      <c r="S829">
        <v>0</v>
      </c>
      <c r="T829">
        <v>0</v>
      </c>
      <c r="U829">
        <v>0</v>
      </c>
      <c r="V829">
        <v>0</v>
      </c>
      <c r="W829">
        <v>0</v>
      </c>
      <c r="X829">
        <v>0</v>
      </c>
      <c r="Y829">
        <v>0</v>
      </c>
      <c r="Z829">
        <v>0</v>
      </c>
      <c r="AA829">
        <v>0</v>
      </c>
      <c r="AB829">
        <v>0</v>
      </c>
      <c r="AC829">
        <v>0</v>
      </c>
      <c r="AD829">
        <v>0</v>
      </c>
      <c r="AE829">
        <v>0</v>
      </c>
      <c r="AF829">
        <v>0</v>
      </c>
      <c r="AG829">
        <v>0</v>
      </c>
      <c r="AH829">
        <v>0</v>
      </c>
      <c r="AI829">
        <v>0</v>
      </c>
      <c r="AJ829">
        <v>0</v>
      </c>
      <c r="AK829">
        <v>16.760000000000002</v>
      </c>
      <c r="AL829">
        <v>0</v>
      </c>
      <c r="AM829">
        <v>0</v>
      </c>
      <c r="AN829">
        <v>0</v>
      </c>
      <c r="AO829">
        <v>0</v>
      </c>
      <c r="AP829">
        <v>0</v>
      </c>
      <c r="AQ829">
        <v>0</v>
      </c>
      <c r="AR829">
        <v>0</v>
      </c>
      <c r="AS829">
        <v>0</v>
      </c>
      <c r="AT829">
        <v>0</v>
      </c>
      <c r="AU829">
        <v>0</v>
      </c>
      <c r="AV829">
        <v>0</v>
      </c>
      <c r="AW829">
        <v>0</v>
      </c>
      <c r="AX829">
        <v>0</v>
      </c>
      <c r="AY829">
        <v>0</v>
      </c>
      <c r="AZ829">
        <v>0</v>
      </c>
      <c r="BA829">
        <v>0</v>
      </c>
      <c r="BB829">
        <v>0</v>
      </c>
      <c r="BC829">
        <v>0</v>
      </c>
      <c r="BD829">
        <v>0</v>
      </c>
      <c r="BE829">
        <v>0</v>
      </c>
      <c r="BF829">
        <v>0</v>
      </c>
      <c r="BG829">
        <v>0</v>
      </c>
      <c r="BH829">
        <v>1</v>
      </c>
      <c r="BI829">
        <v>1</v>
      </c>
      <c r="BJ829">
        <v>0.2</v>
      </c>
      <c r="BK829">
        <v>1</v>
      </c>
      <c r="BL829">
        <v>60.3</v>
      </c>
      <c r="BM829">
        <v>9.0500000000000007</v>
      </c>
      <c r="BN829">
        <v>69.349999999999994</v>
      </c>
      <c r="BO829">
        <v>69.349999999999994</v>
      </c>
      <c r="BQ829" t="s">
        <v>2049</v>
      </c>
      <c r="BR829" t="s">
        <v>1956</v>
      </c>
      <c r="BS829" s="3">
        <v>44595</v>
      </c>
      <c r="BT829" s="4">
        <v>0.34513888888888888</v>
      </c>
      <c r="BU829" t="s">
        <v>2050</v>
      </c>
      <c r="BV829" t="s">
        <v>101</v>
      </c>
      <c r="BY829">
        <v>1200</v>
      </c>
      <c r="BZ829" t="s">
        <v>87</v>
      </c>
      <c r="CA829" t="s">
        <v>2051</v>
      </c>
      <c r="CC829" t="s">
        <v>154</v>
      </c>
      <c r="CD829">
        <v>2021</v>
      </c>
      <c r="CE829" t="s">
        <v>130</v>
      </c>
      <c r="CF829" s="3">
        <v>44595</v>
      </c>
      <c r="CI829">
        <v>1</v>
      </c>
      <c r="CJ829">
        <v>1</v>
      </c>
      <c r="CK829">
        <v>21</v>
      </c>
      <c r="CL829" t="s">
        <v>84</v>
      </c>
    </row>
    <row r="830" spans="1:90" x14ac:dyDescent="0.25">
      <c r="A830" t="s">
        <v>1897</v>
      </c>
      <c r="B830" t="s">
        <v>1898</v>
      </c>
      <c r="C830" t="s">
        <v>74</v>
      </c>
      <c r="E830" t="str">
        <f>"009940648410"</f>
        <v>009940648410</v>
      </c>
      <c r="F830" s="3">
        <v>44593</v>
      </c>
      <c r="G830">
        <v>202208</v>
      </c>
      <c r="H830" t="s">
        <v>75</v>
      </c>
      <c r="I830" t="s">
        <v>76</v>
      </c>
      <c r="J830" t="s">
        <v>1886</v>
      </c>
      <c r="K830" t="s">
        <v>78</v>
      </c>
      <c r="L830" t="s">
        <v>109</v>
      </c>
      <c r="M830" t="s">
        <v>110</v>
      </c>
      <c r="N830" t="s">
        <v>2052</v>
      </c>
      <c r="O830" t="s">
        <v>125</v>
      </c>
      <c r="P830" t="str">
        <f>"MT CAPE TOWN                  "</f>
        <v xml:space="preserve">MT CAPE TOWN                  </v>
      </c>
      <c r="Q830">
        <v>0</v>
      </c>
      <c r="R830">
        <v>0</v>
      </c>
      <c r="S830">
        <v>0</v>
      </c>
      <c r="T830">
        <v>0</v>
      </c>
      <c r="U830">
        <v>0</v>
      </c>
      <c r="V830">
        <v>0</v>
      </c>
      <c r="W830">
        <v>0</v>
      </c>
      <c r="X830">
        <v>0</v>
      </c>
      <c r="Y830">
        <v>0</v>
      </c>
      <c r="Z830">
        <v>0</v>
      </c>
      <c r="AA830">
        <v>0</v>
      </c>
      <c r="AB830">
        <v>0</v>
      </c>
      <c r="AC830">
        <v>0</v>
      </c>
      <c r="AD830">
        <v>0</v>
      </c>
      <c r="AE830">
        <v>0</v>
      </c>
      <c r="AF830">
        <v>0</v>
      </c>
      <c r="AG830">
        <v>0</v>
      </c>
      <c r="AH830">
        <v>0</v>
      </c>
      <c r="AI830">
        <v>0</v>
      </c>
      <c r="AJ830">
        <v>0</v>
      </c>
      <c r="AK830">
        <v>29.89</v>
      </c>
      <c r="AL830">
        <v>0</v>
      </c>
      <c r="AM830">
        <v>0</v>
      </c>
      <c r="AN830">
        <v>0</v>
      </c>
      <c r="AO830">
        <v>0</v>
      </c>
      <c r="AP830">
        <v>0</v>
      </c>
      <c r="AQ830">
        <v>0</v>
      </c>
      <c r="AR830">
        <v>0</v>
      </c>
      <c r="AS830">
        <v>0</v>
      </c>
      <c r="AT830">
        <v>0</v>
      </c>
      <c r="AU830">
        <v>0</v>
      </c>
      <c r="AV830">
        <v>0</v>
      </c>
      <c r="AW830">
        <v>0</v>
      </c>
      <c r="AX830">
        <v>0</v>
      </c>
      <c r="AY830">
        <v>0</v>
      </c>
      <c r="AZ830">
        <v>0</v>
      </c>
      <c r="BA830">
        <v>0</v>
      </c>
      <c r="BB830">
        <v>0</v>
      </c>
      <c r="BC830">
        <v>0</v>
      </c>
      <c r="BD830">
        <v>0</v>
      </c>
      <c r="BE830">
        <v>0</v>
      </c>
      <c r="BF830">
        <v>0</v>
      </c>
      <c r="BG830">
        <v>0</v>
      </c>
      <c r="BH830">
        <v>1</v>
      </c>
      <c r="BI830">
        <v>0.7</v>
      </c>
      <c r="BJ830">
        <v>1.3</v>
      </c>
      <c r="BK830">
        <v>2</v>
      </c>
      <c r="BL830">
        <v>119.34</v>
      </c>
      <c r="BM830">
        <v>17.899999999999999</v>
      </c>
      <c r="BN830">
        <v>137.24</v>
      </c>
      <c r="BO830">
        <v>137.24</v>
      </c>
      <c r="BQ830" t="s">
        <v>2053</v>
      </c>
      <c r="BR830" t="s">
        <v>1899</v>
      </c>
      <c r="BS830" s="3">
        <v>44595</v>
      </c>
      <c r="BT830" s="4">
        <v>0.41388888888888892</v>
      </c>
      <c r="BU830" t="s">
        <v>470</v>
      </c>
      <c r="BV830" t="s">
        <v>101</v>
      </c>
      <c r="BY830">
        <v>6651.15</v>
      </c>
      <c r="BZ830" t="s">
        <v>137</v>
      </c>
      <c r="CA830" t="s">
        <v>2054</v>
      </c>
      <c r="CC830" t="s">
        <v>110</v>
      </c>
      <c r="CD830">
        <v>157</v>
      </c>
      <c r="CE830" t="s">
        <v>130</v>
      </c>
      <c r="CF830" s="3">
        <v>44595</v>
      </c>
      <c r="CI830">
        <v>2</v>
      </c>
      <c r="CJ830">
        <v>2</v>
      </c>
      <c r="CK830">
        <v>41</v>
      </c>
      <c r="CL830" t="s">
        <v>84</v>
      </c>
    </row>
    <row r="831" spans="1:90" x14ac:dyDescent="0.25">
      <c r="A831" t="s">
        <v>1897</v>
      </c>
      <c r="B831" t="s">
        <v>1898</v>
      </c>
      <c r="C831" t="s">
        <v>74</v>
      </c>
      <c r="E831" t="str">
        <f>"009941475346"</f>
        <v>009941475346</v>
      </c>
      <c r="F831" s="3">
        <v>44596</v>
      </c>
      <c r="G831">
        <v>202208</v>
      </c>
      <c r="H831" t="s">
        <v>649</v>
      </c>
      <c r="I831" t="s">
        <v>650</v>
      </c>
      <c r="J831" t="s">
        <v>1724</v>
      </c>
      <c r="K831" t="s">
        <v>78</v>
      </c>
      <c r="L831" t="s">
        <v>123</v>
      </c>
      <c r="M831" t="s">
        <v>124</v>
      </c>
      <c r="N831" t="s">
        <v>1724</v>
      </c>
      <c r="O831" t="s">
        <v>80</v>
      </c>
      <c r="P831" t="str">
        <f t="shared" ref="P831:P837" si="16">"                              "</f>
        <v xml:space="preserve">                              </v>
      </c>
      <c r="Q831">
        <v>0</v>
      </c>
      <c r="R831">
        <v>0</v>
      </c>
      <c r="S831">
        <v>0</v>
      </c>
      <c r="T831">
        <v>0</v>
      </c>
      <c r="U831">
        <v>0</v>
      </c>
      <c r="V831">
        <v>0</v>
      </c>
      <c r="W831">
        <v>0</v>
      </c>
      <c r="X831">
        <v>0</v>
      </c>
      <c r="Y831">
        <v>0</v>
      </c>
      <c r="Z831">
        <v>0</v>
      </c>
      <c r="AA831">
        <v>0</v>
      </c>
      <c r="AB831">
        <v>0</v>
      </c>
      <c r="AC831">
        <v>0</v>
      </c>
      <c r="AD831">
        <v>0</v>
      </c>
      <c r="AE831">
        <v>0</v>
      </c>
      <c r="AF831">
        <v>0</v>
      </c>
      <c r="AG831">
        <v>0</v>
      </c>
      <c r="AH831">
        <v>0</v>
      </c>
      <c r="AI831">
        <v>0</v>
      </c>
      <c r="AJ831">
        <v>0</v>
      </c>
      <c r="AK831">
        <v>16.760000000000002</v>
      </c>
      <c r="AL831">
        <v>0</v>
      </c>
      <c r="AM831">
        <v>0</v>
      </c>
      <c r="AN831">
        <v>0</v>
      </c>
      <c r="AO831">
        <v>0</v>
      </c>
      <c r="AP831">
        <v>0</v>
      </c>
      <c r="AQ831">
        <v>0</v>
      </c>
      <c r="AR831">
        <v>0</v>
      </c>
      <c r="AS831">
        <v>0</v>
      </c>
      <c r="AT831">
        <v>0</v>
      </c>
      <c r="AU831">
        <v>0</v>
      </c>
      <c r="AV831">
        <v>0</v>
      </c>
      <c r="AW831">
        <v>0</v>
      </c>
      <c r="AX831">
        <v>0</v>
      </c>
      <c r="AY831">
        <v>0</v>
      </c>
      <c r="AZ831">
        <v>0</v>
      </c>
      <c r="BA831">
        <v>0</v>
      </c>
      <c r="BB831">
        <v>0</v>
      </c>
      <c r="BC831">
        <v>0</v>
      </c>
      <c r="BD831">
        <v>0</v>
      </c>
      <c r="BE831">
        <v>0</v>
      </c>
      <c r="BF831">
        <v>0</v>
      </c>
      <c r="BG831">
        <v>0</v>
      </c>
      <c r="BH831">
        <v>1</v>
      </c>
      <c r="BI831">
        <v>1</v>
      </c>
      <c r="BJ831">
        <v>0.4</v>
      </c>
      <c r="BK831">
        <v>1</v>
      </c>
      <c r="BL831">
        <v>60.3</v>
      </c>
      <c r="BM831">
        <v>9.0500000000000007</v>
      </c>
      <c r="BN831">
        <v>69.349999999999994</v>
      </c>
      <c r="BO831">
        <v>69.349999999999994</v>
      </c>
      <c r="BS831" s="3">
        <v>44599</v>
      </c>
      <c r="BT831" s="4">
        <v>0.35625000000000001</v>
      </c>
      <c r="BU831" t="s">
        <v>2055</v>
      </c>
      <c r="BV831" t="s">
        <v>101</v>
      </c>
      <c r="BY831">
        <v>1786</v>
      </c>
      <c r="BZ831" t="s">
        <v>87</v>
      </c>
      <c r="CA831" t="s">
        <v>1445</v>
      </c>
      <c r="CC831" t="s">
        <v>124</v>
      </c>
      <c r="CD831">
        <v>6000</v>
      </c>
      <c r="CE831" t="s">
        <v>130</v>
      </c>
      <c r="CF831" s="3">
        <v>44599</v>
      </c>
      <c r="CI831">
        <v>1</v>
      </c>
      <c r="CJ831">
        <v>1</v>
      </c>
      <c r="CK831">
        <v>21</v>
      </c>
      <c r="CL831" t="s">
        <v>84</v>
      </c>
    </row>
    <row r="832" spans="1:90" x14ac:dyDescent="0.25">
      <c r="A832" t="s">
        <v>1897</v>
      </c>
      <c r="B832" t="s">
        <v>1898</v>
      </c>
      <c r="C832" t="s">
        <v>74</v>
      </c>
      <c r="E832" t="str">
        <f>"009940648391"</f>
        <v>009940648391</v>
      </c>
      <c r="F832" s="3">
        <v>44596</v>
      </c>
      <c r="G832">
        <v>202208</v>
      </c>
      <c r="H832" t="s">
        <v>75</v>
      </c>
      <c r="I832" t="s">
        <v>76</v>
      </c>
      <c r="J832" t="s">
        <v>1886</v>
      </c>
      <c r="K832" t="s">
        <v>78</v>
      </c>
      <c r="L832" t="s">
        <v>123</v>
      </c>
      <c r="M832" t="s">
        <v>124</v>
      </c>
      <c r="N832" t="s">
        <v>2056</v>
      </c>
      <c r="O832" t="s">
        <v>125</v>
      </c>
      <c r="P832" t="str">
        <f t="shared" si="16"/>
        <v xml:space="preserve">                              </v>
      </c>
      <c r="Q832">
        <v>0</v>
      </c>
      <c r="R832">
        <v>0</v>
      </c>
      <c r="S832">
        <v>0</v>
      </c>
      <c r="T832">
        <v>0</v>
      </c>
      <c r="U832">
        <v>0</v>
      </c>
      <c r="V832">
        <v>0</v>
      </c>
      <c r="W832">
        <v>0</v>
      </c>
      <c r="X832">
        <v>0</v>
      </c>
      <c r="Y832">
        <v>0</v>
      </c>
      <c r="Z832">
        <v>0</v>
      </c>
      <c r="AA832">
        <v>0</v>
      </c>
      <c r="AB832">
        <v>0</v>
      </c>
      <c r="AC832">
        <v>0</v>
      </c>
      <c r="AD832">
        <v>0</v>
      </c>
      <c r="AE832">
        <v>0</v>
      </c>
      <c r="AF832">
        <v>0</v>
      </c>
      <c r="AG832">
        <v>0</v>
      </c>
      <c r="AH832">
        <v>0</v>
      </c>
      <c r="AI832">
        <v>0</v>
      </c>
      <c r="AJ832">
        <v>0</v>
      </c>
      <c r="AK832">
        <v>32.42</v>
      </c>
      <c r="AL832">
        <v>0</v>
      </c>
      <c r="AM832">
        <v>0</v>
      </c>
      <c r="AN832">
        <v>0</v>
      </c>
      <c r="AO832">
        <v>0</v>
      </c>
      <c r="AP832">
        <v>0</v>
      </c>
      <c r="AQ832">
        <v>0</v>
      </c>
      <c r="AR832">
        <v>0</v>
      </c>
      <c r="AS832">
        <v>0</v>
      </c>
      <c r="AT832">
        <v>0</v>
      </c>
      <c r="AU832">
        <v>0</v>
      </c>
      <c r="AV832">
        <v>0</v>
      </c>
      <c r="AW832">
        <v>0</v>
      </c>
      <c r="AX832">
        <v>0</v>
      </c>
      <c r="AY832">
        <v>0</v>
      </c>
      <c r="AZ832">
        <v>0</v>
      </c>
      <c r="BA832">
        <v>0</v>
      </c>
      <c r="BB832">
        <v>0</v>
      </c>
      <c r="BC832">
        <v>0</v>
      </c>
      <c r="BD832">
        <v>0</v>
      </c>
      <c r="BE832">
        <v>0</v>
      </c>
      <c r="BF832">
        <v>0</v>
      </c>
      <c r="BG832">
        <v>0</v>
      </c>
      <c r="BH832">
        <v>1</v>
      </c>
      <c r="BI832">
        <v>5.8</v>
      </c>
      <c r="BJ832">
        <v>6.2</v>
      </c>
      <c r="BK832">
        <v>7</v>
      </c>
      <c r="BL832">
        <v>121.87</v>
      </c>
      <c r="BM832">
        <v>18.28</v>
      </c>
      <c r="BN832">
        <v>140.15</v>
      </c>
      <c r="BO832">
        <v>140.15</v>
      </c>
      <c r="BQ832" t="s">
        <v>1528</v>
      </c>
      <c r="BR832" t="s">
        <v>2057</v>
      </c>
      <c r="BS832" s="3">
        <v>44599</v>
      </c>
      <c r="BT832" s="4">
        <v>0.45763888888888887</v>
      </c>
      <c r="BU832" t="s">
        <v>2017</v>
      </c>
      <c r="BV832" t="s">
        <v>101</v>
      </c>
      <c r="BY832">
        <v>31235.4</v>
      </c>
      <c r="BZ832" t="s">
        <v>137</v>
      </c>
      <c r="CA832" t="s">
        <v>317</v>
      </c>
      <c r="CC832" t="s">
        <v>124</v>
      </c>
      <c r="CD832">
        <v>6001</v>
      </c>
      <c r="CE832" t="s">
        <v>130</v>
      </c>
      <c r="CF832" s="3">
        <v>44599</v>
      </c>
      <c r="CI832">
        <v>2</v>
      </c>
      <c r="CJ832">
        <v>1</v>
      </c>
      <c r="CK832">
        <v>41</v>
      </c>
      <c r="CL832" t="s">
        <v>84</v>
      </c>
    </row>
    <row r="833" spans="1:90" x14ac:dyDescent="0.25">
      <c r="A833" t="s">
        <v>1897</v>
      </c>
      <c r="B833" t="s">
        <v>1898</v>
      </c>
      <c r="C833" t="s">
        <v>74</v>
      </c>
      <c r="E833" t="str">
        <f>"009940648392"</f>
        <v>009940648392</v>
      </c>
      <c r="F833" s="3">
        <v>44596</v>
      </c>
      <c r="G833">
        <v>202208</v>
      </c>
      <c r="H833" t="s">
        <v>75</v>
      </c>
      <c r="I833" t="s">
        <v>76</v>
      </c>
      <c r="J833" t="s">
        <v>1886</v>
      </c>
      <c r="K833" t="s">
        <v>78</v>
      </c>
      <c r="L833" t="s">
        <v>147</v>
      </c>
      <c r="M833" t="s">
        <v>148</v>
      </c>
      <c r="N833" t="s">
        <v>2058</v>
      </c>
      <c r="O833" t="s">
        <v>125</v>
      </c>
      <c r="P833" t="str">
        <f t="shared" si="16"/>
        <v xml:space="preserve">                              </v>
      </c>
      <c r="Q833">
        <v>0</v>
      </c>
      <c r="R833">
        <v>0</v>
      </c>
      <c r="S833">
        <v>0</v>
      </c>
      <c r="T833">
        <v>0</v>
      </c>
      <c r="U833">
        <v>0</v>
      </c>
      <c r="V833">
        <v>0</v>
      </c>
      <c r="W833">
        <v>0</v>
      </c>
      <c r="X833">
        <v>0</v>
      </c>
      <c r="Y833">
        <v>0</v>
      </c>
      <c r="Z833">
        <v>0</v>
      </c>
      <c r="AA833">
        <v>0</v>
      </c>
      <c r="AB833">
        <v>0</v>
      </c>
      <c r="AC833">
        <v>0</v>
      </c>
      <c r="AD833">
        <v>0</v>
      </c>
      <c r="AE833">
        <v>0</v>
      </c>
      <c r="AF833">
        <v>0</v>
      </c>
      <c r="AG833">
        <v>0</v>
      </c>
      <c r="AH833">
        <v>0</v>
      </c>
      <c r="AI833">
        <v>0</v>
      </c>
      <c r="AJ833">
        <v>0</v>
      </c>
      <c r="AK833">
        <v>45.72</v>
      </c>
      <c r="AL833">
        <v>0</v>
      </c>
      <c r="AM833">
        <v>0</v>
      </c>
      <c r="AN833">
        <v>0</v>
      </c>
      <c r="AO833">
        <v>0</v>
      </c>
      <c r="AP833">
        <v>0</v>
      </c>
      <c r="AQ833">
        <v>0</v>
      </c>
      <c r="AR833">
        <v>0</v>
      </c>
      <c r="AS833">
        <v>0</v>
      </c>
      <c r="AT833">
        <v>0</v>
      </c>
      <c r="AU833">
        <v>0</v>
      </c>
      <c r="AV833">
        <v>0</v>
      </c>
      <c r="AW833">
        <v>0</v>
      </c>
      <c r="AX833">
        <v>0</v>
      </c>
      <c r="AY833">
        <v>0</v>
      </c>
      <c r="AZ833">
        <v>0</v>
      </c>
      <c r="BA833">
        <v>0</v>
      </c>
      <c r="BB833">
        <v>0</v>
      </c>
      <c r="BC833">
        <v>0</v>
      </c>
      <c r="BD833">
        <v>0</v>
      </c>
      <c r="BE833">
        <v>0</v>
      </c>
      <c r="BF833">
        <v>0</v>
      </c>
      <c r="BG833">
        <v>0</v>
      </c>
      <c r="BH833">
        <v>2</v>
      </c>
      <c r="BI833">
        <v>8</v>
      </c>
      <c r="BJ833">
        <v>10</v>
      </c>
      <c r="BK833">
        <v>10</v>
      </c>
      <c r="BL833">
        <v>169.72</v>
      </c>
      <c r="BM833">
        <v>25.46</v>
      </c>
      <c r="BN833">
        <v>195.18</v>
      </c>
      <c r="BO833">
        <v>195.18</v>
      </c>
      <c r="BQ833" t="s">
        <v>2059</v>
      </c>
      <c r="BR833" t="s">
        <v>2057</v>
      </c>
      <c r="BS833" s="3">
        <v>44599</v>
      </c>
      <c r="BT833" s="4">
        <v>0.53611111111111109</v>
      </c>
      <c r="BU833" t="s">
        <v>2060</v>
      </c>
      <c r="BV833" t="s">
        <v>101</v>
      </c>
      <c r="BY833">
        <v>49956.75</v>
      </c>
      <c r="BZ833" t="s">
        <v>137</v>
      </c>
      <c r="CC833" t="s">
        <v>148</v>
      </c>
      <c r="CD833">
        <v>6500</v>
      </c>
      <c r="CE833" t="s">
        <v>130</v>
      </c>
      <c r="CF833" s="3">
        <v>44600</v>
      </c>
      <c r="CI833">
        <v>1</v>
      </c>
      <c r="CJ833">
        <v>1</v>
      </c>
      <c r="CK833">
        <v>43</v>
      </c>
      <c r="CL833" t="s">
        <v>84</v>
      </c>
    </row>
    <row r="834" spans="1:90" x14ac:dyDescent="0.25">
      <c r="A834" t="s">
        <v>1897</v>
      </c>
      <c r="B834" t="s">
        <v>1898</v>
      </c>
      <c r="C834" t="s">
        <v>74</v>
      </c>
      <c r="E834" t="str">
        <f>"009941705973"</f>
        <v>009941705973</v>
      </c>
      <c r="F834" s="3">
        <v>44596</v>
      </c>
      <c r="G834">
        <v>202208</v>
      </c>
      <c r="H834" t="s">
        <v>153</v>
      </c>
      <c r="I834" t="s">
        <v>154</v>
      </c>
      <c r="J834" t="s">
        <v>2061</v>
      </c>
      <c r="K834" t="s">
        <v>78</v>
      </c>
      <c r="L834" t="s">
        <v>123</v>
      </c>
      <c r="M834" t="s">
        <v>124</v>
      </c>
      <c r="N834" t="s">
        <v>1964</v>
      </c>
      <c r="O834" t="s">
        <v>125</v>
      </c>
      <c r="P834" t="str">
        <f t="shared" si="16"/>
        <v xml:space="preserve">                              </v>
      </c>
      <c r="Q834">
        <v>0</v>
      </c>
      <c r="R834">
        <v>0</v>
      </c>
      <c r="S834">
        <v>0</v>
      </c>
      <c r="T834">
        <v>0</v>
      </c>
      <c r="U834">
        <v>0</v>
      </c>
      <c r="V834">
        <v>0</v>
      </c>
      <c r="W834">
        <v>0</v>
      </c>
      <c r="X834">
        <v>0</v>
      </c>
      <c r="Y834">
        <v>15</v>
      </c>
      <c r="Z834">
        <v>0</v>
      </c>
      <c r="AA834">
        <v>0</v>
      </c>
      <c r="AB834">
        <v>0</v>
      </c>
      <c r="AC834">
        <v>0</v>
      </c>
      <c r="AD834">
        <v>0</v>
      </c>
      <c r="AE834">
        <v>0</v>
      </c>
      <c r="AF834">
        <v>0</v>
      </c>
      <c r="AG834">
        <v>0</v>
      </c>
      <c r="AH834">
        <v>0</v>
      </c>
      <c r="AI834">
        <v>0</v>
      </c>
      <c r="AJ834">
        <v>0</v>
      </c>
      <c r="AK834">
        <v>32.42</v>
      </c>
      <c r="AL834">
        <v>0</v>
      </c>
      <c r="AM834">
        <v>0</v>
      </c>
      <c r="AN834">
        <v>0</v>
      </c>
      <c r="AO834">
        <v>0</v>
      </c>
      <c r="AP834">
        <v>0</v>
      </c>
      <c r="AQ834">
        <v>0</v>
      </c>
      <c r="AR834">
        <v>0</v>
      </c>
      <c r="AS834">
        <v>0</v>
      </c>
      <c r="AT834">
        <v>0</v>
      </c>
      <c r="AU834">
        <v>0</v>
      </c>
      <c r="AV834">
        <v>0</v>
      </c>
      <c r="AW834">
        <v>0</v>
      </c>
      <c r="AX834">
        <v>0</v>
      </c>
      <c r="AY834">
        <v>0</v>
      </c>
      <c r="AZ834">
        <v>0</v>
      </c>
      <c r="BA834">
        <v>0</v>
      </c>
      <c r="BB834">
        <v>0</v>
      </c>
      <c r="BC834">
        <v>0</v>
      </c>
      <c r="BD834">
        <v>0</v>
      </c>
      <c r="BE834">
        <v>0</v>
      </c>
      <c r="BF834">
        <v>0</v>
      </c>
      <c r="BG834">
        <v>0</v>
      </c>
      <c r="BH834">
        <v>1</v>
      </c>
      <c r="BI834">
        <v>0.2</v>
      </c>
      <c r="BJ834">
        <v>1.5</v>
      </c>
      <c r="BK834">
        <v>2</v>
      </c>
      <c r="BL834">
        <v>136.87</v>
      </c>
      <c r="BM834">
        <v>20.53</v>
      </c>
      <c r="BN834">
        <v>157.4</v>
      </c>
      <c r="BO834">
        <v>157.4</v>
      </c>
      <c r="BQ834" t="s">
        <v>1528</v>
      </c>
      <c r="BR834" t="s">
        <v>1500</v>
      </c>
      <c r="BS834" s="3">
        <v>44599</v>
      </c>
      <c r="BT834" s="4">
        <v>0.45763888888888887</v>
      </c>
      <c r="BU834" t="s">
        <v>2017</v>
      </c>
      <c r="BV834" t="s">
        <v>101</v>
      </c>
      <c r="BY834">
        <v>7651.35</v>
      </c>
      <c r="BZ834" t="s">
        <v>545</v>
      </c>
      <c r="CA834" t="s">
        <v>317</v>
      </c>
      <c r="CC834" t="s">
        <v>124</v>
      </c>
      <c r="CD834">
        <v>6000</v>
      </c>
      <c r="CE834" t="s">
        <v>130</v>
      </c>
      <c r="CF834" s="3">
        <v>44599</v>
      </c>
      <c r="CI834">
        <v>2</v>
      </c>
      <c r="CJ834">
        <v>1</v>
      </c>
      <c r="CK834">
        <v>41</v>
      </c>
      <c r="CL834" t="s">
        <v>84</v>
      </c>
    </row>
    <row r="835" spans="1:90" x14ac:dyDescent="0.25">
      <c r="A835" t="s">
        <v>1897</v>
      </c>
      <c r="B835" t="s">
        <v>1898</v>
      </c>
      <c r="C835" t="s">
        <v>74</v>
      </c>
      <c r="E835" t="str">
        <f>"009941705970"</f>
        <v>009941705970</v>
      </c>
      <c r="F835" s="3">
        <v>44596</v>
      </c>
      <c r="G835">
        <v>202208</v>
      </c>
      <c r="H835" t="s">
        <v>153</v>
      </c>
      <c r="I835" t="s">
        <v>154</v>
      </c>
      <c r="J835" t="s">
        <v>1964</v>
      </c>
      <c r="K835" t="s">
        <v>78</v>
      </c>
      <c r="L835" t="s">
        <v>75</v>
      </c>
      <c r="M835" t="s">
        <v>76</v>
      </c>
      <c r="N835" t="s">
        <v>1964</v>
      </c>
      <c r="O835" t="s">
        <v>125</v>
      </c>
      <c r="P835" t="str">
        <f t="shared" si="16"/>
        <v xml:space="preserve">                              </v>
      </c>
      <c r="Q835">
        <v>0</v>
      </c>
      <c r="R835">
        <v>0</v>
      </c>
      <c r="S835">
        <v>0</v>
      </c>
      <c r="T835">
        <v>0</v>
      </c>
      <c r="U835">
        <v>0</v>
      </c>
      <c r="V835">
        <v>0</v>
      </c>
      <c r="W835">
        <v>0</v>
      </c>
      <c r="X835">
        <v>0</v>
      </c>
      <c r="Y835">
        <v>15</v>
      </c>
      <c r="Z835">
        <v>0</v>
      </c>
      <c r="AA835">
        <v>0</v>
      </c>
      <c r="AB835">
        <v>0</v>
      </c>
      <c r="AC835">
        <v>0</v>
      </c>
      <c r="AD835">
        <v>0</v>
      </c>
      <c r="AE835">
        <v>0</v>
      </c>
      <c r="AF835">
        <v>0</v>
      </c>
      <c r="AG835">
        <v>0</v>
      </c>
      <c r="AH835">
        <v>0</v>
      </c>
      <c r="AI835">
        <v>0</v>
      </c>
      <c r="AJ835">
        <v>0</v>
      </c>
      <c r="AK835">
        <v>32.42</v>
      </c>
      <c r="AL835">
        <v>0</v>
      </c>
      <c r="AM835">
        <v>0</v>
      </c>
      <c r="AN835">
        <v>0</v>
      </c>
      <c r="AO835">
        <v>0</v>
      </c>
      <c r="AP835">
        <v>0</v>
      </c>
      <c r="AQ835">
        <v>0</v>
      </c>
      <c r="AR835">
        <v>0</v>
      </c>
      <c r="AS835">
        <v>0</v>
      </c>
      <c r="AT835">
        <v>0</v>
      </c>
      <c r="AU835">
        <v>0</v>
      </c>
      <c r="AV835">
        <v>0</v>
      </c>
      <c r="AW835">
        <v>0</v>
      </c>
      <c r="AX835">
        <v>0</v>
      </c>
      <c r="AY835">
        <v>0</v>
      </c>
      <c r="AZ835">
        <v>0</v>
      </c>
      <c r="BA835">
        <v>0</v>
      </c>
      <c r="BB835">
        <v>0</v>
      </c>
      <c r="BC835">
        <v>0</v>
      </c>
      <c r="BD835">
        <v>0</v>
      </c>
      <c r="BE835">
        <v>0</v>
      </c>
      <c r="BF835">
        <v>0</v>
      </c>
      <c r="BG835">
        <v>0</v>
      </c>
      <c r="BH835">
        <v>1</v>
      </c>
      <c r="BI835">
        <v>2.6</v>
      </c>
      <c r="BJ835">
        <v>4.0999999999999996</v>
      </c>
      <c r="BK835">
        <v>5</v>
      </c>
      <c r="BL835">
        <v>136.87</v>
      </c>
      <c r="BM835">
        <v>20.53</v>
      </c>
      <c r="BN835">
        <v>157.4</v>
      </c>
      <c r="BO835">
        <v>157.4</v>
      </c>
      <c r="BQ835" t="s">
        <v>2062</v>
      </c>
      <c r="BR835" t="s">
        <v>1500</v>
      </c>
      <c r="BS835" s="3">
        <v>44600</v>
      </c>
      <c r="BT835" s="4">
        <v>0.41666666666666669</v>
      </c>
      <c r="BU835" t="s">
        <v>1335</v>
      </c>
      <c r="BV835" t="s">
        <v>101</v>
      </c>
      <c r="BY835">
        <v>20433.78</v>
      </c>
      <c r="BZ835" t="s">
        <v>545</v>
      </c>
      <c r="CC835" t="s">
        <v>76</v>
      </c>
      <c r="CD835">
        <v>7800</v>
      </c>
      <c r="CE835" t="s">
        <v>130</v>
      </c>
      <c r="CF835" s="3">
        <v>44601</v>
      </c>
      <c r="CI835">
        <v>2</v>
      </c>
      <c r="CJ835">
        <v>2</v>
      </c>
      <c r="CK835">
        <v>41</v>
      </c>
      <c r="CL835" t="s">
        <v>84</v>
      </c>
    </row>
    <row r="836" spans="1:90" x14ac:dyDescent="0.25">
      <c r="A836" t="s">
        <v>1897</v>
      </c>
      <c r="B836" t="s">
        <v>1898</v>
      </c>
      <c r="C836" t="s">
        <v>74</v>
      </c>
      <c r="E836" t="str">
        <f>"009941705969"</f>
        <v>009941705969</v>
      </c>
      <c r="F836" s="3">
        <v>44596</v>
      </c>
      <c r="G836">
        <v>202208</v>
      </c>
      <c r="H836" t="s">
        <v>153</v>
      </c>
      <c r="I836" t="s">
        <v>154</v>
      </c>
      <c r="J836" t="s">
        <v>1964</v>
      </c>
      <c r="K836" t="s">
        <v>78</v>
      </c>
      <c r="L836" t="s">
        <v>761</v>
      </c>
      <c r="M836" t="s">
        <v>762</v>
      </c>
      <c r="N836" t="s">
        <v>2063</v>
      </c>
      <c r="O836" t="s">
        <v>125</v>
      </c>
      <c r="P836" t="str">
        <f t="shared" si="16"/>
        <v xml:space="preserve">                              </v>
      </c>
      <c r="Q836">
        <v>0</v>
      </c>
      <c r="R836">
        <v>0</v>
      </c>
      <c r="S836">
        <v>0</v>
      </c>
      <c r="T836">
        <v>0</v>
      </c>
      <c r="U836">
        <v>0</v>
      </c>
      <c r="V836">
        <v>0</v>
      </c>
      <c r="W836">
        <v>0</v>
      </c>
      <c r="X836">
        <v>0</v>
      </c>
      <c r="Y836">
        <v>15</v>
      </c>
      <c r="Z836">
        <v>0</v>
      </c>
      <c r="AA836">
        <v>0</v>
      </c>
      <c r="AB836">
        <v>0</v>
      </c>
      <c r="AC836">
        <v>0</v>
      </c>
      <c r="AD836">
        <v>0</v>
      </c>
      <c r="AE836">
        <v>0</v>
      </c>
      <c r="AF836">
        <v>0</v>
      </c>
      <c r="AG836">
        <v>0</v>
      </c>
      <c r="AH836">
        <v>0</v>
      </c>
      <c r="AI836">
        <v>0</v>
      </c>
      <c r="AJ836">
        <v>0</v>
      </c>
      <c r="AK836">
        <v>32.42</v>
      </c>
      <c r="AL836">
        <v>0</v>
      </c>
      <c r="AM836">
        <v>0</v>
      </c>
      <c r="AN836">
        <v>0</v>
      </c>
      <c r="AO836">
        <v>0</v>
      </c>
      <c r="AP836">
        <v>0</v>
      </c>
      <c r="AQ836">
        <v>0</v>
      </c>
      <c r="AR836">
        <v>0</v>
      </c>
      <c r="AS836">
        <v>0</v>
      </c>
      <c r="AT836">
        <v>0</v>
      </c>
      <c r="AU836">
        <v>0</v>
      </c>
      <c r="AV836">
        <v>0</v>
      </c>
      <c r="AW836">
        <v>0</v>
      </c>
      <c r="AX836">
        <v>0</v>
      </c>
      <c r="AY836">
        <v>0</v>
      </c>
      <c r="AZ836">
        <v>0</v>
      </c>
      <c r="BA836">
        <v>0</v>
      </c>
      <c r="BB836">
        <v>0</v>
      </c>
      <c r="BC836">
        <v>0</v>
      </c>
      <c r="BD836">
        <v>0</v>
      </c>
      <c r="BE836">
        <v>0</v>
      </c>
      <c r="BF836">
        <v>0</v>
      </c>
      <c r="BG836">
        <v>0</v>
      </c>
      <c r="BH836">
        <v>1</v>
      </c>
      <c r="BI836">
        <v>0.9</v>
      </c>
      <c r="BJ836">
        <v>4.2</v>
      </c>
      <c r="BK836">
        <v>5</v>
      </c>
      <c r="BL836">
        <v>136.87</v>
      </c>
      <c r="BM836">
        <v>20.53</v>
      </c>
      <c r="BN836">
        <v>157.4</v>
      </c>
      <c r="BO836">
        <v>157.4</v>
      </c>
      <c r="BQ836" t="s">
        <v>2064</v>
      </c>
      <c r="BR836" t="s">
        <v>1500</v>
      </c>
      <c r="BS836" s="3">
        <v>44599</v>
      </c>
      <c r="BT836" s="4">
        <v>0.57430555555555551</v>
      </c>
      <c r="BU836" t="s">
        <v>2065</v>
      </c>
      <c r="BV836" t="s">
        <v>101</v>
      </c>
      <c r="BY836">
        <v>21081.46</v>
      </c>
      <c r="BZ836" t="s">
        <v>545</v>
      </c>
      <c r="CA836" t="s">
        <v>1134</v>
      </c>
      <c r="CC836" t="s">
        <v>762</v>
      </c>
      <c r="CD836">
        <v>9321</v>
      </c>
      <c r="CE836" t="s">
        <v>130</v>
      </c>
      <c r="CF836" s="3">
        <v>44600</v>
      </c>
      <c r="CI836">
        <v>1</v>
      </c>
      <c r="CJ836">
        <v>1</v>
      </c>
      <c r="CK836">
        <v>41</v>
      </c>
      <c r="CL836" t="s">
        <v>84</v>
      </c>
    </row>
    <row r="837" spans="1:90" x14ac:dyDescent="0.25">
      <c r="A837" t="s">
        <v>1897</v>
      </c>
      <c r="B837" t="s">
        <v>1898</v>
      </c>
      <c r="C837" t="s">
        <v>74</v>
      </c>
      <c r="E837" t="str">
        <f>"009941705972"</f>
        <v>009941705972</v>
      </c>
      <c r="F837" s="3">
        <v>44596</v>
      </c>
      <c r="G837">
        <v>202208</v>
      </c>
      <c r="H837" t="s">
        <v>153</v>
      </c>
      <c r="I837" t="s">
        <v>154</v>
      </c>
      <c r="J837" t="s">
        <v>2061</v>
      </c>
      <c r="K837" t="s">
        <v>78</v>
      </c>
      <c r="L837" t="s">
        <v>131</v>
      </c>
      <c r="M837" t="s">
        <v>132</v>
      </c>
      <c r="N837" t="s">
        <v>1964</v>
      </c>
      <c r="O837" t="s">
        <v>125</v>
      </c>
      <c r="P837" t="str">
        <f t="shared" si="16"/>
        <v xml:space="preserve">                              </v>
      </c>
      <c r="Q837">
        <v>0</v>
      </c>
      <c r="R837">
        <v>0</v>
      </c>
      <c r="S837">
        <v>0</v>
      </c>
      <c r="T837">
        <v>0</v>
      </c>
      <c r="U837">
        <v>0</v>
      </c>
      <c r="V837">
        <v>0</v>
      </c>
      <c r="W837">
        <v>0</v>
      </c>
      <c r="X837">
        <v>0</v>
      </c>
      <c r="Y837">
        <v>15</v>
      </c>
      <c r="Z837">
        <v>0</v>
      </c>
      <c r="AA837">
        <v>0</v>
      </c>
      <c r="AB837">
        <v>0</v>
      </c>
      <c r="AC837">
        <v>0</v>
      </c>
      <c r="AD837">
        <v>0</v>
      </c>
      <c r="AE837">
        <v>0</v>
      </c>
      <c r="AF837">
        <v>0</v>
      </c>
      <c r="AG837">
        <v>0</v>
      </c>
      <c r="AH837">
        <v>0</v>
      </c>
      <c r="AI837">
        <v>0</v>
      </c>
      <c r="AJ837">
        <v>0</v>
      </c>
      <c r="AK837">
        <v>32.42</v>
      </c>
      <c r="AL837">
        <v>0</v>
      </c>
      <c r="AM837">
        <v>0</v>
      </c>
      <c r="AN837">
        <v>0</v>
      </c>
      <c r="AO837">
        <v>0</v>
      </c>
      <c r="AP837">
        <v>0</v>
      </c>
      <c r="AQ837">
        <v>0</v>
      </c>
      <c r="AR837">
        <v>0</v>
      </c>
      <c r="AS837">
        <v>0</v>
      </c>
      <c r="AT837">
        <v>0</v>
      </c>
      <c r="AU837">
        <v>0</v>
      </c>
      <c r="AV837">
        <v>0</v>
      </c>
      <c r="AW837">
        <v>0</v>
      </c>
      <c r="AX837">
        <v>0</v>
      </c>
      <c r="AY837">
        <v>0</v>
      </c>
      <c r="AZ837">
        <v>0</v>
      </c>
      <c r="BA837">
        <v>0</v>
      </c>
      <c r="BB837">
        <v>0</v>
      </c>
      <c r="BC837">
        <v>0</v>
      </c>
      <c r="BD837">
        <v>0</v>
      </c>
      <c r="BE837">
        <v>0</v>
      </c>
      <c r="BF837">
        <v>0</v>
      </c>
      <c r="BG837">
        <v>0</v>
      </c>
      <c r="BH837">
        <v>1</v>
      </c>
      <c r="BI837">
        <v>2.6</v>
      </c>
      <c r="BJ837">
        <v>4</v>
      </c>
      <c r="BK837">
        <v>4</v>
      </c>
      <c r="BL837">
        <v>136.87</v>
      </c>
      <c r="BM837">
        <v>20.53</v>
      </c>
      <c r="BN837">
        <v>157.4</v>
      </c>
      <c r="BO837">
        <v>157.4</v>
      </c>
      <c r="BQ837" t="s">
        <v>2066</v>
      </c>
      <c r="BR837" t="s">
        <v>1500</v>
      </c>
      <c r="BS837" s="3">
        <v>44599</v>
      </c>
      <c r="BT837" s="4">
        <v>0.36736111111111108</v>
      </c>
      <c r="BU837" t="s">
        <v>2067</v>
      </c>
      <c r="BV837" t="s">
        <v>101</v>
      </c>
      <c r="BY837">
        <v>20171.009999999998</v>
      </c>
      <c r="BZ837" t="s">
        <v>545</v>
      </c>
      <c r="CA837" t="s">
        <v>2068</v>
      </c>
      <c r="CC837" t="s">
        <v>132</v>
      </c>
      <c r="CD837">
        <v>4000</v>
      </c>
      <c r="CE837" t="s">
        <v>130</v>
      </c>
      <c r="CF837" s="3">
        <v>44600</v>
      </c>
      <c r="CI837">
        <v>1</v>
      </c>
      <c r="CJ837">
        <v>1</v>
      </c>
      <c r="CK837">
        <v>41</v>
      </c>
      <c r="CL837" t="s">
        <v>84</v>
      </c>
    </row>
    <row r="838" spans="1:90" x14ac:dyDescent="0.25">
      <c r="A838" t="s">
        <v>1897</v>
      </c>
      <c r="B838" t="s">
        <v>1898</v>
      </c>
      <c r="C838" t="s">
        <v>74</v>
      </c>
      <c r="E838" t="str">
        <f>"009941963771"</f>
        <v>009941963771</v>
      </c>
      <c r="F838" s="3">
        <v>44599</v>
      </c>
      <c r="G838">
        <v>202208</v>
      </c>
      <c r="H838" t="s">
        <v>346</v>
      </c>
      <c r="I838" t="s">
        <v>346</v>
      </c>
      <c r="J838" t="s">
        <v>2069</v>
      </c>
      <c r="K838" t="s">
        <v>78</v>
      </c>
      <c r="L838" t="s">
        <v>1988</v>
      </c>
      <c r="M838" t="s">
        <v>1989</v>
      </c>
      <c r="N838" t="s">
        <v>2070</v>
      </c>
      <c r="O838" t="s">
        <v>80</v>
      </c>
      <c r="P838" t="str">
        <f>"CPT0212470197                 "</f>
        <v xml:space="preserve">CPT0212470197                 </v>
      </c>
      <c r="Q838">
        <v>0</v>
      </c>
      <c r="R838">
        <v>0</v>
      </c>
      <c r="S838">
        <v>0</v>
      </c>
      <c r="T838">
        <v>0</v>
      </c>
      <c r="U838">
        <v>0</v>
      </c>
      <c r="V838">
        <v>0</v>
      </c>
      <c r="W838">
        <v>0</v>
      </c>
      <c r="X838">
        <v>0</v>
      </c>
      <c r="Y838">
        <v>0</v>
      </c>
      <c r="Z838">
        <v>0</v>
      </c>
      <c r="AA838">
        <v>0</v>
      </c>
      <c r="AB838">
        <v>0</v>
      </c>
      <c r="AC838">
        <v>0</v>
      </c>
      <c r="AD838">
        <v>0</v>
      </c>
      <c r="AE838">
        <v>0</v>
      </c>
      <c r="AF838">
        <v>0</v>
      </c>
      <c r="AG838">
        <v>0</v>
      </c>
      <c r="AH838">
        <v>0</v>
      </c>
      <c r="AI838">
        <v>0</v>
      </c>
      <c r="AJ838">
        <v>0</v>
      </c>
      <c r="AK838">
        <v>201.17</v>
      </c>
      <c r="AL838">
        <v>0</v>
      </c>
      <c r="AM838">
        <v>0</v>
      </c>
      <c r="AN838">
        <v>0</v>
      </c>
      <c r="AO838">
        <v>0</v>
      </c>
      <c r="AP838">
        <v>0</v>
      </c>
      <c r="AQ838">
        <v>0</v>
      </c>
      <c r="AR838">
        <v>0</v>
      </c>
      <c r="AS838">
        <v>0</v>
      </c>
      <c r="AT838">
        <v>0</v>
      </c>
      <c r="AU838">
        <v>0</v>
      </c>
      <c r="AV838">
        <v>0</v>
      </c>
      <c r="AW838">
        <v>0</v>
      </c>
      <c r="AX838">
        <v>0</v>
      </c>
      <c r="AY838">
        <v>0</v>
      </c>
      <c r="AZ838">
        <v>0</v>
      </c>
      <c r="BA838">
        <v>0</v>
      </c>
      <c r="BB838">
        <v>0</v>
      </c>
      <c r="BC838">
        <v>0</v>
      </c>
      <c r="BD838">
        <v>0</v>
      </c>
      <c r="BE838">
        <v>0</v>
      </c>
      <c r="BF838">
        <v>0</v>
      </c>
      <c r="BG838">
        <v>0</v>
      </c>
      <c r="BH838">
        <v>1</v>
      </c>
      <c r="BI838">
        <v>5.0999999999999996</v>
      </c>
      <c r="BJ838">
        <v>13.4</v>
      </c>
      <c r="BK838">
        <v>13.5</v>
      </c>
      <c r="BL838">
        <v>723.68</v>
      </c>
      <c r="BM838">
        <v>108.55</v>
      </c>
      <c r="BN838">
        <v>832.23</v>
      </c>
      <c r="BO838">
        <v>832.23</v>
      </c>
      <c r="BQ838" t="s">
        <v>1992</v>
      </c>
      <c r="BR838" t="s">
        <v>2071</v>
      </c>
      <c r="BS838" s="3">
        <v>44600</v>
      </c>
      <c r="BT838" s="4">
        <v>0.42083333333333334</v>
      </c>
      <c r="BU838" t="s">
        <v>1992</v>
      </c>
      <c r="BV838" t="s">
        <v>101</v>
      </c>
      <c r="BY838">
        <v>66957.8</v>
      </c>
      <c r="BZ838" t="s">
        <v>87</v>
      </c>
      <c r="CA838" t="s">
        <v>924</v>
      </c>
      <c r="CC838" t="s">
        <v>1989</v>
      </c>
      <c r="CD838">
        <v>2980</v>
      </c>
      <c r="CE838" t="s">
        <v>130</v>
      </c>
      <c r="CF838" s="3">
        <v>44601</v>
      </c>
      <c r="CI838">
        <v>1</v>
      </c>
      <c r="CJ838">
        <v>1</v>
      </c>
      <c r="CK838">
        <v>23</v>
      </c>
      <c r="CL838" t="s">
        <v>84</v>
      </c>
    </row>
    <row r="839" spans="1:90" x14ac:dyDescent="0.25">
      <c r="A839" t="s">
        <v>1987</v>
      </c>
      <c r="B839" t="s">
        <v>1898</v>
      </c>
      <c r="C839" t="s">
        <v>74</v>
      </c>
      <c r="E839" t="str">
        <f>"009940842026"</f>
        <v>009940842026</v>
      </c>
      <c r="F839" s="3">
        <v>44599</v>
      </c>
      <c r="G839">
        <v>202208</v>
      </c>
      <c r="H839" t="s">
        <v>496</v>
      </c>
      <c r="I839" t="s">
        <v>497</v>
      </c>
      <c r="J839" t="s">
        <v>2072</v>
      </c>
      <c r="K839" t="s">
        <v>78</v>
      </c>
      <c r="L839" t="s">
        <v>123</v>
      </c>
      <c r="M839" t="s">
        <v>124</v>
      </c>
      <c r="N839" t="s">
        <v>1954</v>
      </c>
      <c r="O839" t="s">
        <v>80</v>
      </c>
      <c r="P839" t="str">
        <f>"                              "</f>
        <v xml:space="preserve">                              </v>
      </c>
      <c r="Q839">
        <v>0</v>
      </c>
      <c r="R839">
        <v>0</v>
      </c>
      <c r="S839">
        <v>0</v>
      </c>
      <c r="T839">
        <v>0</v>
      </c>
      <c r="U839">
        <v>0</v>
      </c>
      <c r="V839">
        <v>0</v>
      </c>
      <c r="W839">
        <v>0</v>
      </c>
      <c r="X839">
        <v>0</v>
      </c>
      <c r="Y839">
        <v>0</v>
      </c>
      <c r="Z839">
        <v>0</v>
      </c>
      <c r="AA839">
        <v>0</v>
      </c>
      <c r="AB839">
        <v>0</v>
      </c>
      <c r="AC839">
        <v>0</v>
      </c>
      <c r="AD839">
        <v>0</v>
      </c>
      <c r="AE839">
        <v>0</v>
      </c>
      <c r="AF839">
        <v>0</v>
      </c>
      <c r="AG839">
        <v>0</v>
      </c>
      <c r="AH839">
        <v>0</v>
      </c>
      <c r="AI839">
        <v>0</v>
      </c>
      <c r="AJ839">
        <v>0</v>
      </c>
      <c r="AK839">
        <v>16.760000000000002</v>
      </c>
      <c r="AL839">
        <v>0</v>
      </c>
      <c r="AM839">
        <v>0</v>
      </c>
      <c r="AN839">
        <v>0</v>
      </c>
      <c r="AO839">
        <v>0</v>
      </c>
      <c r="AP839">
        <v>0</v>
      </c>
      <c r="AQ839">
        <v>0</v>
      </c>
      <c r="AR839">
        <v>0</v>
      </c>
      <c r="AS839">
        <v>0</v>
      </c>
      <c r="AT839">
        <v>0</v>
      </c>
      <c r="AU839">
        <v>0</v>
      </c>
      <c r="AV839">
        <v>0</v>
      </c>
      <c r="AW839">
        <v>0</v>
      </c>
      <c r="AX839">
        <v>0</v>
      </c>
      <c r="AY839">
        <v>0</v>
      </c>
      <c r="AZ839">
        <v>0</v>
      </c>
      <c r="BA839">
        <v>0</v>
      </c>
      <c r="BB839">
        <v>0</v>
      </c>
      <c r="BC839">
        <v>0</v>
      </c>
      <c r="BD839">
        <v>0</v>
      </c>
      <c r="BE839">
        <v>0</v>
      </c>
      <c r="BF839">
        <v>0</v>
      </c>
      <c r="BG839">
        <v>0</v>
      </c>
      <c r="BH839">
        <v>1</v>
      </c>
      <c r="BI839">
        <v>1</v>
      </c>
      <c r="BJ839">
        <v>0.2</v>
      </c>
      <c r="BK839">
        <v>1</v>
      </c>
      <c r="BL839">
        <v>60.3</v>
      </c>
      <c r="BM839">
        <v>9.0500000000000007</v>
      </c>
      <c r="BN839">
        <v>69.349999999999994</v>
      </c>
      <c r="BO839">
        <v>69.349999999999994</v>
      </c>
      <c r="BQ839" t="s">
        <v>2073</v>
      </c>
      <c r="BR839" t="s">
        <v>2074</v>
      </c>
      <c r="BS839" s="3">
        <v>44600</v>
      </c>
      <c r="BT839" s="4">
        <v>0.38472222222222219</v>
      </c>
      <c r="BU839" t="s">
        <v>2055</v>
      </c>
      <c r="BV839" t="s">
        <v>101</v>
      </c>
      <c r="BY839">
        <v>1200</v>
      </c>
      <c r="BZ839" t="s">
        <v>87</v>
      </c>
      <c r="CA839" t="s">
        <v>1445</v>
      </c>
      <c r="CC839" t="s">
        <v>124</v>
      </c>
      <c r="CD839">
        <v>6045</v>
      </c>
      <c r="CE839" t="s">
        <v>130</v>
      </c>
      <c r="CF839" s="3">
        <v>44600</v>
      </c>
      <c r="CI839">
        <v>1</v>
      </c>
      <c r="CJ839">
        <v>1</v>
      </c>
      <c r="CK839">
        <v>21</v>
      </c>
      <c r="CL839" t="s">
        <v>84</v>
      </c>
    </row>
    <row r="840" spans="1:90" x14ac:dyDescent="0.25">
      <c r="A840" t="s">
        <v>1897</v>
      </c>
      <c r="B840" t="s">
        <v>1898</v>
      </c>
      <c r="C840" t="s">
        <v>74</v>
      </c>
      <c r="E840" t="str">
        <f>"009939921487"</f>
        <v>009939921487</v>
      </c>
      <c r="F840" s="3">
        <v>44596</v>
      </c>
      <c r="G840">
        <v>202208</v>
      </c>
      <c r="H840" t="s">
        <v>761</v>
      </c>
      <c r="I840" t="s">
        <v>762</v>
      </c>
      <c r="J840" t="s">
        <v>2075</v>
      </c>
      <c r="K840" t="s">
        <v>78</v>
      </c>
      <c r="L840" t="s">
        <v>165</v>
      </c>
      <c r="M840" t="s">
        <v>166</v>
      </c>
      <c r="N840" t="s">
        <v>2076</v>
      </c>
      <c r="O840" t="s">
        <v>125</v>
      </c>
      <c r="P840" t="str">
        <f>"                              "</f>
        <v xml:space="preserve">                              </v>
      </c>
      <c r="Q840">
        <v>0</v>
      </c>
      <c r="R840">
        <v>0</v>
      </c>
      <c r="S840">
        <v>0</v>
      </c>
      <c r="T840">
        <v>0</v>
      </c>
      <c r="U840">
        <v>0</v>
      </c>
      <c r="V840">
        <v>0</v>
      </c>
      <c r="W840">
        <v>0</v>
      </c>
      <c r="X840">
        <v>0</v>
      </c>
      <c r="Y840">
        <v>0</v>
      </c>
      <c r="Z840">
        <v>0</v>
      </c>
      <c r="AA840">
        <v>0</v>
      </c>
      <c r="AB840">
        <v>0</v>
      </c>
      <c r="AC840">
        <v>0</v>
      </c>
      <c r="AD840">
        <v>0</v>
      </c>
      <c r="AE840">
        <v>0</v>
      </c>
      <c r="AF840">
        <v>0</v>
      </c>
      <c r="AG840">
        <v>0</v>
      </c>
      <c r="AH840">
        <v>0</v>
      </c>
      <c r="AI840">
        <v>0</v>
      </c>
      <c r="AJ840">
        <v>0</v>
      </c>
      <c r="AK840">
        <v>32.42</v>
      </c>
      <c r="AL840">
        <v>0</v>
      </c>
      <c r="AM840">
        <v>0</v>
      </c>
      <c r="AN840">
        <v>0</v>
      </c>
      <c r="AO840">
        <v>0</v>
      </c>
      <c r="AP840">
        <v>0</v>
      </c>
      <c r="AQ840">
        <v>0</v>
      </c>
      <c r="AR840">
        <v>0</v>
      </c>
      <c r="AS840">
        <v>0</v>
      </c>
      <c r="AT840">
        <v>0</v>
      </c>
      <c r="AU840">
        <v>0</v>
      </c>
      <c r="AV840">
        <v>0</v>
      </c>
      <c r="AW840">
        <v>0</v>
      </c>
      <c r="AX840">
        <v>0</v>
      </c>
      <c r="AY840">
        <v>0</v>
      </c>
      <c r="AZ840">
        <v>0</v>
      </c>
      <c r="BA840">
        <v>0</v>
      </c>
      <c r="BB840">
        <v>0</v>
      </c>
      <c r="BC840">
        <v>0</v>
      </c>
      <c r="BD840">
        <v>0</v>
      </c>
      <c r="BE840">
        <v>0</v>
      </c>
      <c r="BF840">
        <v>0</v>
      </c>
      <c r="BG840">
        <v>0</v>
      </c>
      <c r="BH840">
        <v>1</v>
      </c>
      <c r="BI840">
        <v>1</v>
      </c>
      <c r="BJ840">
        <v>0.2</v>
      </c>
      <c r="BK840">
        <v>1</v>
      </c>
      <c r="BL840">
        <v>121.87</v>
      </c>
      <c r="BM840">
        <v>18.28</v>
      </c>
      <c r="BN840">
        <v>140.15</v>
      </c>
      <c r="BO840">
        <v>140.15</v>
      </c>
      <c r="BQ840" t="s">
        <v>2077</v>
      </c>
      <c r="BS840" s="3">
        <v>44599</v>
      </c>
      <c r="BT840" s="4">
        <v>0.4375</v>
      </c>
      <c r="BU840" t="s">
        <v>2030</v>
      </c>
      <c r="BV840" t="s">
        <v>101</v>
      </c>
      <c r="BY840">
        <v>1200</v>
      </c>
      <c r="BZ840" t="s">
        <v>137</v>
      </c>
      <c r="CA840" t="s">
        <v>2031</v>
      </c>
      <c r="CC840" t="s">
        <v>166</v>
      </c>
      <c r="CD840">
        <v>140</v>
      </c>
      <c r="CE840" t="s">
        <v>130</v>
      </c>
      <c r="CF840" s="3">
        <v>44599</v>
      </c>
      <c r="CI840">
        <v>1</v>
      </c>
      <c r="CJ840">
        <v>1</v>
      </c>
      <c r="CK840">
        <v>41</v>
      </c>
      <c r="CL840" t="s">
        <v>84</v>
      </c>
    </row>
    <row r="841" spans="1:90" x14ac:dyDescent="0.25">
      <c r="A841" t="s">
        <v>1897</v>
      </c>
      <c r="B841" t="s">
        <v>1898</v>
      </c>
      <c r="C841" t="s">
        <v>74</v>
      </c>
      <c r="E841" t="str">
        <f>"009940648393"</f>
        <v>009940648393</v>
      </c>
      <c r="F841" s="3">
        <v>44600</v>
      </c>
      <c r="G841">
        <v>202208</v>
      </c>
      <c r="H841" t="s">
        <v>75</v>
      </c>
      <c r="I841" t="s">
        <v>76</v>
      </c>
      <c r="J841" t="s">
        <v>1886</v>
      </c>
      <c r="K841" t="s">
        <v>78</v>
      </c>
      <c r="L841" t="s">
        <v>165</v>
      </c>
      <c r="M841" t="s">
        <v>166</v>
      </c>
      <c r="N841" t="s">
        <v>2078</v>
      </c>
      <c r="O841" t="s">
        <v>125</v>
      </c>
      <c r="P841" t="str">
        <f>"MT CAPE TOWN                  "</f>
        <v xml:space="preserve">MT CAPE TOWN                  </v>
      </c>
      <c r="Q841">
        <v>0</v>
      </c>
      <c r="R841">
        <v>0</v>
      </c>
      <c r="S841">
        <v>0</v>
      </c>
      <c r="T841">
        <v>0</v>
      </c>
      <c r="U841">
        <v>0</v>
      </c>
      <c r="V841">
        <v>0</v>
      </c>
      <c r="W841">
        <v>0</v>
      </c>
      <c r="X841">
        <v>0</v>
      </c>
      <c r="Y841">
        <v>0</v>
      </c>
      <c r="Z841">
        <v>0</v>
      </c>
      <c r="AA841">
        <v>0</v>
      </c>
      <c r="AB841">
        <v>0</v>
      </c>
      <c r="AC841">
        <v>0</v>
      </c>
      <c r="AD841">
        <v>0</v>
      </c>
      <c r="AE841">
        <v>0</v>
      </c>
      <c r="AF841">
        <v>0</v>
      </c>
      <c r="AG841">
        <v>0</v>
      </c>
      <c r="AH841">
        <v>0</v>
      </c>
      <c r="AI841">
        <v>0</v>
      </c>
      <c r="AJ841">
        <v>0</v>
      </c>
      <c r="AK841">
        <v>83.18</v>
      </c>
      <c r="AL841">
        <v>0</v>
      </c>
      <c r="AM841">
        <v>0</v>
      </c>
      <c r="AN841">
        <v>0</v>
      </c>
      <c r="AO841">
        <v>0</v>
      </c>
      <c r="AP841">
        <v>0</v>
      </c>
      <c r="AQ841">
        <v>0</v>
      </c>
      <c r="AR841">
        <v>0</v>
      </c>
      <c r="AS841">
        <v>0</v>
      </c>
      <c r="AT841">
        <v>0</v>
      </c>
      <c r="AU841">
        <v>0</v>
      </c>
      <c r="AV841">
        <v>0</v>
      </c>
      <c r="AW841">
        <v>0</v>
      </c>
      <c r="AX841">
        <v>0</v>
      </c>
      <c r="AY841">
        <v>0</v>
      </c>
      <c r="AZ841">
        <v>0</v>
      </c>
      <c r="BA841">
        <v>0</v>
      </c>
      <c r="BB841">
        <v>0</v>
      </c>
      <c r="BC841">
        <v>0</v>
      </c>
      <c r="BD841">
        <v>0</v>
      </c>
      <c r="BE841">
        <v>0</v>
      </c>
      <c r="BF841">
        <v>0</v>
      </c>
      <c r="BG841">
        <v>0</v>
      </c>
      <c r="BH841">
        <v>2</v>
      </c>
      <c r="BI841">
        <v>46.9</v>
      </c>
      <c r="BJ841">
        <v>52.4</v>
      </c>
      <c r="BK841">
        <v>53</v>
      </c>
      <c r="BL841">
        <v>304.49</v>
      </c>
      <c r="BM841">
        <v>45.67</v>
      </c>
      <c r="BN841">
        <v>350.16</v>
      </c>
      <c r="BO841">
        <v>350.16</v>
      </c>
      <c r="BQ841" t="s">
        <v>2079</v>
      </c>
      <c r="BR841" t="s">
        <v>1899</v>
      </c>
      <c r="BS841" s="3">
        <v>44602</v>
      </c>
      <c r="BT841" s="4">
        <v>0.39861111111111108</v>
      </c>
      <c r="BU841" t="s">
        <v>2080</v>
      </c>
      <c r="BV841" t="s">
        <v>101</v>
      </c>
      <c r="BY841">
        <v>262021.67</v>
      </c>
      <c r="BZ841" t="s">
        <v>137</v>
      </c>
      <c r="CA841" t="s">
        <v>638</v>
      </c>
      <c r="CC841" t="s">
        <v>166</v>
      </c>
      <c r="CD841">
        <v>1</v>
      </c>
      <c r="CE841" t="s">
        <v>130</v>
      </c>
      <c r="CF841" s="3">
        <v>44602</v>
      </c>
      <c r="CI841">
        <v>2</v>
      </c>
      <c r="CJ841">
        <v>2</v>
      </c>
      <c r="CK841">
        <v>41</v>
      </c>
      <c r="CL841" t="s">
        <v>84</v>
      </c>
    </row>
    <row r="842" spans="1:90" x14ac:dyDescent="0.25">
      <c r="A842" t="s">
        <v>1897</v>
      </c>
      <c r="B842" t="s">
        <v>1898</v>
      </c>
      <c r="C842" t="s">
        <v>74</v>
      </c>
      <c r="E842" t="str">
        <f>"009942449670"</f>
        <v>009942449670</v>
      </c>
      <c r="F842" s="3">
        <v>44600</v>
      </c>
      <c r="G842">
        <v>202208</v>
      </c>
      <c r="H842" t="s">
        <v>447</v>
      </c>
      <c r="I842" t="s">
        <v>448</v>
      </c>
      <c r="J842" t="s">
        <v>1886</v>
      </c>
      <c r="K842" t="s">
        <v>78</v>
      </c>
      <c r="L842" t="s">
        <v>75</v>
      </c>
      <c r="M842" t="s">
        <v>76</v>
      </c>
      <c r="N842" t="s">
        <v>2081</v>
      </c>
      <c r="O842" t="s">
        <v>80</v>
      </c>
      <c r="P842" t="str">
        <f>"NA                            "</f>
        <v xml:space="preserve">NA                            </v>
      </c>
      <c r="Q842">
        <v>0</v>
      </c>
      <c r="R842">
        <v>0</v>
      </c>
      <c r="S842">
        <v>0</v>
      </c>
      <c r="T842">
        <v>0</v>
      </c>
      <c r="U842">
        <v>0</v>
      </c>
      <c r="V842">
        <v>0</v>
      </c>
      <c r="W842">
        <v>0</v>
      </c>
      <c r="X842">
        <v>0</v>
      </c>
      <c r="Y842">
        <v>0</v>
      </c>
      <c r="Z842">
        <v>0</v>
      </c>
      <c r="AA842">
        <v>0</v>
      </c>
      <c r="AB842">
        <v>0</v>
      </c>
      <c r="AC842">
        <v>0</v>
      </c>
      <c r="AD842">
        <v>0</v>
      </c>
      <c r="AE842">
        <v>0</v>
      </c>
      <c r="AF842">
        <v>0</v>
      </c>
      <c r="AG842">
        <v>0</v>
      </c>
      <c r="AH842">
        <v>0</v>
      </c>
      <c r="AI842">
        <v>0</v>
      </c>
      <c r="AJ842">
        <v>0</v>
      </c>
      <c r="AK842">
        <v>16.760000000000002</v>
      </c>
      <c r="AL842">
        <v>0</v>
      </c>
      <c r="AM842">
        <v>0</v>
      </c>
      <c r="AN842">
        <v>0</v>
      </c>
      <c r="AO842">
        <v>0</v>
      </c>
      <c r="AP842">
        <v>0</v>
      </c>
      <c r="AQ842">
        <v>0</v>
      </c>
      <c r="AR842">
        <v>0</v>
      </c>
      <c r="AS842">
        <v>0</v>
      </c>
      <c r="AT842">
        <v>0</v>
      </c>
      <c r="AU842">
        <v>0</v>
      </c>
      <c r="AV842">
        <v>0</v>
      </c>
      <c r="AW842">
        <v>0</v>
      </c>
      <c r="AX842">
        <v>0</v>
      </c>
      <c r="AY842">
        <v>0</v>
      </c>
      <c r="AZ842">
        <v>0</v>
      </c>
      <c r="BA842">
        <v>0</v>
      </c>
      <c r="BB842">
        <v>0</v>
      </c>
      <c r="BC842">
        <v>0</v>
      </c>
      <c r="BD842">
        <v>0</v>
      </c>
      <c r="BE842">
        <v>0</v>
      </c>
      <c r="BF842">
        <v>0</v>
      </c>
      <c r="BG842">
        <v>0</v>
      </c>
      <c r="BH842">
        <v>1</v>
      </c>
      <c r="BI842">
        <v>1</v>
      </c>
      <c r="BJ842">
        <v>0.2</v>
      </c>
      <c r="BK842">
        <v>1</v>
      </c>
      <c r="BL842">
        <v>60.3</v>
      </c>
      <c r="BM842">
        <v>9.0500000000000007</v>
      </c>
      <c r="BN842">
        <v>69.349999999999994</v>
      </c>
      <c r="BO842">
        <v>69.349999999999994</v>
      </c>
      <c r="BQ842" t="s">
        <v>2082</v>
      </c>
      <c r="BR842" t="s">
        <v>2083</v>
      </c>
      <c r="BS842" s="3">
        <v>44613</v>
      </c>
      <c r="BT842" s="4">
        <v>0.71875</v>
      </c>
      <c r="BU842" t="s">
        <v>2084</v>
      </c>
      <c r="BV842" t="s">
        <v>84</v>
      </c>
      <c r="BW842" t="s">
        <v>85</v>
      </c>
      <c r="BX842" t="s">
        <v>86</v>
      </c>
      <c r="BY842">
        <v>1200</v>
      </c>
      <c r="BZ842" t="s">
        <v>87</v>
      </c>
      <c r="CA842" t="s">
        <v>2085</v>
      </c>
      <c r="CC842" t="s">
        <v>76</v>
      </c>
      <c r="CD842">
        <v>8001</v>
      </c>
      <c r="CE842" t="s">
        <v>130</v>
      </c>
      <c r="CF842" s="3">
        <v>44614</v>
      </c>
      <c r="CI842">
        <v>1</v>
      </c>
      <c r="CJ842">
        <v>9</v>
      </c>
      <c r="CK842">
        <v>21</v>
      </c>
      <c r="CL842" t="s">
        <v>84</v>
      </c>
    </row>
    <row r="843" spans="1:90" x14ac:dyDescent="0.25">
      <c r="A843" t="s">
        <v>1897</v>
      </c>
      <c r="B843" t="s">
        <v>1898</v>
      </c>
      <c r="C843" t="s">
        <v>74</v>
      </c>
      <c r="E843" t="str">
        <f>"009942476456"</f>
        <v>009942476456</v>
      </c>
      <c r="F843" s="3">
        <v>44600</v>
      </c>
      <c r="G843">
        <v>202208</v>
      </c>
      <c r="H843" t="s">
        <v>75</v>
      </c>
      <c r="I843" t="s">
        <v>76</v>
      </c>
      <c r="J843" t="s">
        <v>1886</v>
      </c>
      <c r="K843" t="s">
        <v>78</v>
      </c>
      <c r="L843" t="s">
        <v>649</v>
      </c>
      <c r="M843" t="s">
        <v>650</v>
      </c>
      <c r="N843" t="s">
        <v>2086</v>
      </c>
      <c r="O843" t="s">
        <v>125</v>
      </c>
      <c r="P843" t="str">
        <f>"MT CAPE TOWN                  "</f>
        <v xml:space="preserve">MT CAPE TOWN                  </v>
      </c>
      <c r="Q843">
        <v>0</v>
      </c>
      <c r="R843">
        <v>0</v>
      </c>
      <c r="S843">
        <v>0</v>
      </c>
      <c r="T843">
        <v>0</v>
      </c>
      <c r="U843">
        <v>0</v>
      </c>
      <c r="V843">
        <v>0</v>
      </c>
      <c r="W843">
        <v>0</v>
      </c>
      <c r="X843">
        <v>0</v>
      </c>
      <c r="Y843">
        <v>0</v>
      </c>
      <c r="Z843">
        <v>0</v>
      </c>
      <c r="AA843">
        <v>0</v>
      </c>
      <c r="AB843">
        <v>0</v>
      </c>
      <c r="AC843">
        <v>0</v>
      </c>
      <c r="AD843">
        <v>0</v>
      </c>
      <c r="AE843">
        <v>0</v>
      </c>
      <c r="AF843">
        <v>0</v>
      </c>
      <c r="AG843">
        <v>0</v>
      </c>
      <c r="AH843">
        <v>0</v>
      </c>
      <c r="AI843">
        <v>0</v>
      </c>
      <c r="AJ843">
        <v>0</v>
      </c>
      <c r="AK843">
        <v>32.42</v>
      </c>
      <c r="AL843">
        <v>0</v>
      </c>
      <c r="AM843">
        <v>0</v>
      </c>
      <c r="AN843">
        <v>0</v>
      </c>
      <c r="AO843">
        <v>0</v>
      </c>
      <c r="AP843">
        <v>0</v>
      </c>
      <c r="AQ843">
        <v>0</v>
      </c>
      <c r="AR843">
        <v>0</v>
      </c>
      <c r="AS843">
        <v>0</v>
      </c>
      <c r="AT843">
        <v>0</v>
      </c>
      <c r="AU843">
        <v>0</v>
      </c>
      <c r="AV843">
        <v>0</v>
      </c>
      <c r="AW843">
        <v>0</v>
      </c>
      <c r="AX843">
        <v>0</v>
      </c>
      <c r="AY843">
        <v>0</v>
      </c>
      <c r="AZ843">
        <v>0</v>
      </c>
      <c r="BA843">
        <v>0</v>
      </c>
      <c r="BB843">
        <v>0</v>
      </c>
      <c r="BC843">
        <v>0</v>
      </c>
      <c r="BD843">
        <v>0</v>
      </c>
      <c r="BE843">
        <v>0</v>
      </c>
      <c r="BF843">
        <v>0</v>
      </c>
      <c r="BG843">
        <v>0</v>
      </c>
      <c r="BH843">
        <v>1</v>
      </c>
      <c r="BI843">
        <v>8.9</v>
      </c>
      <c r="BJ843">
        <v>11.1</v>
      </c>
      <c r="BK843">
        <v>12</v>
      </c>
      <c r="BL843">
        <v>121.87</v>
      </c>
      <c r="BM843">
        <v>18.28</v>
      </c>
      <c r="BN843">
        <v>140.15</v>
      </c>
      <c r="BO843">
        <v>140.15</v>
      </c>
      <c r="BQ843" t="s">
        <v>2087</v>
      </c>
      <c r="BR843" t="s">
        <v>1899</v>
      </c>
      <c r="BS843" s="3">
        <v>44602</v>
      </c>
      <c r="BT843" s="4">
        <v>0.62013888888888891</v>
      </c>
      <c r="BU843" t="s">
        <v>2088</v>
      </c>
      <c r="BV843" t="s">
        <v>101</v>
      </c>
      <c r="BY843">
        <v>55468</v>
      </c>
      <c r="BZ843" t="s">
        <v>137</v>
      </c>
      <c r="CA843" t="s">
        <v>2089</v>
      </c>
      <c r="CC843" t="s">
        <v>650</v>
      </c>
      <c r="CD843">
        <v>5213</v>
      </c>
      <c r="CE843" t="s">
        <v>130</v>
      </c>
      <c r="CF843" s="3">
        <v>44602</v>
      </c>
      <c r="CI843">
        <v>2</v>
      </c>
      <c r="CJ843">
        <v>2</v>
      </c>
      <c r="CK843">
        <v>41</v>
      </c>
      <c r="CL843" t="s">
        <v>84</v>
      </c>
    </row>
    <row r="844" spans="1:90" x14ac:dyDescent="0.25">
      <c r="A844" t="s">
        <v>1987</v>
      </c>
      <c r="B844" t="s">
        <v>1898</v>
      </c>
      <c r="C844" t="s">
        <v>74</v>
      </c>
      <c r="E844" t="str">
        <f>"009938634415"</f>
        <v>009938634415</v>
      </c>
      <c r="F844" s="3">
        <v>44600</v>
      </c>
      <c r="G844">
        <v>202208</v>
      </c>
      <c r="H844" t="s">
        <v>165</v>
      </c>
      <c r="I844" t="s">
        <v>166</v>
      </c>
      <c r="J844" t="s">
        <v>1954</v>
      </c>
      <c r="K844" t="s">
        <v>78</v>
      </c>
      <c r="L844" t="s">
        <v>75</v>
      </c>
      <c r="M844" t="s">
        <v>76</v>
      </c>
      <c r="N844" t="s">
        <v>1724</v>
      </c>
      <c r="O844" t="s">
        <v>80</v>
      </c>
      <c r="P844" t="str">
        <f>"NO REF                        "</f>
        <v xml:space="preserve">NO REF                        </v>
      </c>
      <c r="Q844">
        <v>0</v>
      </c>
      <c r="R844">
        <v>0</v>
      </c>
      <c r="S844">
        <v>0</v>
      </c>
      <c r="T844">
        <v>0</v>
      </c>
      <c r="U844">
        <v>0</v>
      </c>
      <c r="V844">
        <v>0</v>
      </c>
      <c r="W844">
        <v>0</v>
      </c>
      <c r="X844">
        <v>0</v>
      </c>
      <c r="Y844">
        <v>0</v>
      </c>
      <c r="Z844">
        <v>0</v>
      </c>
      <c r="AA844">
        <v>0</v>
      </c>
      <c r="AB844">
        <v>0</v>
      </c>
      <c r="AC844">
        <v>0</v>
      </c>
      <c r="AD844">
        <v>0</v>
      </c>
      <c r="AE844">
        <v>0</v>
      </c>
      <c r="AF844">
        <v>0</v>
      </c>
      <c r="AG844">
        <v>0</v>
      </c>
      <c r="AH844">
        <v>0</v>
      </c>
      <c r="AI844">
        <v>0</v>
      </c>
      <c r="AJ844">
        <v>0</v>
      </c>
      <c r="AK844">
        <v>444.02</v>
      </c>
      <c r="AL844">
        <v>0</v>
      </c>
      <c r="AM844">
        <v>0</v>
      </c>
      <c r="AN844">
        <v>0</v>
      </c>
      <c r="AO844">
        <v>0</v>
      </c>
      <c r="AP844">
        <v>0</v>
      </c>
      <c r="AQ844">
        <v>0</v>
      </c>
      <c r="AR844">
        <v>0</v>
      </c>
      <c r="AS844">
        <v>0</v>
      </c>
      <c r="AT844">
        <v>0</v>
      </c>
      <c r="AU844">
        <v>0</v>
      </c>
      <c r="AV844">
        <v>0</v>
      </c>
      <c r="AW844">
        <v>0</v>
      </c>
      <c r="AX844">
        <v>0</v>
      </c>
      <c r="AY844">
        <v>0</v>
      </c>
      <c r="AZ844">
        <v>0</v>
      </c>
      <c r="BA844">
        <v>0</v>
      </c>
      <c r="BB844">
        <v>0</v>
      </c>
      <c r="BC844">
        <v>0</v>
      </c>
      <c r="BD844">
        <v>0</v>
      </c>
      <c r="BE844">
        <v>0</v>
      </c>
      <c r="BF844">
        <v>0</v>
      </c>
      <c r="BG844">
        <v>0</v>
      </c>
      <c r="BH844">
        <v>3</v>
      </c>
      <c r="BI844">
        <v>32</v>
      </c>
      <c r="BJ844">
        <v>52.6</v>
      </c>
      <c r="BK844">
        <v>53</v>
      </c>
      <c r="BL844">
        <v>1597.32</v>
      </c>
      <c r="BM844">
        <v>239.6</v>
      </c>
      <c r="BN844">
        <v>1836.92</v>
      </c>
      <c r="BO844">
        <v>1836.92</v>
      </c>
      <c r="BQ844" t="s">
        <v>2090</v>
      </c>
      <c r="BR844" t="s">
        <v>2091</v>
      </c>
      <c r="BS844" s="3">
        <v>44601</v>
      </c>
      <c r="BT844" s="4">
        <v>0.47430555555555554</v>
      </c>
      <c r="BU844" t="s">
        <v>2092</v>
      </c>
      <c r="BV844" t="s">
        <v>84</v>
      </c>
      <c r="BW844" t="s">
        <v>85</v>
      </c>
      <c r="BX844" t="s">
        <v>233</v>
      </c>
      <c r="BY844">
        <v>263197.44</v>
      </c>
      <c r="BZ844" t="s">
        <v>87</v>
      </c>
      <c r="CA844" t="s">
        <v>274</v>
      </c>
      <c r="CC844" t="s">
        <v>76</v>
      </c>
      <c r="CD844">
        <v>7480</v>
      </c>
      <c r="CE844" t="s">
        <v>130</v>
      </c>
      <c r="CF844" s="3">
        <v>44602</v>
      </c>
      <c r="CI844">
        <v>1</v>
      </c>
      <c r="CJ844">
        <v>1</v>
      </c>
      <c r="CK844">
        <v>21</v>
      </c>
      <c r="CL844" t="s">
        <v>84</v>
      </c>
    </row>
    <row r="845" spans="1:90" x14ac:dyDescent="0.25">
      <c r="A845" t="s">
        <v>1987</v>
      </c>
      <c r="B845" t="s">
        <v>1898</v>
      </c>
      <c r="C845" t="s">
        <v>74</v>
      </c>
      <c r="E845" t="str">
        <f>"009938634404"</f>
        <v>009938634404</v>
      </c>
      <c r="F845" s="3">
        <v>44600</v>
      </c>
      <c r="G845">
        <v>202208</v>
      </c>
      <c r="H845" t="s">
        <v>165</v>
      </c>
      <c r="I845" t="s">
        <v>166</v>
      </c>
      <c r="J845" t="s">
        <v>1954</v>
      </c>
      <c r="K845" t="s">
        <v>78</v>
      </c>
      <c r="L845" t="s">
        <v>401</v>
      </c>
      <c r="M845" t="s">
        <v>402</v>
      </c>
      <c r="N845" t="s">
        <v>1724</v>
      </c>
      <c r="O845" t="s">
        <v>80</v>
      </c>
      <c r="P845" t="str">
        <f>"NO REF                        "</f>
        <v xml:space="preserve">NO REF                        </v>
      </c>
      <c r="Q845">
        <v>0</v>
      </c>
      <c r="R845">
        <v>0</v>
      </c>
      <c r="S845">
        <v>0</v>
      </c>
      <c r="T845">
        <v>0</v>
      </c>
      <c r="U845">
        <v>0</v>
      </c>
      <c r="V845">
        <v>0</v>
      </c>
      <c r="W845">
        <v>0</v>
      </c>
      <c r="X845">
        <v>0</v>
      </c>
      <c r="Y845">
        <v>0</v>
      </c>
      <c r="Z845">
        <v>0</v>
      </c>
      <c r="AA845">
        <v>0</v>
      </c>
      <c r="AB845">
        <v>0</v>
      </c>
      <c r="AC845">
        <v>0</v>
      </c>
      <c r="AD845">
        <v>0</v>
      </c>
      <c r="AE845">
        <v>0</v>
      </c>
      <c r="AF845">
        <v>0</v>
      </c>
      <c r="AG845">
        <v>0</v>
      </c>
      <c r="AH845">
        <v>0</v>
      </c>
      <c r="AI845">
        <v>0</v>
      </c>
      <c r="AJ845">
        <v>0</v>
      </c>
      <c r="AK845">
        <v>16.760000000000002</v>
      </c>
      <c r="AL845">
        <v>0</v>
      </c>
      <c r="AM845">
        <v>0</v>
      </c>
      <c r="AN845">
        <v>0</v>
      </c>
      <c r="AO845">
        <v>0</v>
      </c>
      <c r="AP845">
        <v>0</v>
      </c>
      <c r="AQ845">
        <v>15</v>
      </c>
      <c r="AR845">
        <v>0</v>
      </c>
      <c r="AS845">
        <v>0</v>
      </c>
      <c r="AT845">
        <v>0</v>
      </c>
      <c r="AU845">
        <v>0</v>
      </c>
      <c r="AV845">
        <v>0</v>
      </c>
      <c r="AW845">
        <v>0</v>
      </c>
      <c r="AX845">
        <v>0</v>
      </c>
      <c r="AY845">
        <v>0</v>
      </c>
      <c r="AZ845">
        <v>0</v>
      </c>
      <c r="BA845">
        <v>0</v>
      </c>
      <c r="BB845">
        <v>0</v>
      </c>
      <c r="BC845">
        <v>0</v>
      </c>
      <c r="BD845">
        <v>0</v>
      </c>
      <c r="BE845">
        <v>0</v>
      </c>
      <c r="BF845">
        <v>0</v>
      </c>
      <c r="BG845">
        <v>0</v>
      </c>
      <c r="BH845">
        <v>1</v>
      </c>
      <c r="BI845">
        <v>2</v>
      </c>
      <c r="BJ845">
        <v>1.2</v>
      </c>
      <c r="BK845">
        <v>2</v>
      </c>
      <c r="BL845">
        <v>75.3</v>
      </c>
      <c r="BM845">
        <v>11.3</v>
      </c>
      <c r="BN845">
        <v>86.6</v>
      </c>
      <c r="BO845">
        <v>86.6</v>
      </c>
      <c r="BP845" t="s">
        <v>2093</v>
      </c>
      <c r="BQ845" t="s">
        <v>315</v>
      </c>
      <c r="BR845" t="s">
        <v>2091</v>
      </c>
      <c r="BS845" s="3">
        <v>44601</v>
      </c>
      <c r="BT845" s="4">
        <v>0.45902777777777781</v>
      </c>
      <c r="BU845" t="s">
        <v>2094</v>
      </c>
      <c r="BV845" t="s">
        <v>101</v>
      </c>
      <c r="BY845">
        <v>6000</v>
      </c>
      <c r="BZ845" t="s">
        <v>121</v>
      </c>
      <c r="CC845" t="s">
        <v>402</v>
      </c>
      <c r="CD845">
        <v>742</v>
      </c>
      <c r="CE845" t="s">
        <v>130</v>
      </c>
      <c r="CF845" s="3">
        <v>44601</v>
      </c>
      <c r="CI845">
        <v>1</v>
      </c>
      <c r="CJ845">
        <v>1</v>
      </c>
      <c r="CK845">
        <v>21</v>
      </c>
      <c r="CL845" t="s">
        <v>84</v>
      </c>
    </row>
    <row r="846" spans="1:90" x14ac:dyDescent="0.25">
      <c r="A846" t="s">
        <v>1897</v>
      </c>
      <c r="B846" t="s">
        <v>1898</v>
      </c>
      <c r="C846" t="s">
        <v>74</v>
      </c>
      <c r="E846" t="str">
        <f>"009941475345"</f>
        <v>009941475345</v>
      </c>
      <c r="F846" s="3">
        <v>44601</v>
      </c>
      <c r="G846">
        <v>202208</v>
      </c>
      <c r="H846" t="s">
        <v>649</v>
      </c>
      <c r="I846" t="s">
        <v>650</v>
      </c>
      <c r="J846" t="s">
        <v>2095</v>
      </c>
      <c r="K846" t="s">
        <v>78</v>
      </c>
      <c r="L846" t="s">
        <v>123</v>
      </c>
      <c r="M846" t="s">
        <v>124</v>
      </c>
      <c r="N846" t="s">
        <v>2096</v>
      </c>
      <c r="O846" t="s">
        <v>80</v>
      </c>
      <c r="P846" t="str">
        <f>"                              "</f>
        <v xml:space="preserve">                              </v>
      </c>
      <c r="Q846">
        <v>0</v>
      </c>
      <c r="R846">
        <v>0</v>
      </c>
      <c r="S846">
        <v>0</v>
      </c>
      <c r="T846">
        <v>0</v>
      </c>
      <c r="U846">
        <v>0</v>
      </c>
      <c r="V846">
        <v>0</v>
      </c>
      <c r="W846">
        <v>0</v>
      </c>
      <c r="X846">
        <v>0</v>
      </c>
      <c r="Y846">
        <v>0</v>
      </c>
      <c r="Z846">
        <v>0</v>
      </c>
      <c r="AA846">
        <v>0</v>
      </c>
      <c r="AB846">
        <v>0</v>
      </c>
      <c r="AC846">
        <v>0</v>
      </c>
      <c r="AD846">
        <v>0</v>
      </c>
      <c r="AE846">
        <v>0</v>
      </c>
      <c r="AF846">
        <v>0</v>
      </c>
      <c r="AG846">
        <v>0</v>
      </c>
      <c r="AH846">
        <v>0</v>
      </c>
      <c r="AI846">
        <v>0</v>
      </c>
      <c r="AJ846">
        <v>0</v>
      </c>
      <c r="AK846">
        <v>16.760000000000002</v>
      </c>
      <c r="AL846">
        <v>0</v>
      </c>
      <c r="AM846">
        <v>0</v>
      </c>
      <c r="AN846">
        <v>0</v>
      </c>
      <c r="AO846">
        <v>0</v>
      </c>
      <c r="AP846">
        <v>0</v>
      </c>
      <c r="AQ846">
        <v>0</v>
      </c>
      <c r="AR846">
        <v>0</v>
      </c>
      <c r="AS846">
        <v>0</v>
      </c>
      <c r="AT846">
        <v>0</v>
      </c>
      <c r="AU846">
        <v>0</v>
      </c>
      <c r="AV846">
        <v>0</v>
      </c>
      <c r="AW846">
        <v>0</v>
      </c>
      <c r="AX846">
        <v>0</v>
      </c>
      <c r="AY846">
        <v>0</v>
      </c>
      <c r="AZ846">
        <v>0</v>
      </c>
      <c r="BA846">
        <v>0</v>
      </c>
      <c r="BB846">
        <v>0</v>
      </c>
      <c r="BC846">
        <v>0</v>
      </c>
      <c r="BD846">
        <v>0</v>
      </c>
      <c r="BE846">
        <v>0</v>
      </c>
      <c r="BF846">
        <v>0</v>
      </c>
      <c r="BG846">
        <v>0</v>
      </c>
      <c r="BH846">
        <v>1</v>
      </c>
      <c r="BI846">
        <v>1</v>
      </c>
      <c r="BJ846">
        <v>0.4</v>
      </c>
      <c r="BK846">
        <v>1</v>
      </c>
      <c r="BL846">
        <v>60.3</v>
      </c>
      <c r="BM846">
        <v>9.0500000000000007</v>
      </c>
      <c r="BN846">
        <v>69.349999999999994</v>
      </c>
      <c r="BO846">
        <v>69.349999999999994</v>
      </c>
      <c r="BR846" t="s">
        <v>2097</v>
      </c>
      <c r="BS846" s="3">
        <v>44602</v>
      </c>
      <c r="BT846" s="4">
        <v>0.3430555555555555</v>
      </c>
      <c r="BU846" t="s">
        <v>2055</v>
      </c>
      <c r="BV846" t="s">
        <v>101</v>
      </c>
      <c r="BY846">
        <v>1786</v>
      </c>
      <c r="BZ846" t="s">
        <v>87</v>
      </c>
      <c r="CA846" t="s">
        <v>1445</v>
      </c>
      <c r="CC846" t="s">
        <v>124</v>
      </c>
      <c r="CD846">
        <v>6000</v>
      </c>
      <c r="CE846" t="s">
        <v>130</v>
      </c>
      <c r="CF846" s="3">
        <v>44602</v>
      </c>
      <c r="CI846">
        <v>1</v>
      </c>
      <c r="CJ846">
        <v>1</v>
      </c>
      <c r="CK846">
        <v>21</v>
      </c>
      <c r="CL846" t="s">
        <v>84</v>
      </c>
    </row>
    <row r="847" spans="1:90" x14ac:dyDescent="0.25">
      <c r="A847" t="s">
        <v>1897</v>
      </c>
      <c r="B847" t="s">
        <v>1898</v>
      </c>
      <c r="C847" t="s">
        <v>74</v>
      </c>
      <c r="E847" t="str">
        <f>"009942476476"</f>
        <v>009942476476</v>
      </c>
      <c r="F847" s="3">
        <v>44602</v>
      </c>
      <c r="G847">
        <v>202208</v>
      </c>
      <c r="H847" t="s">
        <v>75</v>
      </c>
      <c r="I847" t="s">
        <v>76</v>
      </c>
      <c r="J847" t="s">
        <v>1886</v>
      </c>
      <c r="K847" t="s">
        <v>78</v>
      </c>
      <c r="L847" t="s">
        <v>131</v>
      </c>
      <c r="M847" t="s">
        <v>132</v>
      </c>
      <c r="N847" t="s">
        <v>2098</v>
      </c>
      <c r="O847" t="s">
        <v>80</v>
      </c>
      <c r="P847" t="str">
        <f>"NA                            "</f>
        <v xml:space="preserve">NA                            </v>
      </c>
      <c r="Q847">
        <v>0</v>
      </c>
      <c r="R847">
        <v>0</v>
      </c>
      <c r="S847">
        <v>0</v>
      </c>
      <c r="T847">
        <v>0</v>
      </c>
      <c r="U847">
        <v>0</v>
      </c>
      <c r="V847">
        <v>0</v>
      </c>
      <c r="W847">
        <v>0</v>
      </c>
      <c r="X847">
        <v>0</v>
      </c>
      <c r="Y847">
        <v>0</v>
      </c>
      <c r="Z847">
        <v>0</v>
      </c>
      <c r="AA847">
        <v>0</v>
      </c>
      <c r="AB847">
        <v>0</v>
      </c>
      <c r="AC847">
        <v>0</v>
      </c>
      <c r="AD847">
        <v>0</v>
      </c>
      <c r="AE847">
        <v>0</v>
      </c>
      <c r="AF847">
        <v>0</v>
      </c>
      <c r="AG847">
        <v>0</v>
      </c>
      <c r="AH847">
        <v>0</v>
      </c>
      <c r="AI847">
        <v>0</v>
      </c>
      <c r="AJ847">
        <v>0</v>
      </c>
      <c r="AK847">
        <v>25.14</v>
      </c>
      <c r="AL847">
        <v>0</v>
      </c>
      <c r="AM847">
        <v>0</v>
      </c>
      <c r="AN847">
        <v>0</v>
      </c>
      <c r="AO847">
        <v>0</v>
      </c>
      <c r="AP847">
        <v>0</v>
      </c>
      <c r="AQ847">
        <v>0</v>
      </c>
      <c r="AR847">
        <v>0</v>
      </c>
      <c r="AS847">
        <v>0</v>
      </c>
      <c r="AT847">
        <v>0</v>
      </c>
      <c r="AU847">
        <v>0</v>
      </c>
      <c r="AV847">
        <v>0</v>
      </c>
      <c r="AW847">
        <v>0</v>
      </c>
      <c r="AX847">
        <v>0</v>
      </c>
      <c r="AY847">
        <v>0</v>
      </c>
      <c r="AZ847">
        <v>0</v>
      </c>
      <c r="BA847">
        <v>0</v>
      </c>
      <c r="BB847">
        <v>0</v>
      </c>
      <c r="BC847">
        <v>0</v>
      </c>
      <c r="BD847">
        <v>0</v>
      </c>
      <c r="BE847">
        <v>0</v>
      </c>
      <c r="BF847">
        <v>0</v>
      </c>
      <c r="BG847">
        <v>0</v>
      </c>
      <c r="BH847">
        <v>1</v>
      </c>
      <c r="BI847">
        <v>0.4</v>
      </c>
      <c r="BJ847">
        <v>2.6</v>
      </c>
      <c r="BK847">
        <v>3</v>
      </c>
      <c r="BL847">
        <v>90.44</v>
      </c>
      <c r="BM847">
        <v>13.57</v>
      </c>
      <c r="BN847">
        <v>104.01</v>
      </c>
      <c r="BO847">
        <v>104.01</v>
      </c>
      <c r="BQ847" t="s">
        <v>2099</v>
      </c>
      <c r="BR847" t="s">
        <v>1899</v>
      </c>
      <c r="BS847" s="3">
        <v>44606</v>
      </c>
      <c r="BT847" s="4">
        <v>0.3972222222222222</v>
      </c>
      <c r="BU847" t="s">
        <v>2100</v>
      </c>
      <c r="BV847" t="s">
        <v>84</v>
      </c>
      <c r="BW847" t="s">
        <v>85</v>
      </c>
      <c r="BX847" t="s">
        <v>240</v>
      </c>
      <c r="BY847">
        <v>12870.2</v>
      </c>
      <c r="BZ847" t="s">
        <v>87</v>
      </c>
      <c r="CA847" t="s">
        <v>2068</v>
      </c>
      <c r="CC847" t="s">
        <v>132</v>
      </c>
      <c r="CD847">
        <v>4001</v>
      </c>
      <c r="CE847" t="s">
        <v>130</v>
      </c>
      <c r="CF847" s="3">
        <v>44607</v>
      </c>
      <c r="CI847">
        <v>1</v>
      </c>
      <c r="CJ847">
        <v>2</v>
      </c>
      <c r="CK847">
        <v>21</v>
      </c>
      <c r="CL847" t="s">
        <v>84</v>
      </c>
    </row>
    <row r="848" spans="1:90" x14ac:dyDescent="0.25">
      <c r="A848" t="s">
        <v>1897</v>
      </c>
      <c r="B848" t="s">
        <v>1898</v>
      </c>
      <c r="C848" t="s">
        <v>74</v>
      </c>
      <c r="E848" t="str">
        <f>"009942476477"</f>
        <v>009942476477</v>
      </c>
      <c r="F848" s="3">
        <v>44602</v>
      </c>
      <c r="G848">
        <v>202208</v>
      </c>
      <c r="H848" t="s">
        <v>75</v>
      </c>
      <c r="I848" t="s">
        <v>76</v>
      </c>
      <c r="J848" t="s">
        <v>1886</v>
      </c>
      <c r="K848" t="s">
        <v>78</v>
      </c>
      <c r="L848" t="s">
        <v>447</v>
      </c>
      <c r="M848" t="s">
        <v>448</v>
      </c>
      <c r="N848" t="s">
        <v>2101</v>
      </c>
      <c r="O848" t="s">
        <v>125</v>
      </c>
      <c r="P848" t="str">
        <f>"NA                            "</f>
        <v xml:space="preserve">NA                            </v>
      </c>
      <c r="Q848">
        <v>0</v>
      </c>
      <c r="R848">
        <v>0</v>
      </c>
      <c r="S848">
        <v>0</v>
      </c>
      <c r="T848">
        <v>0</v>
      </c>
      <c r="U848">
        <v>0</v>
      </c>
      <c r="V848">
        <v>0</v>
      </c>
      <c r="W848">
        <v>0</v>
      </c>
      <c r="X848">
        <v>0</v>
      </c>
      <c r="Y848">
        <v>0</v>
      </c>
      <c r="Z848">
        <v>0</v>
      </c>
      <c r="AA848">
        <v>0</v>
      </c>
      <c r="AB848">
        <v>0</v>
      </c>
      <c r="AC848">
        <v>0</v>
      </c>
      <c r="AD848">
        <v>0</v>
      </c>
      <c r="AE848">
        <v>0</v>
      </c>
      <c r="AF848">
        <v>0</v>
      </c>
      <c r="AG848">
        <v>0</v>
      </c>
      <c r="AH848">
        <v>0</v>
      </c>
      <c r="AI848">
        <v>0</v>
      </c>
      <c r="AJ848">
        <v>0</v>
      </c>
      <c r="AK848">
        <v>32.42</v>
      </c>
      <c r="AL848">
        <v>0</v>
      </c>
      <c r="AM848">
        <v>0</v>
      </c>
      <c r="AN848">
        <v>0</v>
      </c>
      <c r="AO848">
        <v>0</v>
      </c>
      <c r="AP848">
        <v>0</v>
      </c>
      <c r="AQ848">
        <v>0</v>
      </c>
      <c r="AR848">
        <v>0</v>
      </c>
      <c r="AS848">
        <v>0</v>
      </c>
      <c r="AT848">
        <v>0</v>
      </c>
      <c r="AU848">
        <v>0</v>
      </c>
      <c r="AV848">
        <v>0</v>
      </c>
      <c r="AW848">
        <v>0</v>
      </c>
      <c r="AX848">
        <v>0</v>
      </c>
      <c r="AY848">
        <v>0</v>
      </c>
      <c r="AZ848">
        <v>0</v>
      </c>
      <c r="BA848">
        <v>0</v>
      </c>
      <c r="BB848">
        <v>0</v>
      </c>
      <c r="BC848">
        <v>0</v>
      </c>
      <c r="BD848">
        <v>0</v>
      </c>
      <c r="BE848">
        <v>0</v>
      </c>
      <c r="BF848">
        <v>0</v>
      </c>
      <c r="BG848">
        <v>0</v>
      </c>
      <c r="BH848">
        <v>1</v>
      </c>
      <c r="BI848">
        <v>0.2</v>
      </c>
      <c r="BJ848">
        <v>2</v>
      </c>
      <c r="BK848">
        <v>2</v>
      </c>
      <c r="BL848">
        <v>121.87</v>
      </c>
      <c r="BM848">
        <v>18.28</v>
      </c>
      <c r="BN848">
        <v>140.15</v>
      </c>
      <c r="BO848">
        <v>140.15</v>
      </c>
      <c r="BQ848" t="s">
        <v>2102</v>
      </c>
      <c r="BR848" t="s">
        <v>2103</v>
      </c>
      <c r="BS848" s="3">
        <v>44606</v>
      </c>
      <c r="BT848" s="4">
        <v>0.42499999999999999</v>
      </c>
      <c r="BU848" t="s">
        <v>1999</v>
      </c>
      <c r="BV848" t="s">
        <v>101</v>
      </c>
      <c r="BY848">
        <v>10193.43</v>
      </c>
      <c r="BZ848" t="s">
        <v>137</v>
      </c>
      <c r="CA848" t="s">
        <v>452</v>
      </c>
      <c r="CC848" t="s">
        <v>448</v>
      </c>
      <c r="CD848">
        <v>1683</v>
      </c>
      <c r="CE848" t="s">
        <v>130</v>
      </c>
      <c r="CF848" s="3">
        <v>44607</v>
      </c>
      <c r="CI848">
        <v>2</v>
      </c>
      <c r="CJ848">
        <v>2</v>
      </c>
      <c r="CK848">
        <v>41</v>
      </c>
      <c r="CL848" t="s">
        <v>84</v>
      </c>
    </row>
    <row r="849" spans="1:90" x14ac:dyDescent="0.25">
      <c r="A849" t="s">
        <v>1897</v>
      </c>
      <c r="B849" t="s">
        <v>1898</v>
      </c>
      <c r="C849" t="s">
        <v>74</v>
      </c>
      <c r="E849" t="str">
        <f>"009942476458"</f>
        <v>009942476458</v>
      </c>
      <c r="F849" s="3">
        <v>44603</v>
      </c>
      <c r="G849">
        <v>202208</v>
      </c>
      <c r="H849" t="s">
        <v>75</v>
      </c>
      <c r="I849" t="s">
        <v>76</v>
      </c>
      <c r="J849" t="s">
        <v>1886</v>
      </c>
      <c r="K849" t="s">
        <v>78</v>
      </c>
      <c r="L849" t="s">
        <v>447</v>
      </c>
      <c r="M849" t="s">
        <v>448</v>
      </c>
      <c r="N849" t="s">
        <v>1886</v>
      </c>
      <c r="O849" t="s">
        <v>125</v>
      </c>
      <c r="P849" t="str">
        <f>"NA                            "</f>
        <v xml:space="preserve">NA                            </v>
      </c>
      <c r="Q849">
        <v>0</v>
      </c>
      <c r="R849">
        <v>0</v>
      </c>
      <c r="S849">
        <v>0</v>
      </c>
      <c r="T849">
        <v>0</v>
      </c>
      <c r="U849">
        <v>0</v>
      </c>
      <c r="V849">
        <v>0</v>
      </c>
      <c r="W849">
        <v>0</v>
      </c>
      <c r="X849">
        <v>0</v>
      </c>
      <c r="Y849">
        <v>0</v>
      </c>
      <c r="Z849">
        <v>0</v>
      </c>
      <c r="AA849">
        <v>0</v>
      </c>
      <c r="AB849">
        <v>0</v>
      </c>
      <c r="AC849">
        <v>0</v>
      </c>
      <c r="AD849">
        <v>0</v>
      </c>
      <c r="AE849">
        <v>0</v>
      </c>
      <c r="AF849">
        <v>0</v>
      </c>
      <c r="AG849">
        <v>0</v>
      </c>
      <c r="AH849">
        <v>0</v>
      </c>
      <c r="AI849">
        <v>0</v>
      </c>
      <c r="AJ849">
        <v>0</v>
      </c>
      <c r="AK849">
        <v>32.42</v>
      </c>
      <c r="AL849">
        <v>0</v>
      </c>
      <c r="AM849">
        <v>0</v>
      </c>
      <c r="AN849">
        <v>0</v>
      </c>
      <c r="AO849">
        <v>0</v>
      </c>
      <c r="AP849">
        <v>0</v>
      </c>
      <c r="AQ849">
        <v>0</v>
      </c>
      <c r="AR849">
        <v>0</v>
      </c>
      <c r="AS849">
        <v>0</v>
      </c>
      <c r="AT849">
        <v>0</v>
      </c>
      <c r="AU849">
        <v>0</v>
      </c>
      <c r="AV849">
        <v>0</v>
      </c>
      <c r="AW849">
        <v>0</v>
      </c>
      <c r="AX849">
        <v>0</v>
      </c>
      <c r="AY849">
        <v>0</v>
      </c>
      <c r="AZ849">
        <v>0</v>
      </c>
      <c r="BA849">
        <v>0</v>
      </c>
      <c r="BB849">
        <v>0</v>
      </c>
      <c r="BC849">
        <v>0</v>
      </c>
      <c r="BD849">
        <v>0</v>
      </c>
      <c r="BE849">
        <v>0</v>
      </c>
      <c r="BF849">
        <v>0</v>
      </c>
      <c r="BG849">
        <v>0</v>
      </c>
      <c r="BH849">
        <v>1</v>
      </c>
      <c r="BI849">
        <v>1.2</v>
      </c>
      <c r="BJ849">
        <v>1</v>
      </c>
      <c r="BK849">
        <v>2</v>
      </c>
      <c r="BL849">
        <v>121.87</v>
      </c>
      <c r="BM849">
        <v>18.28</v>
      </c>
      <c r="BN849">
        <v>140.15</v>
      </c>
      <c r="BO849">
        <v>140.15</v>
      </c>
      <c r="BQ849" t="s">
        <v>1922</v>
      </c>
      <c r="BS849" s="3">
        <v>44606</v>
      </c>
      <c r="BT849" s="4">
        <v>0.42499999999999999</v>
      </c>
      <c r="BU849" t="s">
        <v>1999</v>
      </c>
      <c r="BV849" t="s">
        <v>101</v>
      </c>
      <c r="BY849">
        <v>4977.21</v>
      </c>
      <c r="BZ849" t="s">
        <v>137</v>
      </c>
      <c r="CA849" t="s">
        <v>452</v>
      </c>
      <c r="CC849" t="s">
        <v>448</v>
      </c>
      <c r="CD849">
        <v>1683</v>
      </c>
      <c r="CE849" t="s">
        <v>130</v>
      </c>
      <c r="CF849" s="3">
        <v>44607</v>
      </c>
      <c r="CI849">
        <v>2</v>
      </c>
      <c r="CJ849">
        <v>1</v>
      </c>
      <c r="CK849">
        <v>41</v>
      </c>
      <c r="CL849" t="s">
        <v>84</v>
      </c>
    </row>
    <row r="850" spans="1:90" x14ac:dyDescent="0.25">
      <c r="A850" t="s">
        <v>1897</v>
      </c>
      <c r="B850" t="s">
        <v>1898</v>
      </c>
      <c r="C850" t="s">
        <v>74</v>
      </c>
      <c r="E850" t="str">
        <f>"009942476457"</f>
        <v>009942476457</v>
      </c>
      <c r="F850" s="3">
        <v>44603</v>
      </c>
      <c r="G850">
        <v>202208</v>
      </c>
      <c r="H850" t="s">
        <v>75</v>
      </c>
      <c r="I850" t="s">
        <v>76</v>
      </c>
      <c r="J850" t="s">
        <v>1886</v>
      </c>
      <c r="K850" t="s">
        <v>78</v>
      </c>
      <c r="L850" t="s">
        <v>176</v>
      </c>
      <c r="M850" t="s">
        <v>177</v>
      </c>
      <c r="N850" t="s">
        <v>2104</v>
      </c>
      <c r="O850" t="s">
        <v>125</v>
      </c>
      <c r="P850" t="str">
        <f>"NA                            "</f>
        <v xml:space="preserve">NA                            </v>
      </c>
      <c r="Q850">
        <v>0</v>
      </c>
      <c r="R850">
        <v>0</v>
      </c>
      <c r="S850">
        <v>0</v>
      </c>
      <c r="T850">
        <v>0</v>
      </c>
      <c r="U850">
        <v>0</v>
      </c>
      <c r="V850">
        <v>0</v>
      </c>
      <c r="W850">
        <v>0</v>
      </c>
      <c r="X850">
        <v>0</v>
      </c>
      <c r="Y850">
        <v>0</v>
      </c>
      <c r="Z850">
        <v>0</v>
      </c>
      <c r="AA850">
        <v>0</v>
      </c>
      <c r="AB850">
        <v>0</v>
      </c>
      <c r="AC850">
        <v>0</v>
      </c>
      <c r="AD850">
        <v>0</v>
      </c>
      <c r="AE850">
        <v>0</v>
      </c>
      <c r="AF850">
        <v>0</v>
      </c>
      <c r="AG850">
        <v>0</v>
      </c>
      <c r="AH850">
        <v>0</v>
      </c>
      <c r="AI850">
        <v>0</v>
      </c>
      <c r="AJ850">
        <v>0</v>
      </c>
      <c r="AK850">
        <v>35.090000000000003</v>
      </c>
      <c r="AL850">
        <v>0</v>
      </c>
      <c r="AM850">
        <v>0</v>
      </c>
      <c r="AN850">
        <v>0</v>
      </c>
      <c r="AO850">
        <v>0</v>
      </c>
      <c r="AP850">
        <v>0</v>
      </c>
      <c r="AQ850">
        <v>0</v>
      </c>
      <c r="AR850">
        <v>0</v>
      </c>
      <c r="AS850">
        <v>0</v>
      </c>
      <c r="AT850">
        <v>0</v>
      </c>
      <c r="AU850">
        <v>0</v>
      </c>
      <c r="AV850">
        <v>0</v>
      </c>
      <c r="AW850">
        <v>0</v>
      </c>
      <c r="AX850">
        <v>0</v>
      </c>
      <c r="AY850">
        <v>0</v>
      </c>
      <c r="AZ850">
        <v>0</v>
      </c>
      <c r="BA850">
        <v>0</v>
      </c>
      <c r="BB850">
        <v>0</v>
      </c>
      <c r="BC850">
        <v>0</v>
      </c>
      <c r="BD850">
        <v>0</v>
      </c>
      <c r="BE850">
        <v>0</v>
      </c>
      <c r="BF850">
        <v>0</v>
      </c>
      <c r="BG850">
        <v>0</v>
      </c>
      <c r="BH850">
        <v>1</v>
      </c>
      <c r="BI850">
        <v>11.7</v>
      </c>
      <c r="BJ850">
        <v>16.399999999999999</v>
      </c>
      <c r="BK850">
        <v>17</v>
      </c>
      <c r="BL850">
        <v>131.47999999999999</v>
      </c>
      <c r="BM850">
        <v>19.72</v>
      </c>
      <c r="BN850">
        <v>151.19999999999999</v>
      </c>
      <c r="BO850">
        <v>151.19999999999999</v>
      </c>
      <c r="BQ850" t="s">
        <v>2105</v>
      </c>
      <c r="BR850" t="s">
        <v>1960</v>
      </c>
      <c r="BS850" s="3">
        <v>44606</v>
      </c>
      <c r="BT850" s="4">
        <v>0.41180555555555554</v>
      </c>
      <c r="BU850" t="s">
        <v>2106</v>
      </c>
      <c r="BV850" t="s">
        <v>101</v>
      </c>
      <c r="BY850">
        <v>81947.490000000005</v>
      </c>
      <c r="BZ850" t="s">
        <v>137</v>
      </c>
      <c r="CA850" t="s">
        <v>369</v>
      </c>
      <c r="CC850" t="s">
        <v>177</v>
      </c>
      <c r="CD850">
        <v>3610</v>
      </c>
      <c r="CE850" t="s">
        <v>130</v>
      </c>
      <c r="CF850" s="3">
        <v>44607</v>
      </c>
      <c r="CI850">
        <v>3</v>
      </c>
      <c r="CJ850">
        <v>1</v>
      </c>
      <c r="CK850">
        <v>41</v>
      </c>
      <c r="CL850" t="s">
        <v>84</v>
      </c>
    </row>
    <row r="851" spans="1:90" x14ac:dyDescent="0.25">
      <c r="A851" t="s">
        <v>1897</v>
      </c>
      <c r="B851" t="s">
        <v>1898</v>
      </c>
      <c r="C851" t="s">
        <v>74</v>
      </c>
      <c r="E851" t="str">
        <f>"009940641889"</f>
        <v>009940641889</v>
      </c>
      <c r="F851" s="3">
        <v>44603</v>
      </c>
      <c r="G851">
        <v>202208</v>
      </c>
      <c r="H851" t="s">
        <v>75</v>
      </c>
      <c r="I851" t="s">
        <v>76</v>
      </c>
      <c r="J851" t="s">
        <v>1954</v>
      </c>
      <c r="K851" t="s">
        <v>78</v>
      </c>
      <c r="L851" t="s">
        <v>109</v>
      </c>
      <c r="M851" t="s">
        <v>110</v>
      </c>
      <c r="N851" t="s">
        <v>2107</v>
      </c>
      <c r="O851" t="s">
        <v>979</v>
      </c>
      <c r="P851" t="str">
        <f>".                             "</f>
        <v xml:space="preserve">.                             </v>
      </c>
      <c r="Q851">
        <v>0</v>
      </c>
      <c r="R851">
        <v>0</v>
      </c>
      <c r="S851">
        <v>0</v>
      </c>
      <c r="T851">
        <v>0</v>
      </c>
      <c r="U851">
        <v>0</v>
      </c>
      <c r="V851">
        <v>0</v>
      </c>
      <c r="W851">
        <v>0</v>
      </c>
      <c r="X851">
        <v>0</v>
      </c>
      <c r="Y851">
        <v>0</v>
      </c>
      <c r="Z851">
        <v>0</v>
      </c>
      <c r="AA851">
        <v>0</v>
      </c>
      <c r="AB851">
        <v>0</v>
      </c>
      <c r="AC851">
        <v>0</v>
      </c>
      <c r="AD851">
        <v>0</v>
      </c>
      <c r="AE851">
        <v>0</v>
      </c>
      <c r="AF851">
        <v>0</v>
      </c>
      <c r="AG851">
        <v>0</v>
      </c>
      <c r="AH851">
        <v>0</v>
      </c>
      <c r="AI851">
        <v>0</v>
      </c>
      <c r="AJ851">
        <v>0</v>
      </c>
      <c r="AK851">
        <v>31.43</v>
      </c>
      <c r="AL851">
        <v>0</v>
      </c>
      <c r="AM851">
        <v>0</v>
      </c>
      <c r="AN851">
        <v>0</v>
      </c>
      <c r="AO851">
        <v>0</v>
      </c>
      <c r="AP851">
        <v>0</v>
      </c>
      <c r="AQ851">
        <v>0</v>
      </c>
      <c r="AR851">
        <v>0</v>
      </c>
      <c r="AS851">
        <v>0</v>
      </c>
      <c r="AT851">
        <v>0</v>
      </c>
      <c r="AU851">
        <v>0</v>
      </c>
      <c r="AV851">
        <v>0</v>
      </c>
      <c r="AW851">
        <v>0</v>
      </c>
      <c r="AX851">
        <v>0</v>
      </c>
      <c r="AY851">
        <v>0</v>
      </c>
      <c r="AZ851">
        <v>0</v>
      </c>
      <c r="BA851">
        <v>0</v>
      </c>
      <c r="BB851">
        <v>0</v>
      </c>
      <c r="BC851">
        <v>0</v>
      </c>
      <c r="BD851">
        <v>0</v>
      </c>
      <c r="BE851">
        <v>0</v>
      </c>
      <c r="BF851">
        <v>0</v>
      </c>
      <c r="BG851">
        <v>0</v>
      </c>
      <c r="BH851">
        <v>1</v>
      </c>
      <c r="BI851">
        <v>0.1</v>
      </c>
      <c r="BJ851">
        <v>0.1</v>
      </c>
      <c r="BK851">
        <v>1</v>
      </c>
      <c r="BL851">
        <v>113.07</v>
      </c>
      <c r="BM851">
        <v>16.96</v>
      </c>
      <c r="BN851">
        <v>130.03</v>
      </c>
      <c r="BO851">
        <v>130.03</v>
      </c>
      <c r="BQ851" t="s">
        <v>2108</v>
      </c>
      <c r="BR851" t="s">
        <v>2109</v>
      </c>
      <c r="BS851" s="3">
        <v>44606</v>
      </c>
      <c r="BT851" s="4">
        <v>0.42777777777777781</v>
      </c>
      <c r="BU851" t="s">
        <v>2110</v>
      </c>
      <c r="BV851" t="s">
        <v>101</v>
      </c>
      <c r="BY851">
        <v>724.14</v>
      </c>
      <c r="BZ851" t="s">
        <v>137</v>
      </c>
      <c r="CA851" t="s">
        <v>2031</v>
      </c>
      <c r="CC851" t="s">
        <v>110</v>
      </c>
      <c r="CD851">
        <v>157</v>
      </c>
      <c r="CE851" t="s">
        <v>130</v>
      </c>
      <c r="CF851" s="3">
        <v>44606</v>
      </c>
      <c r="CI851">
        <v>1</v>
      </c>
      <c r="CJ851">
        <v>1</v>
      </c>
      <c r="CK851">
        <v>31</v>
      </c>
      <c r="CL851" t="s">
        <v>84</v>
      </c>
    </row>
    <row r="852" spans="1:90" x14ac:dyDescent="0.25">
      <c r="A852" t="s">
        <v>1897</v>
      </c>
      <c r="B852" t="s">
        <v>1898</v>
      </c>
      <c r="C852" t="s">
        <v>74</v>
      </c>
      <c r="E852" t="str">
        <f>"009941578727"</f>
        <v>009941578727</v>
      </c>
      <c r="F852" s="3">
        <v>44602</v>
      </c>
      <c r="G852">
        <v>202208</v>
      </c>
      <c r="H852" t="s">
        <v>123</v>
      </c>
      <c r="I852" t="s">
        <v>124</v>
      </c>
      <c r="J852" t="s">
        <v>1954</v>
      </c>
      <c r="K852" t="s">
        <v>78</v>
      </c>
      <c r="L852" t="s">
        <v>790</v>
      </c>
      <c r="M852" t="s">
        <v>791</v>
      </c>
      <c r="N852" t="s">
        <v>1954</v>
      </c>
      <c r="O852" t="s">
        <v>80</v>
      </c>
      <c r="P852" t="str">
        <f>"11912270 FM                   "</f>
        <v xml:space="preserve">11912270 FM                   </v>
      </c>
      <c r="Q852">
        <v>0</v>
      </c>
      <c r="R852">
        <v>0</v>
      </c>
      <c r="S852">
        <v>0</v>
      </c>
      <c r="T852">
        <v>0</v>
      </c>
      <c r="U852">
        <v>0</v>
      </c>
      <c r="V852">
        <v>0</v>
      </c>
      <c r="W852">
        <v>0</v>
      </c>
      <c r="X852">
        <v>0</v>
      </c>
      <c r="Y852">
        <v>0</v>
      </c>
      <c r="Z852">
        <v>0</v>
      </c>
      <c r="AA852">
        <v>0</v>
      </c>
      <c r="AB852">
        <v>0</v>
      </c>
      <c r="AC852">
        <v>0</v>
      </c>
      <c r="AD852">
        <v>0</v>
      </c>
      <c r="AE852">
        <v>0</v>
      </c>
      <c r="AF852">
        <v>0</v>
      </c>
      <c r="AG852">
        <v>0</v>
      </c>
      <c r="AH852">
        <v>0</v>
      </c>
      <c r="AI852">
        <v>0</v>
      </c>
      <c r="AJ852">
        <v>0</v>
      </c>
      <c r="AK852">
        <v>32.479999999999997</v>
      </c>
      <c r="AL852">
        <v>0</v>
      </c>
      <c r="AM852">
        <v>0</v>
      </c>
      <c r="AN852">
        <v>0</v>
      </c>
      <c r="AO852">
        <v>0</v>
      </c>
      <c r="AP852">
        <v>0</v>
      </c>
      <c r="AQ852">
        <v>0</v>
      </c>
      <c r="AR852">
        <v>0</v>
      </c>
      <c r="AS852">
        <v>0</v>
      </c>
      <c r="AT852">
        <v>0</v>
      </c>
      <c r="AU852">
        <v>0</v>
      </c>
      <c r="AV852">
        <v>0</v>
      </c>
      <c r="AW852">
        <v>0</v>
      </c>
      <c r="AX852">
        <v>0</v>
      </c>
      <c r="AY852">
        <v>0</v>
      </c>
      <c r="AZ852">
        <v>0</v>
      </c>
      <c r="BA852">
        <v>0</v>
      </c>
      <c r="BB852">
        <v>0</v>
      </c>
      <c r="BC852">
        <v>0</v>
      </c>
      <c r="BD852">
        <v>0</v>
      </c>
      <c r="BE852">
        <v>0</v>
      </c>
      <c r="BF852">
        <v>0</v>
      </c>
      <c r="BG852">
        <v>0</v>
      </c>
      <c r="BH852">
        <v>1</v>
      </c>
      <c r="BI852">
        <v>1</v>
      </c>
      <c r="BJ852">
        <v>0.2</v>
      </c>
      <c r="BK852">
        <v>1</v>
      </c>
      <c r="BL852">
        <v>116.84</v>
      </c>
      <c r="BM852">
        <v>17.53</v>
      </c>
      <c r="BN852">
        <v>134.37</v>
      </c>
      <c r="BO852">
        <v>134.37</v>
      </c>
      <c r="BQ852" t="s">
        <v>2111</v>
      </c>
      <c r="BR852" t="s">
        <v>1956</v>
      </c>
      <c r="BS852" s="3">
        <v>44606</v>
      </c>
      <c r="BT852" s="4">
        <v>0.48055555555555557</v>
      </c>
      <c r="BU852" t="s">
        <v>2112</v>
      </c>
      <c r="BV852" t="s">
        <v>101</v>
      </c>
      <c r="BY852">
        <v>1200</v>
      </c>
      <c r="BZ852" t="s">
        <v>87</v>
      </c>
      <c r="CC852" t="s">
        <v>791</v>
      </c>
      <c r="CD852">
        <v>5099</v>
      </c>
      <c r="CE852" t="s">
        <v>130</v>
      </c>
      <c r="CF852" s="3">
        <v>44606</v>
      </c>
      <c r="CI852">
        <v>3</v>
      </c>
      <c r="CJ852">
        <v>2</v>
      </c>
      <c r="CK852">
        <v>23</v>
      </c>
      <c r="CL852" t="s">
        <v>84</v>
      </c>
    </row>
    <row r="853" spans="1:90" x14ac:dyDescent="0.25">
      <c r="A853" t="s">
        <v>1897</v>
      </c>
      <c r="B853" t="s">
        <v>1898</v>
      </c>
      <c r="C853" t="s">
        <v>74</v>
      </c>
      <c r="E853" t="str">
        <f>"009941578728"</f>
        <v>009941578728</v>
      </c>
      <c r="F853" s="3">
        <v>44602</v>
      </c>
      <c r="G853">
        <v>202208</v>
      </c>
      <c r="H853" t="s">
        <v>123</v>
      </c>
      <c r="I853" t="s">
        <v>124</v>
      </c>
      <c r="J853" t="s">
        <v>1954</v>
      </c>
      <c r="K853" t="s">
        <v>78</v>
      </c>
      <c r="L853" t="s">
        <v>649</v>
      </c>
      <c r="M853" t="s">
        <v>650</v>
      </c>
      <c r="N853" t="s">
        <v>1954</v>
      </c>
      <c r="O853" t="s">
        <v>80</v>
      </c>
      <c r="P853" t="str">
        <f>"11912270 FM                   "</f>
        <v xml:space="preserve">11912270 FM                   </v>
      </c>
      <c r="Q853">
        <v>0</v>
      </c>
      <c r="R853">
        <v>0</v>
      </c>
      <c r="S853">
        <v>0</v>
      </c>
      <c r="T853">
        <v>0</v>
      </c>
      <c r="U853">
        <v>0</v>
      </c>
      <c r="V853">
        <v>0</v>
      </c>
      <c r="W853">
        <v>0</v>
      </c>
      <c r="X853">
        <v>0</v>
      </c>
      <c r="Y853">
        <v>0</v>
      </c>
      <c r="Z853">
        <v>0</v>
      </c>
      <c r="AA853">
        <v>0</v>
      </c>
      <c r="AB853">
        <v>0</v>
      </c>
      <c r="AC853">
        <v>0</v>
      </c>
      <c r="AD853">
        <v>0</v>
      </c>
      <c r="AE853">
        <v>0</v>
      </c>
      <c r="AF853">
        <v>0</v>
      </c>
      <c r="AG853">
        <v>0</v>
      </c>
      <c r="AH853">
        <v>0</v>
      </c>
      <c r="AI853">
        <v>0</v>
      </c>
      <c r="AJ853">
        <v>0</v>
      </c>
      <c r="AK853">
        <v>16.760000000000002</v>
      </c>
      <c r="AL853">
        <v>0</v>
      </c>
      <c r="AM853">
        <v>0</v>
      </c>
      <c r="AN853">
        <v>0</v>
      </c>
      <c r="AO853">
        <v>0</v>
      </c>
      <c r="AP853">
        <v>0</v>
      </c>
      <c r="AQ853">
        <v>0</v>
      </c>
      <c r="AR853">
        <v>0</v>
      </c>
      <c r="AS853">
        <v>0</v>
      </c>
      <c r="AT853">
        <v>0</v>
      </c>
      <c r="AU853">
        <v>0</v>
      </c>
      <c r="AV853">
        <v>0</v>
      </c>
      <c r="AW853">
        <v>0</v>
      </c>
      <c r="AX853">
        <v>0</v>
      </c>
      <c r="AY853">
        <v>0</v>
      </c>
      <c r="AZ853">
        <v>0</v>
      </c>
      <c r="BA853">
        <v>0</v>
      </c>
      <c r="BB853">
        <v>0</v>
      </c>
      <c r="BC853">
        <v>0</v>
      </c>
      <c r="BD853">
        <v>0</v>
      </c>
      <c r="BE853">
        <v>0</v>
      </c>
      <c r="BF853">
        <v>0</v>
      </c>
      <c r="BG853">
        <v>0</v>
      </c>
      <c r="BH853">
        <v>1</v>
      </c>
      <c r="BI853">
        <v>1</v>
      </c>
      <c r="BJ853">
        <v>0.2</v>
      </c>
      <c r="BK853">
        <v>1</v>
      </c>
      <c r="BL853">
        <v>60.3</v>
      </c>
      <c r="BM853">
        <v>9.0500000000000007</v>
      </c>
      <c r="BN853">
        <v>69.349999999999994</v>
      </c>
      <c r="BO853">
        <v>69.349999999999994</v>
      </c>
      <c r="BQ853" t="s">
        <v>2097</v>
      </c>
      <c r="BR853" t="s">
        <v>1956</v>
      </c>
      <c r="BS853" s="3">
        <v>44603</v>
      </c>
      <c r="BT853" s="4">
        <v>0.39583333333333331</v>
      </c>
      <c r="BU853" t="s">
        <v>2113</v>
      </c>
      <c r="BV853" t="s">
        <v>101</v>
      </c>
      <c r="BY853">
        <v>1200</v>
      </c>
      <c r="BZ853" t="s">
        <v>87</v>
      </c>
      <c r="CA853" t="s">
        <v>2114</v>
      </c>
      <c r="CC853" t="s">
        <v>650</v>
      </c>
      <c r="CD853">
        <v>5247</v>
      </c>
      <c r="CE853" t="s">
        <v>130</v>
      </c>
      <c r="CF853" s="3">
        <v>44603</v>
      </c>
      <c r="CI853">
        <v>1</v>
      </c>
      <c r="CJ853">
        <v>1</v>
      </c>
      <c r="CK853">
        <v>21</v>
      </c>
      <c r="CL853" t="s">
        <v>84</v>
      </c>
    </row>
    <row r="854" spans="1:90" x14ac:dyDescent="0.25">
      <c r="A854" t="s">
        <v>1897</v>
      </c>
      <c r="B854" t="s">
        <v>1898</v>
      </c>
      <c r="C854" t="s">
        <v>74</v>
      </c>
      <c r="E854" t="str">
        <f>"009942476475"</f>
        <v>009942476475</v>
      </c>
      <c r="F854" s="3">
        <v>44603</v>
      </c>
      <c r="G854">
        <v>202208</v>
      </c>
      <c r="H854" t="s">
        <v>75</v>
      </c>
      <c r="I854" t="s">
        <v>76</v>
      </c>
      <c r="J854" t="s">
        <v>1886</v>
      </c>
      <c r="K854" t="s">
        <v>78</v>
      </c>
      <c r="L854" t="s">
        <v>123</v>
      </c>
      <c r="M854" t="s">
        <v>124</v>
      </c>
      <c r="N854" t="s">
        <v>2056</v>
      </c>
      <c r="O854" t="s">
        <v>125</v>
      </c>
      <c r="P854" t="str">
        <f>"NA                            "</f>
        <v xml:space="preserve">NA                            </v>
      </c>
      <c r="Q854">
        <v>0</v>
      </c>
      <c r="R854">
        <v>0</v>
      </c>
      <c r="S854">
        <v>0</v>
      </c>
      <c r="T854">
        <v>0</v>
      </c>
      <c r="U854">
        <v>0</v>
      </c>
      <c r="V854">
        <v>0</v>
      </c>
      <c r="W854">
        <v>0</v>
      </c>
      <c r="X854">
        <v>0</v>
      </c>
      <c r="Y854">
        <v>0</v>
      </c>
      <c r="Z854">
        <v>0</v>
      </c>
      <c r="AA854">
        <v>0</v>
      </c>
      <c r="AB854">
        <v>0</v>
      </c>
      <c r="AC854">
        <v>0</v>
      </c>
      <c r="AD854">
        <v>0</v>
      </c>
      <c r="AE854">
        <v>0</v>
      </c>
      <c r="AF854">
        <v>0</v>
      </c>
      <c r="AG854">
        <v>0</v>
      </c>
      <c r="AH854">
        <v>0</v>
      </c>
      <c r="AI854">
        <v>0</v>
      </c>
      <c r="AJ854">
        <v>0</v>
      </c>
      <c r="AK854">
        <v>71.16</v>
      </c>
      <c r="AL854">
        <v>0</v>
      </c>
      <c r="AM854">
        <v>0</v>
      </c>
      <c r="AN854">
        <v>0</v>
      </c>
      <c r="AO854">
        <v>0</v>
      </c>
      <c r="AP854">
        <v>0</v>
      </c>
      <c r="AQ854">
        <v>0</v>
      </c>
      <c r="AR854">
        <v>0</v>
      </c>
      <c r="AS854">
        <v>0</v>
      </c>
      <c r="AT854">
        <v>0</v>
      </c>
      <c r="AU854">
        <v>0</v>
      </c>
      <c r="AV854">
        <v>0</v>
      </c>
      <c r="AW854">
        <v>0</v>
      </c>
      <c r="AX854">
        <v>0</v>
      </c>
      <c r="AY854">
        <v>0</v>
      </c>
      <c r="AZ854">
        <v>0</v>
      </c>
      <c r="BA854">
        <v>0</v>
      </c>
      <c r="BB854">
        <v>0</v>
      </c>
      <c r="BC854">
        <v>0</v>
      </c>
      <c r="BD854">
        <v>0</v>
      </c>
      <c r="BE854">
        <v>0</v>
      </c>
      <c r="BF854">
        <v>0</v>
      </c>
      <c r="BG854">
        <v>0</v>
      </c>
      <c r="BH854">
        <v>2</v>
      </c>
      <c r="BI854">
        <v>38.1</v>
      </c>
      <c r="BJ854">
        <v>43.5</v>
      </c>
      <c r="BK854">
        <v>44</v>
      </c>
      <c r="BL854">
        <v>261.24</v>
      </c>
      <c r="BM854">
        <v>39.19</v>
      </c>
      <c r="BN854">
        <v>300.43</v>
      </c>
      <c r="BO854">
        <v>300.43</v>
      </c>
      <c r="BQ854" t="s">
        <v>1528</v>
      </c>
      <c r="BR854" t="s">
        <v>1960</v>
      </c>
      <c r="BS854" s="3">
        <v>44606</v>
      </c>
      <c r="BT854" s="4">
        <v>0.47569444444444442</v>
      </c>
      <c r="BU854" t="s">
        <v>2115</v>
      </c>
      <c r="BV854" t="s">
        <v>101</v>
      </c>
      <c r="BY854">
        <v>217433.04</v>
      </c>
      <c r="BZ854" t="s">
        <v>137</v>
      </c>
      <c r="CA854" t="s">
        <v>317</v>
      </c>
      <c r="CC854" t="s">
        <v>124</v>
      </c>
      <c r="CD854">
        <v>6001</v>
      </c>
      <c r="CE854" t="s">
        <v>130</v>
      </c>
      <c r="CF854" s="3">
        <v>44606</v>
      </c>
      <c r="CI854">
        <v>2</v>
      </c>
      <c r="CJ854">
        <v>1</v>
      </c>
      <c r="CK854">
        <v>41</v>
      </c>
      <c r="CL854" t="s">
        <v>84</v>
      </c>
    </row>
    <row r="855" spans="1:90" x14ac:dyDescent="0.25">
      <c r="A855" t="s">
        <v>1897</v>
      </c>
      <c r="B855" t="s">
        <v>1898</v>
      </c>
      <c r="C855" t="s">
        <v>74</v>
      </c>
      <c r="E855" t="str">
        <f>"009941963541"</f>
        <v>009941963541</v>
      </c>
      <c r="F855" s="3">
        <v>44603</v>
      </c>
      <c r="G855">
        <v>202208</v>
      </c>
      <c r="H855" t="s">
        <v>75</v>
      </c>
      <c r="I855" t="s">
        <v>76</v>
      </c>
      <c r="J855" t="s">
        <v>1983</v>
      </c>
      <c r="K855" t="s">
        <v>78</v>
      </c>
      <c r="L855" t="s">
        <v>234</v>
      </c>
      <c r="M855" t="s">
        <v>235</v>
      </c>
      <c r="N855" t="s">
        <v>1982</v>
      </c>
      <c r="O855" t="s">
        <v>80</v>
      </c>
      <c r="P855" t="str">
        <f>"TENDER DOC                    "</f>
        <v xml:space="preserve">TENDER DOC                    </v>
      </c>
      <c r="Q855">
        <v>0</v>
      </c>
      <c r="R855">
        <v>0</v>
      </c>
      <c r="S855">
        <v>0</v>
      </c>
      <c r="T855">
        <v>0</v>
      </c>
      <c r="U855">
        <v>0</v>
      </c>
      <c r="V855">
        <v>0</v>
      </c>
      <c r="W855">
        <v>0</v>
      </c>
      <c r="X855">
        <v>0</v>
      </c>
      <c r="Y855">
        <v>0</v>
      </c>
      <c r="Z855">
        <v>0</v>
      </c>
      <c r="AA855">
        <v>0</v>
      </c>
      <c r="AB855">
        <v>0</v>
      </c>
      <c r="AC855">
        <v>0</v>
      </c>
      <c r="AD855">
        <v>0</v>
      </c>
      <c r="AE855">
        <v>0</v>
      </c>
      <c r="AF855">
        <v>0</v>
      </c>
      <c r="AG855">
        <v>0</v>
      </c>
      <c r="AH855">
        <v>0</v>
      </c>
      <c r="AI855">
        <v>0</v>
      </c>
      <c r="AJ855">
        <v>0</v>
      </c>
      <c r="AK855">
        <v>16.760000000000002</v>
      </c>
      <c r="AL855">
        <v>0</v>
      </c>
      <c r="AM855">
        <v>0</v>
      </c>
      <c r="AN855">
        <v>0</v>
      </c>
      <c r="AO855">
        <v>0</v>
      </c>
      <c r="AP855">
        <v>0</v>
      </c>
      <c r="AQ855">
        <v>0</v>
      </c>
      <c r="AR855">
        <v>0</v>
      </c>
      <c r="AS855">
        <v>0</v>
      </c>
      <c r="AT855">
        <v>0</v>
      </c>
      <c r="AU855">
        <v>0</v>
      </c>
      <c r="AV855">
        <v>0</v>
      </c>
      <c r="AW855">
        <v>0</v>
      </c>
      <c r="AX855">
        <v>0</v>
      </c>
      <c r="AY855">
        <v>0</v>
      </c>
      <c r="AZ855">
        <v>0</v>
      </c>
      <c r="BA855">
        <v>0</v>
      </c>
      <c r="BB855">
        <v>0</v>
      </c>
      <c r="BC855">
        <v>0</v>
      </c>
      <c r="BD855">
        <v>0</v>
      </c>
      <c r="BE855">
        <v>0</v>
      </c>
      <c r="BF855">
        <v>0</v>
      </c>
      <c r="BG855">
        <v>0</v>
      </c>
      <c r="BH855">
        <v>1</v>
      </c>
      <c r="BI855">
        <v>0.4</v>
      </c>
      <c r="BJ855">
        <v>1.6</v>
      </c>
      <c r="BK855">
        <v>2</v>
      </c>
      <c r="BL855">
        <v>60.3</v>
      </c>
      <c r="BM855">
        <v>9.0500000000000007</v>
      </c>
      <c r="BN855">
        <v>69.349999999999994</v>
      </c>
      <c r="BO855">
        <v>69.349999999999994</v>
      </c>
      <c r="BQ855" t="s">
        <v>1985</v>
      </c>
      <c r="BR855" t="s">
        <v>1984</v>
      </c>
      <c r="BS855" s="3">
        <v>44606</v>
      </c>
      <c r="BT855" s="4">
        <v>0.71250000000000002</v>
      </c>
      <c r="BU855" t="s">
        <v>2116</v>
      </c>
      <c r="BV855" t="s">
        <v>84</v>
      </c>
      <c r="BY855">
        <v>7857.14</v>
      </c>
      <c r="BZ855" t="s">
        <v>87</v>
      </c>
      <c r="CA855" t="s">
        <v>2117</v>
      </c>
      <c r="CC855" t="s">
        <v>235</v>
      </c>
      <c r="CD855">
        <v>3200</v>
      </c>
      <c r="CE855" t="s">
        <v>130</v>
      </c>
      <c r="CF855" s="3">
        <v>44607</v>
      </c>
      <c r="CI855">
        <v>1</v>
      </c>
      <c r="CJ855">
        <v>1</v>
      </c>
      <c r="CK855">
        <v>21</v>
      </c>
      <c r="CL855" t="s">
        <v>84</v>
      </c>
    </row>
    <row r="856" spans="1:90" x14ac:dyDescent="0.25">
      <c r="A856" t="s">
        <v>1897</v>
      </c>
      <c r="B856" t="s">
        <v>1898</v>
      </c>
      <c r="C856" t="s">
        <v>74</v>
      </c>
      <c r="E856" t="str">
        <f>"009941705967"</f>
        <v>009941705967</v>
      </c>
      <c r="F856" s="3">
        <v>44606</v>
      </c>
      <c r="G856">
        <v>202208</v>
      </c>
      <c r="H856" t="s">
        <v>447</v>
      </c>
      <c r="I856" t="s">
        <v>448</v>
      </c>
      <c r="J856" t="s">
        <v>1964</v>
      </c>
      <c r="K856" t="s">
        <v>78</v>
      </c>
      <c r="L856" t="s">
        <v>123</v>
      </c>
      <c r="M856" t="s">
        <v>124</v>
      </c>
      <c r="N856" t="s">
        <v>1964</v>
      </c>
      <c r="O856" t="s">
        <v>125</v>
      </c>
      <c r="P856" t="str">
        <f>"NA                            "</f>
        <v xml:space="preserve">NA                            </v>
      </c>
      <c r="Q856">
        <v>0</v>
      </c>
      <c r="R856">
        <v>0</v>
      </c>
      <c r="S856">
        <v>0</v>
      </c>
      <c r="T856">
        <v>0</v>
      </c>
      <c r="U856">
        <v>0</v>
      </c>
      <c r="V856">
        <v>0</v>
      </c>
      <c r="W856">
        <v>0</v>
      </c>
      <c r="X856">
        <v>0</v>
      </c>
      <c r="Y856">
        <v>0</v>
      </c>
      <c r="Z856">
        <v>0</v>
      </c>
      <c r="AA856">
        <v>0</v>
      </c>
      <c r="AB856">
        <v>0</v>
      </c>
      <c r="AC856">
        <v>0</v>
      </c>
      <c r="AD856">
        <v>0</v>
      </c>
      <c r="AE856">
        <v>0</v>
      </c>
      <c r="AF856">
        <v>0</v>
      </c>
      <c r="AG856">
        <v>0</v>
      </c>
      <c r="AH856">
        <v>0</v>
      </c>
      <c r="AI856">
        <v>0</v>
      </c>
      <c r="AJ856">
        <v>0</v>
      </c>
      <c r="AK856">
        <v>32.42</v>
      </c>
      <c r="AL856">
        <v>0</v>
      </c>
      <c r="AM856">
        <v>0</v>
      </c>
      <c r="AN856">
        <v>0</v>
      </c>
      <c r="AO856">
        <v>0</v>
      </c>
      <c r="AP856">
        <v>0</v>
      </c>
      <c r="AQ856">
        <v>0</v>
      </c>
      <c r="AR856">
        <v>0</v>
      </c>
      <c r="AS856">
        <v>0</v>
      </c>
      <c r="AT856">
        <v>0</v>
      </c>
      <c r="AU856">
        <v>0</v>
      </c>
      <c r="AV856">
        <v>0</v>
      </c>
      <c r="AW856">
        <v>0</v>
      </c>
      <c r="AX856">
        <v>0</v>
      </c>
      <c r="AY856">
        <v>0</v>
      </c>
      <c r="AZ856">
        <v>0</v>
      </c>
      <c r="BA856">
        <v>0</v>
      </c>
      <c r="BB856">
        <v>0</v>
      </c>
      <c r="BC856">
        <v>0</v>
      </c>
      <c r="BD856">
        <v>0</v>
      </c>
      <c r="BE856">
        <v>0</v>
      </c>
      <c r="BF856">
        <v>0</v>
      </c>
      <c r="BG856">
        <v>0</v>
      </c>
      <c r="BH856">
        <v>1</v>
      </c>
      <c r="BI856">
        <v>13.8</v>
      </c>
      <c r="BJ856">
        <v>12.7</v>
      </c>
      <c r="BK856">
        <v>14</v>
      </c>
      <c r="BL856">
        <v>121.87</v>
      </c>
      <c r="BM856">
        <v>18.28</v>
      </c>
      <c r="BN856">
        <v>140.15</v>
      </c>
      <c r="BO856">
        <v>140.15</v>
      </c>
      <c r="BQ856" t="s">
        <v>2118</v>
      </c>
      <c r="BR856" t="s">
        <v>1500</v>
      </c>
      <c r="BS856" s="3">
        <v>44608</v>
      </c>
      <c r="BT856" s="4">
        <v>0.47638888888888892</v>
      </c>
      <c r="BU856" t="s">
        <v>2115</v>
      </c>
      <c r="BV856" t="s">
        <v>101</v>
      </c>
      <c r="BY856">
        <v>63460.58</v>
      </c>
      <c r="BZ856" t="s">
        <v>137</v>
      </c>
      <c r="CA856" t="s">
        <v>317</v>
      </c>
      <c r="CC856" t="s">
        <v>124</v>
      </c>
      <c r="CD856">
        <v>6001</v>
      </c>
      <c r="CE856" t="s">
        <v>130</v>
      </c>
      <c r="CF856" s="3">
        <v>44608</v>
      </c>
      <c r="CI856">
        <v>2</v>
      </c>
      <c r="CJ856">
        <v>2</v>
      </c>
      <c r="CK856">
        <v>41</v>
      </c>
      <c r="CL856" t="s">
        <v>84</v>
      </c>
    </row>
    <row r="857" spans="1:90" x14ac:dyDescent="0.25">
      <c r="A857" t="s">
        <v>1897</v>
      </c>
      <c r="B857" t="s">
        <v>1898</v>
      </c>
      <c r="C857" t="s">
        <v>74</v>
      </c>
      <c r="E857" t="str">
        <f>"009941705966"</f>
        <v>009941705966</v>
      </c>
      <c r="F857" s="3">
        <v>44606</v>
      </c>
      <c r="G857">
        <v>202208</v>
      </c>
      <c r="H857" t="s">
        <v>447</v>
      </c>
      <c r="I857" t="s">
        <v>448</v>
      </c>
      <c r="J857" t="s">
        <v>1964</v>
      </c>
      <c r="K857" t="s">
        <v>78</v>
      </c>
      <c r="L857" t="s">
        <v>75</v>
      </c>
      <c r="M857" t="s">
        <v>76</v>
      </c>
      <c r="N857" t="s">
        <v>2119</v>
      </c>
      <c r="O857" t="s">
        <v>80</v>
      </c>
      <c r="P857" t="str">
        <f>"NA                            "</f>
        <v xml:space="preserve">NA                            </v>
      </c>
      <c r="Q857">
        <v>0</v>
      </c>
      <c r="R857">
        <v>0</v>
      </c>
      <c r="S857">
        <v>0</v>
      </c>
      <c r="T857">
        <v>0</v>
      </c>
      <c r="U857">
        <v>0</v>
      </c>
      <c r="V857">
        <v>0</v>
      </c>
      <c r="W857">
        <v>0</v>
      </c>
      <c r="X857">
        <v>0</v>
      </c>
      <c r="Y857">
        <v>0</v>
      </c>
      <c r="Z857">
        <v>0</v>
      </c>
      <c r="AA857">
        <v>0</v>
      </c>
      <c r="AB857">
        <v>0</v>
      </c>
      <c r="AC857">
        <v>0</v>
      </c>
      <c r="AD857">
        <v>0</v>
      </c>
      <c r="AE857">
        <v>0</v>
      </c>
      <c r="AF857">
        <v>0</v>
      </c>
      <c r="AG857">
        <v>0</v>
      </c>
      <c r="AH857">
        <v>0</v>
      </c>
      <c r="AI857">
        <v>0</v>
      </c>
      <c r="AJ857">
        <v>0</v>
      </c>
      <c r="AK857">
        <v>20.95</v>
      </c>
      <c r="AL857">
        <v>0</v>
      </c>
      <c r="AM857">
        <v>0</v>
      </c>
      <c r="AN857">
        <v>0</v>
      </c>
      <c r="AO857">
        <v>0</v>
      </c>
      <c r="AP857">
        <v>0</v>
      </c>
      <c r="AQ857">
        <v>0</v>
      </c>
      <c r="AR857">
        <v>0</v>
      </c>
      <c r="AS857">
        <v>0</v>
      </c>
      <c r="AT857">
        <v>0</v>
      </c>
      <c r="AU857">
        <v>0</v>
      </c>
      <c r="AV857">
        <v>0</v>
      </c>
      <c r="AW857">
        <v>0</v>
      </c>
      <c r="AX857">
        <v>0</v>
      </c>
      <c r="AY857">
        <v>0</v>
      </c>
      <c r="AZ857">
        <v>0</v>
      </c>
      <c r="BA857">
        <v>0</v>
      </c>
      <c r="BB857">
        <v>0</v>
      </c>
      <c r="BC857">
        <v>0</v>
      </c>
      <c r="BD857">
        <v>0</v>
      </c>
      <c r="BE857">
        <v>0</v>
      </c>
      <c r="BF857">
        <v>0</v>
      </c>
      <c r="BG857">
        <v>0</v>
      </c>
      <c r="BH857">
        <v>1</v>
      </c>
      <c r="BI857">
        <v>0.2</v>
      </c>
      <c r="BJ857">
        <v>2.2999999999999998</v>
      </c>
      <c r="BK857">
        <v>2.5</v>
      </c>
      <c r="BL857">
        <v>75.37</v>
      </c>
      <c r="BM857">
        <v>11.31</v>
      </c>
      <c r="BN857">
        <v>86.68</v>
      </c>
      <c r="BO857">
        <v>86.68</v>
      </c>
      <c r="BQ857" t="s">
        <v>2120</v>
      </c>
      <c r="BR857" t="s">
        <v>1500</v>
      </c>
      <c r="BS857" s="3">
        <v>44607</v>
      </c>
      <c r="BT857" s="4">
        <v>0.46180555555555558</v>
      </c>
      <c r="BU857" t="s">
        <v>2121</v>
      </c>
      <c r="BV857" t="s">
        <v>84</v>
      </c>
      <c r="BW857" t="s">
        <v>85</v>
      </c>
      <c r="BX857" t="s">
        <v>86</v>
      </c>
      <c r="BY857">
        <v>11653.2</v>
      </c>
      <c r="BZ857" t="s">
        <v>87</v>
      </c>
      <c r="CA857" t="s">
        <v>683</v>
      </c>
      <c r="CC857" t="s">
        <v>76</v>
      </c>
      <c r="CD857">
        <v>7800</v>
      </c>
      <c r="CE857" t="s">
        <v>130</v>
      </c>
      <c r="CF857" s="3">
        <v>44608</v>
      </c>
      <c r="CI857">
        <v>1</v>
      </c>
      <c r="CJ857">
        <v>1</v>
      </c>
      <c r="CK857">
        <v>21</v>
      </c>
      <c r="CL857" t="s">
        <v>84</v>
      </c>
    </row>
    <row r="858" spans="1:90" x14ac:dyDescent="0.25">
      <c r="A858" t="s">
        <v>1897</v>
      </c>
      <c r="B858" t="s">
        <v>1898</v>
      </c>
      <c r="C858" t="s">
        <v>74</v>
      </c>
      <c r="E858" t="str">
        <f>"009940857285"</f>
        <v>009940857285</v>
      </c>
      <c r="F858" s="3">
        <v>44607</v>
      </c>
      <c r="G858">
        <v>202208</v>
      </c>
      <c r="H858" t="s">
        <v>447</v>
      </c>
      <c r="I858" t="s">
        <v>448</v>
      </c>
      <c r="J858" t="s">
        <v>2122</v>
      </c>
      <c r="K858" t="s">
        <v>78</v>
      </c>
      <c r="L858" t="s">
        <v>123</v>
      </c>
      <c r="M858" t="s">
        <v>124</v>
      </c>
      <c r="N858" t="s">
        <v>2123</v>
      </c>
      <c r="O858" t="s">
        <v>125</v>
      </c>
      <c r="P858" t="str">
        <f>"NA                            "</f>
        <v xml:space="preserve">NA                            </v>
      </c>
      <c r="Q858">
        <v>0</v>
      </c>
      <c r="R858">
        <v>0</v>
      </c>
      <c r="S858">
        <v>0</v>
      </c>
      <c r="T858">
        <v>0</v>
      </c>
      <c r="U858">
        <v>0</v>
      </c>
      <c r="V858">
        <v>0</v>
      </c>
      <c r="W858">
        <v>0</v>
      </c>
      <c r="X858">
        <v>0</v>
      </c>
      <c r="Y858">
        <v>0</v>
      </c>
      <c r="Z858">
        <v>0</v>
      </c>
      <c r="AA858">
        <v>0</v>
      </c>
      <c r="AB858">
        <v>0</v>
      </c>
      <c r="AC858">
        <v>0</v>
      </c>
      <c r="AD858">
        <v>0</v>
      </c>
      <c r="AE858">
        <v>0</v>
      </c>
      <c r="AF858">
        <v>0</v>
      </c>
      <c r="AG858">
        <v>0</v>
      </c>
      <c r="AH858">
        <v>0</v>
      </c>
      <c r="AI858">
        <v>0</v>
      </c>
      <c r="AJ858">
        <v>0</v>
      </c>
      <c r="AK858">
        <v>41.77</v>
      </c>
      <c r="AL858">
        <v>0</v>
      </c>
      <c r="AM858">
        <v>0</v>
      </c>
      <c r="AN858">
        <v>0</v>
      </c>
      <c r="AO858">
        <v>0</v>
      </c>
      <c r="AP858">
        <v>0</v>
      </c>
      <c r="AQ858">
        <v>0</v>
      </c>
      <c r="AR858">
        <v>0</v>
      </c>
      <c r="AS858">
        <v>0</v>
      </c>
      <c r="AT858">
        <v>0</v>
      </c>
      <c r="AU858">
        <v>0</v>
      </c>
      <c r="AV858">
        <v>0</v>
      </c>
      <c r="AW858">
        <v>0</v>
      </c>
      <c r="AX858">
        <v>0</v>
      </c>
      <c r="AY858">
        <v>0</v>
      </c>
      <c r="AZ858">
        <v>0</v>
      </c>
      <c r="BA858">
        <v>0</v>
      </c>
      <c r="BB858">
        <v>0</v>
      </c>
      <c r="BC858">
        <v>0</v>
      </c>
      <c r="BD858">
        <v>0</v>
      </c>
      <c r="BE858">
        <v>0</v>
      </c>
      <c r="BF858">
        <v>0</v>
      </c>
      <c r="BG858">
        <v>0</v>
      </c>
      <c r="BH858">
        <v>1</v>
      </c>
      <c r="BI858">
        <v>15.9</v>
      </c>
      <c r="BJ858">
        <v>21.8</v>
      </c>
      <c r="BK858">
        <v>22</v>
      </c>
      <c r="BL858">
        <v>155.51</v>
      </c>
      <c r="BM858">
        <v>23.33</v>
      </c>
      <c r="BN858">
        <v>178.84</v>
      </c>
      <c r="BO858">
        <v>178.84</v>
      </c>
      <c r="BQ858" t="s">
        <v>1528</v>
      </c>
      <c r="BR858" t="s">
        <v>2124</v>
      </c>
      <c r="BS858" s="3">
        <v>44609</v>
      </c>
      <c r="BT858" s="4">
        <v>0.56597222222222221</v>
      </c>
      <c r="BU858" t="s">
        <v>2125</v>
      </c>
      <c r="BV858" t="s">
        <v>101</v>
      </c>
      <c r="BY858">
        <v>108779.58</v>
      </c>
      <c r="BZ858" t="s">
        <v>137</v>
      </c>
      <c r="CA858" t="s">
        <v>317</v>
      </c>
      <c r="CC858" t="s">
        <v>124</v>
      </c>
      <c r="CD858">
        <v>6001</v>
      </c>
      <c r="CE858" t="s">
        <v>130</v>
      </c>
      <c r="CF858" s="3">
        <v>44610</v>
      </c>
      <c r="CI858">
        <v>2</v>
      </c>
      <c r="CJ858">
        <v>2</v>
      </c>
      <c r="CK858">
        <v>41</v>
      </c>
      <c r="CL858" t="s">
        <v>84</v>
      </c>
    </row>
    <row r="860" spans="1:90" x14ac:dyDescent="0.25">
      <c r="E860" t="s">
        <v>1398</v>
      </c>
      <c r="Q860">
        <v>0</v>
      </c>
      <c r="R860">
        <v>0</v>
      </c>
      <c r="S860">
        <v>0</v>
      </c>
      <c r="T860">
        <v>0</v>
      </c>
      <c r="U860">
        <v>0</v>
      </c>
      <c r="V860">
        <v>0</v>
      </c>
      <c r="W860">
        <v>0</v>
      </c>
      <c r="X860">
        <v>0</v>
      </c>
      <c r="Y860">
        <v>75</v>
      </c>
      <c r="Z860">
        <v>0</v>
      </c>
      <c r="AA860">
        <v>0</v>
      </c>
      <c r="AB860">
        <v>0</v>
      </c>
      <c r="AC860">
        <v>0</v>
      </c>
      <c r="AD860">
        <v>0</v>
      </c>
      <c r="AE860">
        <v>1820</v>
      </c>
      <c r="AF860">
        <v>0</v>
      </c>
      <c r="AG860">
        <v>0</v>
      </c>
      <c r="AH860">
        <v>0</v>
      </c>
      <c r="AI860">
        <v>0</v>
      </c>
      <c r="AJ860">
        <v>0</v>
      </c>
      <c r="AK860">
        <v>11722.49</v>
      </c>
      <c r="AL860">
        <v>0</v>
      </c>
      <c r="AM860">
        <v>0</v>
      </c>
      <c r="AN860">
        <v>0</v>
      </c>
      <c r="AO860">
        <v>0</v>
      </c>
      <c r="AP860">
        <v>0</v>
      </c>
      <c r="AQ860">
        <v>60</v>
      </c>
      <c r="AR860">
        <v>0</v>
      </c>
      <c r="AS860">
        <v>0</v>
      </c>
      <c r="AT860">
        <v>0</v>
      </c>
      <c r="AU860">
        <v>0</v>
      </c>
      <c r="AV860">
        <v>0</v>
      </c>
      <c r="AW860">
        <v>0</v>
      </c>
      <c r="AX860">
        <v>0</v>
      </c>
      <c r="AY860">
        <v>0</v>
      </c>
      <c r="AZ860">
        <v>0</v>
      </c>
      <c r="BA860">
        <v>0</v>
      </c>
      <c r="BB860">
        <v>0</v>
      </c>
      <c r="BC860">
        <v>0</v>
      </c>
      <c r="BD860">
        <v>0</v>
      </c>
      <c r="BE860">
        <v>0</v>
      </c>
      <c r="BF860">
        <v>0</v>
      </c>
      <c r="BG860">
        <v>0</v>
      </c>
      <c r="BI860">
        <v>965.7</v>
      </c>
      <c r="BJ860">
        <v>1590.4</v>
      </c>
      <c r="BK860">
        <v>1655.5</v>
      </c>
      <c r="BL860">
        <v>42517.81</v>
      </c>
      <c r="BM860">
        <v>6377.78</v>
      </c>
      <c r="BN860">
        <v>48895.59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sdrascd7-IEHAZMA161576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2022-03-01T08:51:30Z</dcterms:created>
  <dcterms:modified xsi:type="dcterms:W3CDTF">2022-03-01T08:51:52Z</dcterms:modified>
</cp:coreProperties>
</file>