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30" windowWidth="19155" windowHeight="7380"/>
  </bookViews>
  <sheets>
    <sheet name="C18281" sheetId="1" r:id="rId1"/>
  </sheets>
  <definedNames>
    <definedName name="_xlnm._FilterDatabase" localSheetId="0" hidden="1">'C18281'!$A$1:$CN$258</definedName>
  </definedNames>
  <calcPr calcId="145621"/>
</workbook>
</file>

<file path=xl/calcChain.xml><?xml version="1.0" encoding="utf-8"?>
<calcChain xmlns="http://schemas.openxmlformats.org/spreadsheetml/2006/main">
  <c r="P258" i="1" l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<sst xmlns="http://schemas.openxmlformats.org/spreadsheetml/2006/main" count="5213" uniqueCount="604">
  <si>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</si>
  <si>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</si>
  <si>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</si>
  <si>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</si>
  <si>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</si>
  <si>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</si>
  <si>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</si>
  <si>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</si>
  <si>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</si>
  <si>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</si>
  <si>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</si>
  <si>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</si>
  <si>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</si>
  <si>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</si>
  <si>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</si>
  <si>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</si>
  <si>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</si>
  <si>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</si>
  <si>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</si>
  <si>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</si>
  <si>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</si>
  <si>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</si>
  <si>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</si>
  <si>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</si>
  <si>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</si>
  <si>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</si>
  <si>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</si>
  <si>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</si>
  <si>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</si>
  <si>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</si>
  <si>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</si>
  <si>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</si>
  <si>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</si>
  <si>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</si>
  <si>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</si>
  <si>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</si>
  <si>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</si>
  <si>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</si>
  <si>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</si>
  <si>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</si>
  <si>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</si>
  <si>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</si>
  <si>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</si>
  <si>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</si>
  <si>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</si>
  <si>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</si>
  <si>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</si>
  <si>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</si>
  <si>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</si>
  <si>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</si>
  <si>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</si>
  <si>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</si>
  <si>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</si>
  <si>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</si>
  <si>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</si>
  <si>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</si>
  <si>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</si>
  <si>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</si>
  <si>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</si>
  <si>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</si>
  <si>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</si>
  <si>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</si>
  <si>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</si>
  <si>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</si>
  <si>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</si>
  <si>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</si>
  <si>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</si>
  <si>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</si>
  <si>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</si>
  <si>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</si>
  <si>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</si>
  <si>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</si>
  <si>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</si>
  <si>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PRETO</t>
  </si>
  <si>
    <t>PRETORIA</t>
  </si>
  <si>
    <t xml:space="preserve">                                   </t>
  </si>
  <si>
    <t>KEMPT</t>
  </si>
  <si>
    <t>KEMPTON PARK</t>
  </si>
  <si>
    <t>ON1</t>
  </si>
  <si>
    <t>yes</t>
  </si>
  <si>
    <t>no</t>
  </si>
  <si>
    <t>FUE / DOC</t>
  </si>
  <si>
    <t xml:space="preserve">                                        </t>
  </si>
  <si>
    <t>PIET1</t>
  </si>
  <si>
    <t>PIETERMARITZBURG</t>
  </si>
  <si>
    <t>Outlying delivery location</t>
  </si>
  <si>
    <t>POD received from cell 0823051341 M</t>
  </si>
  <si>
    <t>EAST</t>
  </si>
  <si>
    <t>EAST LONDON</t>
  </si>
  <si>
    <t>PORT3</t>
  </si>
  <si>
    <t>PORT ELIZABETH</t>
  </si>
  <si>
    <t>RANDB</t>
  </si>
  <si>
    <t>RANDBURG</t>
  </si>
  <si>
    <t>POD received from cell 0834425491 M</t>
  </si>
  <si>
    <t>PARCEL</t>
  </si>
  <si>
    <t>PINET</t>
  </si>
  <si>
    <t>PINETOWN</t>
  </si>
  <si>
    <t>DURBA</t>
  </si>
  <si>
    <t>DURBAN</t>
  </si>
  <si>
    <t>JOHAN</t>
  </si>
  <si>
    <t>JOHANNESBURG</t>
  </si>
  <si>
    <t>Bad address</t>
  </si>
  <si>
    <t>SYSTEM</t>
  </si>
  <si>
    <t>AVW</t>
  </si>
  <si>
    <t>BOKSB</t>
  </si>
  <si>
    <t>BOKSBURG</t>
  </si>
  <si>
    <t>BOX</t>
  </si>
  <si>
    <t>CCH</t>
  </si>
  <si>
    <t>POD received from cell 0733701181 M</t>
  </si>
  <si>
    <t>CAPET</t>
  </si>
  <si>
    <t>CAPE TOWN</t>
  </si>
  <si>
    <t>POD received from cell 0763378994 M</t>
  </si>
  <si>
    <t>GEORG</t>
  </si>
  <si>
    <t>GEORGE</t>
  </si>
  <si>
    <t>LINDELANI</t>
  </si>
  <si>
    <t>POD received from cell 0626229785 M</t>
  </si>
  <si>
    <t>POD received from cell 0733966806 M</t>
  </si>
  <si>
    <t>POD received from cell 0746644640 M</t>
  </si>
  <si>
    <t>Late Linehaul Delayed Beyond Skynet Control</t>
  </si>
  <si>
    <t>jam</t>
  </si>
  <si>
    <t>POD received from cell 0738058187 M</t>
  </si>
  <si>
    <t>POD received from cell 0769944386 M</t>
  </si>
  <si>
    <t>POD received from cell 0837323487 M</t>
  </si>
  <si>
    <t>POD received from cell 0717429658 M</t>
  </si>
  <si>
    <t>POD received from cell 0732237417 M</t>
  </si>
  <si>
    <t>michael</t>
  </si>
  <si>
    <t>HOWIC</t>
  </si>
  <si>
    <t>HOWICK</t>
  </si>
  <si>
    <t>POD received from cell 0827869932 M</t>
  </si>
  <si>
    <t>Appointment required</t>
  </si>
  <si>
    <t>NGF</t>
  </si>
  <si>
    <t>Consignee not available)</t>
  </si>
  <si>
    <t>POD received from cell 0732603055 M</t>
  </si>
  <si>
    <t>petrus</t>
  </si>
  <si>
    <t xml:space="preserve">Michael                       </t>
  </si>
  <si>
    <t>POD received from cell 0736813463 M</t>
  </si>
  <si>
    <t>UMHLA</t>
  </si>
  <si>
    <t>UMHLANGA ROCKS</t>
  </si>
  <si>
    <t>POD received from cell 0682948962 M</t>
  </si>
  <si>
    <t>POD received from cell 0725230163 M</t>
  </si>
  <si>
    <t>POD received from cell 0849819699 M</t>
  </si>
  <si>
    <t>LADYS</t>
  </si>
  <si>
    <t>LADYSMITH (NTL)</t>
  </si>
  <si>
    <t>UAT</t>
  </si>
  <si>
    <t>POD received from cell 0625063292 M</t>
  </si>
  <si>
    <t>MIDRA</t>
  </si>
  <si>
    <t>MIDRAND</t>
  </si>
  <si>
    <t xml:space="preserve">POD received from cell 0653632487 M     </t>
  </si>
  <si>
    <t>RANDF</t>
  </si>
  <si>
    <t>RANDFONTEIN</t>
  </si>
  <si>
    <t>POD received from cell 0739633425 M</t>
  </si>
  <si>
    <t>VANDE</t>
  </si>
  <si>
    <t>VANDERBIJLPARK</t>
  </si>
  <si>
    <t>POD received from cell 0726258782 M</t>
  </si>
  <si>
    <t>?</t>
  </si>
  <si>
    <t>POD received from cell 0780245853 M</t>
  </si>
  <si>
    <t>POD received from cell 0607554553 M</t>
  </si>
  <si>
    <t>RD</t>
  </si>
  <si>
    <t>les</t>
  </si>
  <si>
    <t>rd1</t>
  </si>
  <si>
    <t>RDL</t>
  </si>
  <si>
    <t>.</t>
  </si>
  <si>
    <t>RD2</t>
  </si>
  <si>
    <t xml:space="preserve">POD received from cell 0795886601 M     </t>
  </si>
  <si>
    <t>capet</t>
  </si>
  <si>
    <t>rd2</t>
  </si>
  <si>
    <t>RD3</t>
  </si>
  <si>
    <t>POD received from cell 0608714113 M</t>
  </si>
  <si>
    <t>ROODE</t>
  </si>
  <si>
    <t>ROODEPOORT</t>
  </si>
  <si>
    <t>PIET2</t>
  </si>
  <si>
    <t>PIETERSBURG</t>
  </si>
  <si>
    <t>POD received from cell 0670609670 M</t>
  </si>
  <si>
    <t>SDX</t>
  </si>
  <si>
    <t>DSD / FUE / doc</t>
  </si>
  <si>
    <t>sarah</t>
  </si>
  <si>
    <t>POD received from cell 0797376655 M</t>
  </si>
  <si>
    <t>POD received from cell 0642876976 M</t>
  </si>
  <si>
    <t>MOSES</t>
  </si>
  <si>
    <t>abd</t>
  </si>
  <si>
    <t>Michael</t>
  </si>
  <si>
    <t>pretty</t>
  </si>
  <si>
    <t>DOC / FUE</t>
  </si>
  <si>
    <t>ON2</t>
  </si>
  <si>
    <t>POD received from cell 0795897055 M</t>
  </si>
  <si>
    <t>preto</t>
  </si>
  <si>
    <t>RDR</t>
  </si>
  <si>
    <t>RDD</t>
  </si>
  <si>
    <t>VERWO</t>
  </si>
  <si>
    <t>CENTURION</t>
  </si>
  <si>
    <t>POD received from cell 0818590343 M</t>
  </si>
  <si>
    <t>AMANDA</t>
  </si>
  <si>
    <t>POD received from cell 0710477032 M</t>
  </si>
  <si>
    <t>TONGA</t>
  </si>
  <si>
    <t>TONGAAT</t>
  </si>
  <si>
    <t>PVT</t>
  </si>
  <si>
    <t>Box</t>
  </si>
  <si>
    <t>TES</t>
  </si>
  <si>
    <t>rdd</t>
  </si>
  <si>
    <t xml:space="preserve">POD received from cell 0818590343 M     </t>
  </si>
  <si>
    <t>POD received from cell 0834103236 M</t>
  </si>
  <si>
    <t>Missed cutoff</t>
  </si>
  <si>
    <t>FUE / doc</t>
  </si>
  <si>
    <t>RDX</t>
  </si>
  <si>
    <t xml:space="preserve">POD received from cell 0739633425 M     </t>
  </si>
  <si>
    <t>POD received from cell 0651707783 M</t>
  </si>
  <si>
    <t>POD received from cell 0733622001 M</t>
  </si>
  <si>
    <t>POD received from cell 0786312089 M</t>
  </si>
  <si>
    <t>POD received from cell 0729132225 M</t>
  </si>
  <si>
    <t>MANAGER</t>
  </si>
  <si>
    <t>POD received from cell 0733056816 M</t>
  </si>
  <si>
    <t>POD received from cell 0837429668 M</t>
  </si>
  <si>
    <t>Hellen</t>
  </si>
  <si>
    <t>TZANE</t>
  </si>
  <si>
    <t>TZANEEN</t>
  </si>
  <si>
    <t>POD received from cell 0732125467 M</t>
  </si>
  <si>
    <t>POD received from cell 0712910626 M</t>
  </si>
  <si>
    <t>POD received from cell 0735047659 M</t>
  </si>
  <si>
    <t>Anton</t>
  </si>
  <si>
    <t>Brenda</t>
  </si>
  <si>
    <t>moses</t>
  </si>
  <si>
    <t>POD received from cell 0769347056 M</t>
  </si>
  <si>
    <t>TRACY</t>
  </si>
  <si>
    <t>POD received from cell 0788599361 M</t>
  </si>
  <si>
    <t>Martha</t>
  </si>
  <si>
    <t>Mary</t>
  </si>
  <si>
    <t>NA</t>
  </si>
  <si>
    <t>POD received from cell 0835980151 M</t>
  </si>
  <si>
    <t>C18281</t>
  </si>
  <si>
    <t>MOVE ANALYTICS SA CC (SA GREETINGS)</t>
  </si>
  <si>
    <t xml:space="preserve">CARDIES ONLINE                     </t>
  </si>
  <si>
    <t xml:space="preserve">MEGAN DE BRUYN                     </t>
  </si>
  <si>
    <t>ROFI LEGODI</t>
  </si>
  <si>
    <t>MEGAN DE BRUYN</t>
  </si>
  <si>
    <t xml:space="preserve">SA GREETINGS                       </t>
  </si>
  <si>
    <t xml:space="preserve">LINDI TREUNICHT                    </t>
  </si>
  <si>
    <t>LEBOHANG NAMENG</t>
  </si>
  <si>
    <t>LINDI TREUNICHT</t>
  </si>
  <si>
    <t xml:space="preserve">REVOLUTION ADVERTISING AND LIC     </t>
  </si>
  <si>
    <t>EMMA CLARK</t>
  </si>
  <si>
    <t>Emma</t>
  </si>
  <si>
    <t xml:space="preserve">JUSTINE FICCOLO                    </t>
  </si>
  <si>
    <t>JUSTINE FICCOLO</t>
  </si>
  <si>
    <t>POD received from cell 0822621815 M</t>
  </si>
  <si>
    <t>KERRY</t>
  </si>
  <si>
    <t>patsy</t>
  </si>
  <si>
    <t xml:space="preserve">CARDIES                            </t>
  </si>
  <si>
    <t>CHAREL</t>
  </si>
  <si>
    <t>CARDIES</t>
  </si>
  <si>
    <t>keke</t>
  </si>
  <si>
    <t>josiah</t>
  </si>
  <si>
    <t xml:space="preserve">PIET ERASMUS                       </t>
  </si>
  <si>
    <t>Piet</t>
  </si>
  <si>
    <t>ALWYN</t>
  </si>
  <si>
    <t>WILMA BRIKKELS</t>
  </si>
  <si>
    <t xml:space="preserve">ALISON TEUBES                      </t>
  </si>
  <si>
    <t>ALISON TEUBES</t>
  </si>
  <si>
    <t xml:space="preserve">APHIWE MIYA                        </t>
  </si>
  <si>
    <t>sineshipho</t>
  </si>
  <si>
    <t>STRAN</t>
  </si>
  <si>
    <t>STRAND</t>
  </si>
  <si>
    <t xml:space="preserve">DONNA-LOUISE LAMERS                </t>
  </si>
  <si>
    <t>DONNA-LOUISE LAMERS</t>
  </si>
  <si>
    <t xml:space="preserve">CARDIES MALL OF AFRICA             </t>
  </si>
  <si>
    <t>ADELIA COOKE</t>
  </si>
  <si>
    <t>THABISILE</t>
  </si>
  <si>
    <t xml:space="preserve">CARDIES BEDFORD CENTRE             </t>
  </si>
  <si>
    <t>N A</t>
  </si>
  <si>
    <t>CHANTEL</t>
  </si>
  <si>
    <t xml:space="preserve">ALLEN STEYN                        </t>
  </si>
  <si>
    <t>ALLEN STEYN</t>
  </si>
  <si>
    <t xml:space="preserve">VISHAL PATEL                       </t>
  </si>
  <si>
    <t>Vishal</t>
  </si>
  <si>
    <t xml:space="preserve">LYNN TELFER                        </t>
  </si>
  <si>
    <t xml:space="preserve">CARDIES VAAL MALL                  </t>
  </si>
  <si>
    <t>micharl</t>
  </si>
  <si>
    <t xml:space="preserve">BLUE HORISON LICENSING             </t>
  </si>
  <si>
    <t>RAADHIYANI  TAYOB</t>
  </si>
  <si>
    <t>SAMANTHA</t>
  </si>
  <si>
    <t>Sue</t>
  </si>
  <si>
    <t xml:space="preserve">CLM LICENSING                      </t>
  </si>
  <si>
    <t>JACO VAN ZYL</t>
  </si>
  <si>
    <t>PATIENCE</t>
  </si>
  <si>
    <t>M Day</t>
  </si>
  <si>
    <t>LINDI TREURNICHT</t>
  </si>
  <si>
    <t>nkuli</t>
  </si>
  <si>
    <t>NUMO DANIE</t>
  </si>
  <si>
    <t xml:space="preserve">NEWHOLMES PHARMACY                 </t>
  </si>
  <si>
    <t>SHERAN PILLAY</t>
  </si>
  <si>
    <t>I PILLAY</t>
  </si>
  <si>
    <t>BOSSIE BOSHOFF</t>
  </si>
  <si>
    <t>BOSHOFF</t>
  </si>
  <si>
    <t>KEKE</t>
  </si>
  <si>
    <t>BONGIE PATISWA</t>
  </si>
  <si>
    <t xml:space="preserve">CARDIES WALMER PARK                </t>
  </si>
  <si>
    <t>MOENA</t>
  </si>
  <si>
    <t xml:space="preserve">CARDIES BAYWEST                    </t>
  </si>
  <si>
    <t>CHANTEL DE KLERCK</t>
  </si>
  <si>
    <t>NELMARE</t>
  </si>
  <si>
    <t>TRYPHINA</t>
  </si>
  <si>
    <t>rdl</t>
  </si>
  <si>
    <t>NOMSA</t>
  </si>
  <si>
    <t>HELLEN</t>
  </si>
  <si>
    <t xml:space="preserve">CARDIES MALL @ REDS                </t>
  </si>
  <si>
    <t>STACEY</t>
  </si>
  <si>
    <t xml:space="preserve">michael                       </t>
  </si>
  <si>
    <t xml:space="preserve">mi hael                       </t>
  </si>
  <si>
    <t xml:space="preserve">BARRY KING                         </t>
  </si>
  <si>
    <t xml:space="preserve">OREN KATZEFF                       </t>
  </si>
  <si>
    <t xml:space="preserve">BLUE HORIZON LICENSING             </t>
  </si>
  <si>
    <t>RAADHIYA TAYOB</t>
  </si>
  <si>
    <t>CHATEL DE KLERK</t>
  </si>
  <si>
    <t>ESTHER</t>
  </si>
  <si>
    <t xml:space="preserve">CARDIES MALL OF THE SOUTH          </t>
  </si>
  <si>
    <t>NELMARI</t>
  </si>
  <si>
    <t>MARGA</t>
  </si>
  <si>
    <t>MARGATE</t>
  </si>
  <si>
    <t xml:space="preserve">CARDIES HEAD OFFICE                </t>
  </si>
  <si>
    <t>CHANTEL DE KLERK</t>
  </si>
  <si>
    <t>YOGITA</t>
  </si>
  <si>
    <t>RD4</t>
  </si>
  <si>
    <t>LINDI T</t>
  </si>
  <si>
    <t>BARRY KING</t>
  </si>
  <si>
    <t xml:space="preserve">NIKKI RECKLY                       </t>
  </si>
  <si>
    <t>BLOE1</t>
  </si>
  <si>
    <t>BLOEMFONTEIN</t>
  </si>
  <si>
    <t xml:space="preserve">LUCKY TOHLAN G                     </t>
  </si>
  <si>
    <t>ILLEG</t>
  </si>
  <si>
    <t>POD received from cell 0718513053 M</t>
  </si>
  <si>
    <t xml:space="preserve">SHOPRITE H O                       </t>
  </si>
  <si>
    <t>MARE VAN ZYL</t>
  </si>
  <si>
    <t>NOMFUNDO DLAMINI</t>
  </si>
  <si>
    <t>wilma</t>
  </si>
  <si>
    <t>MARLENE</t>
  </si>
  <si>
    <t>ANGIE NELL</t>
  </si>
  <si>
    <t>angie</t>
  </si>
  <si>
    <t>SUE HULLER</t>
  </si>
  <si>
    <t>S Muller</t>
  </si>
  <si>
    <t xml:space="preserve">MALEEHA BISMILLA                   </t>
  </si>
  <si>
    <t>Zahra</t>
  </si>
  <si>
    <t xml:space="preserve">CARDIES BALLITO JUNCTION           </t>
  </si>
  <si>
    <t>BONGI</t>
  </si>
  <si>
    <t>JAYAAH</t>
  </si>
  <si>
    <t xml:space="preserve">TRACY MORTON                       </t>
  </si>
  <si>
    <t>ASHEA</t>
  </si>
  <si>
    <t>NOMFUNDO</t>
  </si>
  <si>
    <t>MICHAEL</t>
  </si>
  <si>
    <t>BONGIE</t>
  </si>
  <si>
    <t xml:space="preserve">JANI DU PLESSIS                    </t>
  </si>
  <si>
    <t>JANI DU PLESSIS</t>
  </si>
  <si>
    <t xml:space="preserve">HALIMA JOOSAB                      </t>
  </si>
  <si>
    <t>benzile  security</t>
  </si>
  <si>
    <t>ANGELO MARCHESINI</t>
  </si>
  <si>
    <t>Angelo</t>
  </si>
  <si>
    <t>DANIE</t>
  </si>
  <si>
    <t>LEBOHANG</t>
  </si>
  <si>
    <t>Samantha</t>
  </si>
  <si>
    <t xml:space="preserve">LINDI ENGELBRECHT                  </t>
  </si>
  <si>
    <t>LINDI ENGELBRECHT</t>
  </si>
  <si>
    <t>POD received from cell 0730059234 M</t>
  </si>
  <si>
    <t>SUE CLEOTE</t>
  </si>
  <si>
    <t>MAKWA</t>
  </si>
  <si>
    <t>MAKWASSIE</t>
  </si>
  <si>
    <t xml:space="preserve">LEONI DE LANGE COETZEE             </t>
  </si>
  <si>
    <t>LEONI DE LANGE COETZEE</t>
  </si>
  <si>
    <t>POD received from cell 0788182704 M</t>
  </si>
  <si>
    <t>ARSHAD</t>
  </si>
  <si>
    <t>CHARMAINE</t>
  </si>
  <si>
    <t>PRETTY</t>
  </si>
  <si>
    <t>RICKUS BOSCH</t>
  </si>
  <si>
    <t>adrian</t>
  </si>
  <si>
    <t>POD received from cell 0681457540 M</t>
  </si>
  <si>
    <t>STACY</t>
  </si>
  <si>
    <t xml:space="preserve">CARDIES SANDTON                    </t>
  </si>
  <si>
    <t>KATE CAIRNS</t>
  </si>
  <si>
    <t>Sindiswa</t>
  </si>
  <si>
    <t>POD received from cell 0732585995 M</t>
  </si>
  <si>
    <t>RD1</t>
  </si>
  <si>
    <t>WARMB</t>
  </si>
  <si>
    <t>WARMBAD</t>
  </si>
  <si>
    <t xml:space="preserve">NADINE SCHOLTZ                     </t>
  </si>
  <si>
    <t>bala</t>
  </si>
  <si>
    <t>POD received from cell 0761271052 M</t>
  </si>
  <si>
    <t xml:space="preserve">KERRISSA PILLAY                    </t>
  </si>
  <si>
    <t>KERRISSA PILLAY</t>
  </si>
  <si>
    <t xml:space="preserve">JP TEK                             </t>
  </si>
  <si>
    <t>CARLY SHYMAN</t>
  </si>
  <si>
    <t>ronelle</t>
  </si>
  <si>
    <t xml:space="preserve">CHARLENE VAN DER WESTHUIZEN        </t>
  </si>
  <si>
    <t>CHARLENE</t>
  </si>
  <si>
    <t xml:space="preserve">ASTHON DE PONTES                   </t>
  </si>
  <si>
    <t>Peter  security at Gate</t>
  </si>
  <si>
    <t>BOSSIE</t>
  </si>
  <si>
    <t>ALYSHA</t>
  </si>
  <si>
    <t>POD received from cell 0735504482 M</t>
  </si>
  <si>
    <t xml:space="preserve">NICOLE MACHET                      </t>
  </si>
  <si>
    <t>merchelaine</t>
  </si>
  <si>
    <t>POD received from cell 0612827599 M</t>
  </si>
  <si>
    <t>SA GREETING</t>
  </si>
  <si>
    <t xml:space="preserve">CLICKS HEAD OFFICE                 </t>
  </si>
  <si>
    <t>SHUNAAZ DREYER</t>
  </si>
  <si>
    <t>YOLANDA</t>
  </si>
  <si>
    <t>llewellyn</t>
  </si>
  <si>
    <t>RICHA</t>
  </si>
  <si>
    <t>RICHARDS BAY</t>
  </si>
  <si>
    <t>CHRISTELLE</t>
  </si>
  <si>
    <t>KIA</t>
  </si>
  <si>
    <t>hedrik</t>
  </si>
  <si>
    <t>POD received from cell 0714972442 M</t>
  </si>
  <si>
    <t xml:space="preserve">CARDIES MAIN OF SOUTH              </t>
  </si>
  <si>
    <t>PEARL</t>
  </si>
  <si>
    <t xml:space="preserve">VERUDE                             </t>
  </si>
  <si>
    <t xml:space="preserve">CARDIES BAYSIDE                    </t>
  </si>
  <si>
    <t>VERONIKA SWARDT</t>
  </si>
  <si>
    <t>Chante</t>
  </si>
  <si>
    <t xml:space="preserve">CARDIES SANDTON FOOD COURT         </t>
  </si>
  <si>
    <t>kezia</t>
  </si>
  <si>
    <t>POD received from cell 0822272106 M</t>
  </si>
  <si>
    <t>POD received from cell 0834988264 M</t>
  </si>
  <si>
    <t xml:space="preserve">CARDIES EASTGATE UPPER             </t>
  </si>
  <si>
    <t>Senzeni</t>
  </si>
  <si>
    <t>Jayendri</t>
  </si>
  <si>
    <t>Boxes</t>
  </si>
  <si>
    <t>baatjies</t>
  </si>
  <si>
    <t>ATT: LINDI 0828281532</t>
  </si>
  <si>
    <t>VERONIKA</t>
  </si>
  <si>
    <t xml:space="preserve">lindi                         </t>
  </si>
  <si>
    <t xml:space="preserve">SOPHIA GERMISTUIZEN                </t>
  </si>
  <si>
    <t>SOPHIA GERMISHUIZEN</t>
  </si>
  <si>
    <t>sophia</t>
  </si>
  <si>
    <t>CHARMAINE NAIDOO</t>
  </si>
  <si>
    <t>samantha</t>
  </si>
  <si>
    <t>moena</t>
  </si>
  <si>
    <t>CLI000121943</t>
  </si>
  <si>
    <t>philltre</t>
  </si>
  <si>
    <t xml:space="preserve">CARDIES MALL OF THE NORTH          </t>
  </si>
  <si>
    <t xml:space="preserve">MANAGER </t>
  </si>
  <si>
    <t>POD received from cell 0795513816 M</t>
  </si>
  <si>
    <t xml:space="preserve">CARDIES MENLYN MAINE               </t>
  </si>
  <si>
    <t>Tryphina</t>
  </si>
  <si>
    <t xml:space="preserve">CARDIES CLEARWATER                 </t>
  </si>
  <si>
    <t>thabile</t>
  </si>
  <si>
    <t xml:space="preserve">CARDIES MUSGRAVE                   </t>
  </si>
  <si>
    <t>nhlanhla</t>
  </si>
  <si>
    <t xml:space="preserve">CARDIES CANAL WALK                 </t>
  </si>
  <si>
    <t>SIPHOKUHLE</t>
  </si>
  <si>
    <t xml:space="preserve">CARDIES EAST RAND MALL             </t>
  </si>
  <si>
    <t>Joyce</t>
  </si>
  <si>
    <t xml:space="preserve">CARDIES CAPE GATE                  </t>
  </si>
  <si>
    <t>Elona</t>
  </si>
  <si>
    <t>ROY</t>
  </si>
  <si>
    <t>Mathato</t>
  </si>
  <si>
    <t xml:space="preserve">CARDIES CRESTA CENTRE              </t>
  </si>
  <si>
    <t xml:space="preserve">nokuthula                     </t>
  </si>
  <si>
    <t xml:space="preserve">POD received from cell 0769347056 M     </t>
  </si>
  <si>
    <t xml:space="preserve">CARDIES THE REDS                   </t>
  </si>
  <si>
    <t>Ntabiseng</t>
  </si>
  <si>
    <t xml:space="preserve">CARDIES ROSEBANK                   </t>
  </si>
  <si>
    <t>divine</t>
  </si>
  <si>
    <t>POD received from cell 0616148433 M</t>
  </si>
  <si>
    <t>kedibone</t>
  </si>
  <si>
    <t xml:space="preserve">CARDIES MENLYN PARK                </t>
  </si>
  <si>
    <t>Dalda</t>
  </si>
  <si>
    <t>POD received from cell 0787568089 M</t>
  </si>
  <si>
    <t>Rekha Reddy</t>
  </si>
  <si>
    <t xml:space="preserve">CARDIES TYGERVALLEY                </t>
  </si>
  <si>
    <t>Lee anchor</t>
  </si>
  <si>
    <t xml:space="preserve">CARDIES THE PAVILION               </t>
  </si>
  <si>
    <t xml:space="preserve">marcia                        </t>
  </si>
  <si>
    <t xml:space="preserve">POD received from cell 0736021580 M     </t>
  </si>
  <si>
    <t xml:space="preserve">CARDIES NICOLWAY                   </t>
  </si>
  <si>
    <t>nonzingo</t>
  </si>
  <si>
    <t>POD received from cell 0729564722 M</t>
  </si>
  <si>
    <t xml:space="preserve">CARDIES SHELLY BEACH               </t>
  </si>
  <si>
    <t>YOGITA GOVENDER</t>
  </si>
  <si>
    <t>yogita</t>
  </si>
  <si>
    <t xml:space="preserve">CARDIES GATEWAY                    </t>
  </si>
  <si>
    <t>CARUSHA</t>
  </si>
  <si>
    <t>Nomfundo</t>
  </si>
  <si>
    <t>POD received from cell 0834941426 M</t>
  </si>
  <si>
    <t>DENISHA ROONARAYAN</t>
  </si>
  <si>
    <t>JAYENDRI</t>
  </si>
  <si>
    <t xml:space="preserve">CARDIES LIBERTY MIDLANDS           </t>
  </si>
  <si>
    <t>RAVI GOVENDER</t>
  </si>
  <si>
    <t>Nirie at Cardies 10 55</t>
  </si>
  <si>
    <t>POD received from cell 0784468189 M</t>
  </si>
  <si>
    <t>REKHA REDDY</t>
  </si>
  <si>
    <t>FELICIA</t>
  </si>
  <si>
    <t xml:space="preserve">DENNIS DONOVAN                     </t>
  </si>
  <si>
    <t>DENNIS DONOVAN</t>
  </si>
  <si>
    <t xml:space="preserve">C L M LICENSING                    </t>
  </si>
  <si>
    <t>MICHELL BURGESS</t>
  </si>
  <si>
    <t xml:space="preserve">DEBORA HART                        </t>
  </si>
  <si>
    <t>DEBORA HART</t>
  </si>
  <si>
    <t xml:space="preserve">NATALIE SOLOMON                    </t>
  </si>
  <si>
    <t>natalie</t>
  </si>
  <si>
    <t>POD received from cell 0681920801 M</t>
  </si>
  <si>
    <t xml:space="preserve">KAYLA SCHROEDER                    </t>
  </si>
  <si>
    <t>KAYLA SCHROEDER</t>
  </si>
  <si>
    <t>POD received from cell 0681147856 M</t>
  </si>
  <si>
    <t>MICHAEL GILLIES</t>
  </si>
  <si>
    <t>charmaine</t>
  </si>
  <si>
    <t xml:space="preserve">KARELI JONKER                      </t>
  </si>
  <si>
    <t xml:space="preserve">AIMEE ANDERSON                     </t>
  </si>
  <si>
    <t xml:space="preserve">Elizabeth                     </t>
  </si>
  <si>
    <t xml:space="preserve">POD received from cell 0723940461 M     </t>
  </si>
  <si>
    <t xml:space="preserve">RIASHA NAIDU                       </t>
  </si>
  <si>
    <t>RIASHA NAIDU</t>
  </si>
  <si>
    <t xml:space="preserve">ANGIE STEYN                        </t>
  </si>
  <si>
    <t>Rosie</t>
  </si>
  <si>
    <t xml:space="preserve">RCL FOODS                          </t>
  </si>
  <si>
    <t>LENCA THERON</t>
  </si>
  <si>
    <t>ELIA</t>
  </si>
  <si>
    <t>MANAGDER</t>
  </si>
  <si>
    <t>BONGIE   PATISWA</t>
  </si>
  <si>
    <t>..</t>
  </si>
  <si>
    <t xml:space="preserve">FEROZA ASMALL                      </t>
  </si>
  <si>
    <t>milicent</t>
  </si>
  <si>
    <t>LINDI</t>
  </si>
  <si>
    <t>marie</t>
  </si>
  <si>
    <t xml:space="preserve">CORNE GONCALVES                    </t>
  </si>
  <si>
    <t>KIM KIM</t>
  </si>
  <si>
    <t xml:space="preserve">PEP HEAD OFFICE                    </t>
  </si>
  <si>
    <t>KAREN</t>
  </si>
  <si>
    <t xml:space="preserve">SHOPRITE                           </t>
  </si>
  <si>
    <t>RODGER RAID</t>
  </si>
  <si>
    <t>TANNA M.</t>
  </si>
  <si>
    <t xml:space="preserve">HEIKE LAISHLEY                     </t>
  </si>
  <si>
    <t>HEIKE LAISHLEY</t>
  </si>
  <si>
    <t>POD received from cell 0738726261 M</t>
  </si>
  <si>
    <t xml:space="preserve">FASHION WORLD                      </t>
  </si>
  <si>
    <t>CRISANNE PILLAY</t>
  </si>
  <si>
    <t>LUSHEN</t>
  </si>
  <si>
    <t>RIAN VAN ZYL</t>
  </si>
  <si>
    <t>syhol</t>
  </si>
  <si>
    <t xml:space="preserve">PREMJITH SUPERSAD                  </t>
  </si>
  <si>
    <t xml:space="preserve">PREMJITH SUPERSAD             </t>
  </si>
  <si>
    <t xml:space="preserve">MAMOKETE MAKGOPA                   </t>
  </si>
  <si>
    <t xml:space="preserve">USHMA RANCHOD                      </t>
  </si>
  <si>
    <t>USHMA RANCHOD</t>
  </si>
  <si>
    <t>SA GREETINGS</t>
  </si>
  <si>
    <t>SANDT</t>
  </si>
  <si>
    <t>SANDTON</t>
  </si>
  <si>
    <t>S.A GREETINGS</t>
  </si>
  <si>
    <t>CARDIES PAVILLION</t>
  </si>
  <si>
    <t>michel</t>
  </si>
  <si>
    <t>WILMA</t>
  </si>
  <si>
    <t>RETHA REDDY</t>
  </si>
  <si>
    <t>YOGUITA GOV</t>
  </si>
  <si>
    <t>lindi</t>
  </si>
  <si>
    <t>Promise</t>
  </si>
  <si>
    <t>mosez</t>
  </si>
  <si>
    <t>MANDGER</t>
  </si>
  <si>
    <t>MONICA</t>
  </si>
  <si>
    <t>mosses</t>
  </si>
  <si>
    <t xml:space="preserve">moena                         </t>
  </si>
  <si>
    <t>Bongi</t>
  </si>
  <si>
    <t>dylan</t>
  </si>
  <si>
    <t>mamela</t>
  </si>
  <si>
    <t>Josiah</t>
  </si>
  <si>
    <t>maria</t>
  </si>
  <si>
    <t>Denitha</t>
  </si>
  <si>
    <t>HELEN</t>
  </si>
  <si>
    <t xml:space="preserve">Lindiwe                       </t>
  </si>
  <si>
    <t>angel</t>
  </si>
  <si>
    <t>chante</t>
  </si>
  <si>
    <t>CARDIES CANAL WALK</t>
  </si>
  <si>
    <t>Moleen</t>
  </si>
  <si>
    <t>carly</t>
  </si>
  <si>
    <t xml:space="preserve">zanele                        </t>
  </si>
  <si>
    <t xml:space="preserve">POD received from cell 0834988264 M     </t>
  </si>
  <si>
    <t>dineo</t>
  </si>
  <si>
    <t>arryn</t>
  </si>
  <si>
    <t xml:space="preserve">CARDIES MARKETING                  </t>
  </si>
  <si>
    <t>thato</t>
  </si>
  <si>
    <t>Thabile</t>
  </si>
  <si>
    <t xml:space="preserve">Lowisa                        </t>
  </si>
  <si>
    <t xml:space="preserve">lungai                        </t>
  </si>
  <si>
    <t xml:space="preserve">POD received from cell 0729564722 M     </t>
  </si>
  <si>
    <t>ADENA</t>
  </si>
  <si>
    <t>STORE MANAGER</t>
  </si>
  <si>
    <t xml:space="preserve">CARDIES EASTGATE </t>
  </si>
  <si>
    <t>CARDIES BAYSIDE</t>
  </si>
  <si>
    <t>CARDIES CAVENDISH</t>
  </si>
  <si>
    <t>CARDIES EASTGATE</t>
  </si>
  <si>
    <t xml:space="preserve">CARDIES MALL @ REDS               </t>
  </si>
  <si>
    <t xml:space="preserve">CARDIES BAYSIDE MALL               </t>
  </si>
  <si>
    <t>CARDIES TYGERVALLEY</t>
  </si>
  <si>
    <t xml:space="preserve">CARDIES EASTGATE      </t>
  </si>
  <si>
    <t xml:space="preserve">CARDIES                           </t>
  </si>
  <si>
    <t xml:space="preserve">CARDIES ONLINE                    </t>
  </si>
  <si>
    <t>CARDIES ONLINE</t>
  </si>
  <si>
    <t xml:space="preserve">CARDIES </t>
  </si>
  <si>
    <t xml:space="preserve">CARDIES VAAL MALL                   </t>
  </si>
  <si>
    <t>CARDIES SANDTON</t>
  </si>
  <si>
    <t xml:space="preserve">CARDIES VAAL MALL                 </t>
  </si>
  <si>
    <t>CARDIES CLEARWATER</t>
  </si>
  <si>
    <t xml:space="preserve">CARDIES MALL @ REDS                  </t>
  </si>
  <si>
    <t>CARDIES PAVILION</t>
  </si>
  <si>
    <t xml:space="preserve">CARDIES CANAL WALK                  </t>
  </si>
  <si>
    <t xml:space="preserve">CARDIES BAYWEST MALL </t>
  </si>
  <si>
    <t xml:space="preserve">CARDIES BAYWEST MALL         </t>
  </si>
  <si>
    <t xml:space="preserve">LINDI </t>
  </si>
  <si>
    <t xml:space="preserve">SA GREETINGS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</si>
</sst>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78"/>
  <sheetViews>
    <sheetView tabSelected="1" workbookViewId="0">
      <selection sqref="A1:XFD1048576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6.5703125" bestFit="1" customWidth="1"/>
    <col min="10" max="10" width="31.5703125" bestFit="1" customWidth="1"/>
    <col min="11" max="11" width="16.140625" bestFit="1" customWidth="1"/>
    <col min="12" max="12" width="8.28515625" bestFit="1" customWidth="1"/>
    <col min="13" max="13" width="18.7109375" bestFit="1" customWidth="1"/>
    <col min="14" max="14" width="35.140625" bestFit="1" customWidth="1"/>
    <col min="15" max="15" width="4.85546875" bestFit="1" customWidth="1"/>
    <col min="16" max="16" width="25.5703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6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7" bestFit="1" customWidth="1"/>
    <col min="66" max="66" width="8" bestFit="1" customWidth="1"/>
    <col min="67" max="67" width="9.140625" bestFit="1" customWidth="1"/>
    <col min="68" max="68" width="20.7109375" bestFit="1" customWidth="1"/>
    <col min="69" max="69" width="22.5703125" bestFit="1" customWidth="1"/>
    <col min="70" max="70" width="20.7109375" bestFit="1" customWidth="1"/>
    <col min="71" max="71" width="10.7109375" bestFit="1" customWidth="1"/>
    <col min="72" max="72" width="9.7109375" bestFit="1" customWidth="1"/>
    <col min="73" max="73" width="25.140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4.5703125" bestFit="1" customWidth="1"/>
    <col min="79" max="79" width="36.85546875" bestFit="1" customWidth="1"/>
    <col min="80" max="80" width="9" bestFit="1" customWidth="1"/>
    <col min="81" max="81" width="18.710937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228</v>
      </c>
      <c r="B2" t="s">
        <v>229</v>
      </c>
      <c r="C2" t="s">
        <v>72</v>
      </c>
      <c r="E2" t="str">
        <f>"009941026573"</f>
        <v>009941026573</v>
      </c>
      <c r="F2" s="2">
        <v>44365</v>
      </c>
      <c r="G2">
        <v>202112</v>
      </c>
      <c r="H2" t="s">
        <v>99</v>
      </c>
      <c r="I2" t="s">
        <v>100</v>
      </c>
      <c r="J2" t="s">
        <v>230</v>
      </c>
      <c r="K2" t="s">
        <v>75</v>
      </c>
      <c r="L2" t="s">
        <v>126</v>
      </c>
      <c r="M2" t="s">
        <v>127</v>
      </c>
      <c r="N2" t="s">
        <v>231</v>
      </c>
      <c r="O2" t="s">
        <v>183</v>
      </c>
      <c r="P2" t="str">
        <f>"..                            "</f>
        <v xml:space="preserve">..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18.66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0.7</v>
      </c>
      <c r="BJ2">
        <v>1.8</v>
      </c>
      <c r="BK2">
        <v>2</v>
      </c>
      <c r="BL2">
        <v>99.78</v>
      </c>
      <c r="BM2">
        <v>14.97</v>
      </c>
      <c r="BN2">
        <v>114.75</v>
      </c>
      <c r="BO2">
        <v>114.75</v>
      </c>
      <c r="BR2" t="s">
        <v>232</v>
      </c>
      <c r="BS2" s="2">
        <v>44368</v>
      </c>
      <c r="BT2" s="3">
        <v>0.53611111111111109</v>
      </c>
      <c r="BU2" t="s">
        <v>233</v>
      </c>
      <c r="BV2" t="s">
        <v>79</v>
      </c>
      <c r="BY2">
        <v>9151.6200000000008</v>
      </c>
      <c r="BZ2" t="s">
        <v>202</v>
      </c>
      <c r="CA2" t="s">
        <v>128</v>
      </c>
      <c r="CC2" t="s">
        <v>127</v>
      </c>
      <c r="CD2">
        <v>3280</v>
      </c>
      <c r="CE2" t="s">
        <v>94</v>
      </c>
      <c r="CF2" s="2">
        <v>44368</v>
      </c>
      <c r="CI2">
        <v>1</v>
      </c>
      <c r="CJ2">
        <v>1</v>
      </c>
      <c r="CK2">
        <v>33</v>
      </c>
      <c r="CL2" t="s">
        <v>80</v>
      </c>
    </row>
    <row r="3" spans="1:92" x14ac:dyDescent="0.25">
      <c r="A3" t="s">
        <v>228</v>
      </c>
      <c r="B3" t="s">
        <v>229</v>
      </c>
      <c r="C3" t="s">
        <v>72</v>
      </c>
      <c r="E3" t="str">
        <f>"009941483253"</f>
        <v>009941483253</v>
      </c>
      <c r="F3" s="2">
        <v>44368</v>
      </c>
      <c r="G3">
        <v>202112</v>
      </c>
      <c r="H3" t="s">
        <v>99</v>
      </c>
      <c r="I3" t="s">
        <v>100</v>
      </c>
      <c r="J3" t="s">
        <v>234</v>
      </c>
      <c r="K3" t="s">
        <v>75</v>
      </c>
      <c r="L3" t="s">
        <v>109</v>
      </c>
      <c r="M3" t="s">
        <v>110</v>
      </c>
      <c r="N3" t="s">
        <v>235</v>
      </c>
      <c r="O3" t="s">
        <v>78</v>
      </c>
      <c r="P3" t="str">
        <f>"..                            "</f>
        <v xml:space="preserve">..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9.6300000000000008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51.5</v>
      </c>
      <c r="BM3">
        <v>7.73</v>
      </c>
      <c r="BN3">
        <v>59.23</v>
      </c>
      <c r="BO3">
        <v>59.23</v>
      </c>
      <c r="BR3" t="s">
        <v>236</v>
      </c>
      <c r="BS3" s="2">
        <v>44369</v>
      </c>
      <c r="BT3" s="3">
        <v>0.36249999999999999</v>
      </c>
      <c r="BU3" t="s">
        <v>237</v>
      </c>
      <c r="BV3" t="s">
        <v>79</v>
      </c>
      <c r="BY3">
        <v>1200</v>
      </c>
      <c r="BZ3" t="s">
        <v>81</v>
      </c>
      <c r="CA3" t="s">
        <v>117</v>
      </c>
      <c r="CC3" t="s">
        <v>110</v>
      </c>
      <c r="CD3">
        <v>7561</v>
      </c>
      <c r="CE3" t="s">
        <v>94</v>
      </c>
      <c r="CF3" s="2">
        <v>44370</v>
      </c>
      <c r="CI3">
        <v>1</v>
      </c>
      <c r="CJ3">
        <v>1</v>
      </c>
      <c r="CK3">
        <v>21</v>
      </c>
      <c r="CL3" t="s">
        <v>80</v>
      </c>
    </row>
    <row r="4" spans="1:92" x14ac:dyDescent="0.25">
      <c r="A4" t="s">
        <v>228</v>
      </c>
      <c r="B4" t="s">
        <v>229</v>
      </c>
      <c r="C4" t="s">
        <v>72</v>
      </c>
      <c r="E4" t="str">
        <f>"009941483252"</f>
        <v>009941483252</v>
      </c>
      <c r="F4" s="2">
        <v>44368</v>
      </c>
      <c r="G4">
        <v>202112</v>
      </c>
      <c r="H4" t="s">
        <v>99</v>
      </c>
      <c r="I4" t="s">
        <v>100</v>
      </c>
      <c r="J4" t="s">
        <v>234</v>
      </c>
      <c r="K4" t="s">
        <v>75</v>
      </c>
      <c r="L4" t="s">
        <v>109</v>
      </c>
      <c r="M4" t="s">
        <v>110</v>
      </c>
      <c r="N4" t="s">
        <v>238</v>
      </c>
      <c r="O4" t="s">
        <v>78</v>
      </c>
      <c r="P4" t="str">
        <f>"..                            "</f>
        <v xml:space="preserve">..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9.6300000000000008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51.5</v>
      </c>
      <c r="BM4">
        <v>7.73</v>
      </c>
      <c r="BN4">
        <v>59.23</v>
      </c>
      <c r="BO4">
        <v>59.23</v>
      </c>
      <c r="BQ4" t="s">
        <v>239</v>
      </c>
      <c r="BR4" t="s">
        <v>236</v>
      </c>
      <c r="BS4" s="2">
        <v>44369</v>
      </c>
      <c r="BT4" s="3">
        <v>0.45902777777777781</v>
      </c>
      <c r="BU4" t="s">
        <v>240</v>
      </c>
      <c r="BV4" t="s">
        <v>80</v>
      </c>
      <c r="BW4" t="s">
        <v>118</v>
      </c>
      <c r="BX4" t="s">
        <v>119</v>
      </c>
      <c r="BY4">
        <v>1200</v>
      </c>
      <c r="BZ4" t="s">
        <v>81</v>
      </c>
      <c r="CA4" t="s">
        <v>115</v>
      </c>
      <c r="CC4" t="s">
        <v>110</v>
      </c>
      <c r="CD4">
        <v>8000</v>
      </c>
      <c r="CE4" t="s">
        <v>94</v>
      </c>
      <c r="CF4" s="2">
        <v>44370</v>
      </c>
      <c r="CI4">
        <v>1</v>
      </c>
      <c r="CJ4">
        <v>1</v>
      </c>
      <c r="CK4">
        <v>21</v>
      </c>
      <c r="CL4" t="s">
        <v>80</v>
      </c>
    </row>
    <row r="5" spans="1:92" x14ac:dyDescent="0.25">
      <c r="A5" t="s">
        <v>228</v>
      </c>
      <c r="B5" t="s">
        <v>229</v>
      </c>
      <c r="C5" t="s">
        <v>72</v>
      </c>
      <c r="E5" t="str">
        <f>"009941026578"</f>
        <v>009941026578</v>
      </c>
      <c r="F5" s="2">
        <v>44368</v>
      </c>
      <c r="G5">
        <v>202112</v>
      </c>
      <c r="H5" t="s">
        <v>99</v>
      </c>
      <c r="I5" t="s">
        <v>100</v>
      </c>
      <c r="J5" t="s">
        <v>230</v>
      </c>
      <c r="K5" t="s">
        <v>75</v>
      </c>
      <c r="L5" t="s">
        <v>99</v>
      </c>
      <c r="M5" t="s">
        <v>100</v>
      </c>
      <c r="N5" t="s">
        <v>241</v>
      </c>
      <c r="O5" t="s">
        <v>183</v>
      </c>
      <c r="P5" t="str">
        <f>"..                            "</f>
        <v xml:space="preserve">..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7.52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2.2000000000000002</v>
      </c>
      <c r="BK5">
        <v>3</v>
      </c>
      <c r="BL5">
        <v>40.229999999999997</v>
      </c>
      <c r="BM5">
        <v>6.03</v>
      </c>
      <c r="BN5">
        <v>46.26</v>
      </c>
      <c r="BO5">
        <v>46.26</v>
      </c>
      <c r="BR5" t="s">
        <v>232</v>
      </c>
      <c r="BS5" s="2">
        <v>44369</v>
      </c>
      <c r="BT5" s="3">
        <v>0.38194444444444442</v>
      </c>
      <c r="BU5" t="s">
        <v>242</v>
      </c>
      <c r="BV5" t="s">
        <v>79</v>
      </c>
      <c r="BY5">
        <v>11044.17</v>
      </c>
      <c r="BZ5" t="s">
        <v>202</v>
      </c>
      <c r="CA5" t="s">
        <v>243</v>
      </c>
      <c r="CC5" t="s">
        <v>100</v>
      </c>
      <c r="CD5">
        <v>2122</v>
      </c>
      <c r="CE5" t="s">
        <v>94</v>
      </c>
      <c r="CF5" s="2">
        <v>44370</v>
      </c>
      <c r="CI5">
        <v>1</v>
      </c>
      <c r="CJ5">
        <v>1</v>
      </c>
      <c r="CK5">
        <v>32</v>
      </c>
      <c r="CL5" t="s">
        <v>80</v>
      </c>
    </row>
    <row r="6" spans="1:92" x14ac:dyDescent="0.25">
      <c r="A6" t="s">
        <v>228</v>
      </c>
      <c r="B6" t="s">
        <v>229</v>
      </c>
      <c r="C6" t="s">
        <v>72</v>
      </c>
      <c r="E6" t="str">
        <f>"009941548398"</f>
        <v>009941548398</v>
      </c>
      <c r="F6" s="2">
        <v>44368</v>
      </c>
      <c r="G6">
        <v>202112</v>
      </c>
      <c r="H6" t="s">
        <v>99</v>
      </c>
      <c r="I6" t="s">
        <v>100</v>
      </c>
      <c r="J6" t="s">
        <v>234</v>
      </c>
      <c r="K6" t="s">
        <v>75</v>
      </c>
      <c r="L6" t="s">
        <v>97</v>
      </c>
      <c r="M6" t="s">
        <v>98</v>
      </c>
      <c r="N6" t="s">
        <v>234</v>
      </c>
      <c r="O6" t="s">
        <v>78</v>
      </c>
      <c r="P6" t="str">
        <f>"..                            "</f>
        <v xml:space="preserve">..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21.66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4.3</v>
      </c>
      <c r="BJ6">
        <v>4.4000000000000004</v>
      </c>
      <c r="BK6">
        <v>4.5</v>
      </c>
      <c r="BL6">
        <v>115.83</v>
      </c>
      <c r="BM6">
        <v>17.37</v>
      </c>
      <c r="BN6">
        <v>133.19999999999999</v>
      </c>
      <c r="BO6">
        <v>133.19999999999999</v>
      </c>
      <c r="BQ6" t="s">
        <v>244</v>
      </c>
      <c r="BR6" t="s">
        <v>236</v>
      </c>
      <c r="BS6" s="2">
        <v>44369</v>
      </c>
      <c r="BT6" s="3">
        <v>0.34722222222222227</v>
      </c>
      <c r="BU6" t="s">
        <v>245</v>
      </c>
      <c r="BV6" t="s">
        <v>79</v>
      </c>
      <c r="BY6">
        <v>22055.49</v>
      </c>
      <c r="BZ6" t="s">
        <v>81</v>
      </c>
      <c r="CA6" t="s">
        <v>211</v>
      </c>
      <c r="CC6" t="s">
        <v>98</v>
      </c>
      <c r="CD6">
        <v>3629</v>
      </c>
      <c r="CE6" t="s">
        <v>94</v>
      </c>
      <c r="CF6" s="2">
        <v>44369</v>
      </c>
      <c r="CI6">
        <v>1</v>
      </c>
      <c r="CJ6">
        <v>1</v>
      </c>
      <c r="CK6">
        <v>21</v>
      </c>
      <c r="CL6" t="s">
        <v>80</v>
      </c>
    </row>
    <row r="7" spans="1:92" x14ac:dyDescent="0.25">
      <c r="A7" t="s">
        <v>228</v>
      </c>
      <c r="B7" t="s">
        <v>229</v>
      </c>
      <c r="C7" t="s">
        <v>72</v>
      </c>
      <c r="E7" t="str">
        <f>"009940568071"</f>
        <v>009940568071</v>
      </c>
      <c r="F7" s="2">
        <v>44369</v>
      </c>
      <c r="G7">
        <v>202112</v>
      </c>
      <c r="H7" t="s">
        <v>109</v>
      </c>
      <c r="I7" t="s">
        <v>110</v>
      </c>
      <c r="J7" t="s">
        <v>246</v>
      </c>
      <c r="K7" t="s">
        <v>75</v>
      </c>
      <c r="L7" t="s">
        <v>99</v>
      </c>
      <c r="M7" t="s">
        <v>100</v>
      </c>
      <c r="N7" t="s">
        <v>234</v>
      </c>
      <c r="O7" t="s">
        <v>157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19.71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2.1</v>
      </c>
      <c r="BK7">
        <v>2</v>
      </c>
      <c r="BL7">
        <v>110.42</v>
      </c>
      <c r="BM7">
        <v>16.559999999999999</v>
      </c>
      <c r="BN7">
        <v>126.98</v>
      </c>
      <c r="BO7">
        <v>126.98</v>
      </c>
      <c r="BQ7" t="s">
        <v>247</v>
      </c>
      <c r="BR7" t="s">
        <v>248</v>
      </c>
      <c r="BS7" s="2">
        <v>44370</v>
      </c>
      <c r="BT7" s="3">
        <v>0.36388888888888887</v>
      </c>
      <c r="BU7" t="s">
        <v>249</v>
      </c>
      <c r="BV7" t="s">
        <v>79</v>
      </c>
      <c r="BY7">
        <v>10260</v>
      </c>
      <c r="CA7" t="s">
        <v>150</v>
      </c>
      <c r="CC7" t="s">
        <v>100</v>
      </c>
      <c r="CD7">
        <v>2001</v>
      </c>
      <c r="CE7" t="s">
        <v>94</v>
      </c>
      <c r="CF7" s="2">
        <v>44370</v>
      </c>
      <c r="CI7">
        <v>2</v>
      </c>
      <c r="CJ7">
        <v>1</v>
      </c>
      <c r="CK7" t="s">
        <v>162</v>
      </c>
      <c r="CL7" t="s">
        <v>80</v>
      </c>
    </row>
    <row r="8" spans="1:92" x14ac:dyDescent="0.25">
      <c r="A8" t="s">
        <v>228</v>
      </c>
      <c r="B8" t="s">
        <v>229</v>
      </c>
      <c r="C8" t="s">
        <v>72</v>
      </c>
      <c r="E8" t="str">
        <f>"009940224887"</f>
        <v>009940224887</v>
      </c>
      <c r="F8" s="2">
        <v>44369</v>
      </c>
      <c r="G8">
        <v>202112</v>
      </c>
      <c r="H8" t="s">
        <v>99</v>
      </c>
      <c r="I8" t="s">
        <v>100</v>
      </c>
      <c r="J8" t="s">
        <v>230</v>
      </c>
      <c r="K8" t="s">
        <v>75</v>
      </c>
      <c r="L8" t="s">
        <v>99</v>
      </c>
      <c r="M8" t="s">
        <v>100</v>
      </c>
      <c r="N8" t="s">
        <v>234</v>
      </c>
      <c r="O8" t="s">
        <v>157</v>
      </c>
      <c r="P8" t="str">
        <f>"..                            "</f>
        <v xml:space="preserve">..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13.54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77.42</v>
      </c>
      <c r="BM8">
        <v>11.61</v>
      </c>
      <c r="BN8">
        <v>89.03</v>
      </c>
      <c r="BO8">
        <v>89.03</v>
      </c>
      <c r="BQ8" t="s">
        <v>226</v>
      </c>
      <c r="BR8" t="s">
        <v>250</v>
      </c>
      <c r="BS8" s="2">
        <v>44370</v>
      </c>
      <c r="BT8" s="3">
        <v>0.36388888888888887</v>
      </c>
      <c r="BU8" t="s">
        <v>249</v>
      </c>
      <c r="BV8" t="s">
        <v>79</v>
      </c>
      <c r="BY8">
        <v>1200</v>
      </c>
      <c r="CA8" t="s">
        <v>150</v>
      </c>
      <c r="CC8" t="s">
        <v>100</v>
      </c>
      <c r="CD8">
        <v>2000</v>
      </c>
      <c r="CE8" t="s">
        <v>94</v>
      </c>
      <c r="CF8" s="2">
        <v>44370</v>
      </c>
      <c r="CI8">
        <v>1</v>
      </c>
      <c r="CJ8">
        <v>1</v>
      </c>
      <c r="CK8" t="s">
        <v>160</v>
      </c>
      <c r="CL8" t="s">
        <v>80</v>
      </c>
    </row>
    <row r="9" spans="1:92" x14ac:dyDescent="0.25">
      <c r="A9" t="s">
        <v>228</v>
      </c>
      <c r="B9" t="s">
        <v>229</v>
      </c>
      <c r="C9" t="s">
        <v>72</v>
      </c>
      <c r="E9" t="str">
        <f>"009941026574"</f>
        <v>009941026574</v>
      </c>
      <c r="F9" s="2">
        <v>44365</v>
      </c>
      <c r="G9">
        <v>202112</v>
      </c>
      <c r="H9" t="s">
        <v>99</v>
      </c>
      <c r="I9" t="s">
        <v>100</v>
      </c>
      <c r="J9" t="s">
        <v>230</v>
      </c>
      <c r="K9" t="s">
        <v>75</v>
      </c>
      <c r="L9" t="s">
        <v>112</v>
      </c>
      <c r="M9" t="s">
        <v>113</v>
      </c>
      <c r="N9" t="s">
        <v>251</v>
      </c>
      <c r="O9" t="s">
        <v>183</v>
      </c>
      <c r="P9" t="str">
        <f>"..                            "</f>
        <v xml:space="preserve">..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27.08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1.7</v>
      </c>
      <c r="BJ9">
        <v>5.2</v>
      </c>
      <c r="BK9">
        <v>6</v>
      </c>
      <c r="BL9">
        <v>144.84</v>
      </c>
      <c r="BM9">
        <v>21.73</v>
      </c>
      <c r="BN9">
        <v>166.57</v>
      </c>
      <c r="BO9">
        <v>166.57</v>
      </c>
      <c r="BR9" t="s">
        <v>232</v>
      </c>
      <c r="BS9" s="2">
        <v>44369</v>
      </c>
      <c r="BT9" s="3">
        <v>0.61875000000000002</v>
      </c>
      <c r="BU9" t="s">
        <v>252</v>
      </c>
      <c r="BV9" t="s">
        <v>80</v>
      </c>
      <c r="BY9">
        <v>26094.79</v>
      </c>
      <c r="BZ9" t="s">
        <v>202</v>
      </c>
      <c r="CC9" t="s">
        <v>113</v>
      </c>
      <c r="CD9">
        <v>6530</v>
      </c>
      <c r="CE9" t="s">
        <v>94</v>
      </c>
      <c r="CF9" s="2">
        <v>44370</v>
      </c>
      <c r="CI9">
        <v>1</v>
      </c>
      <c r="CJ9">
        <v>2</v>
      </c>
      <c r="CK9">
        <v>31</v>
      </c>
      <c r="CL9" t="s">
        <v>80</v>
      </c>
    </row>
    <row r="10" spans="1:92" x14ac:dyDescent="0.25">
      <c r="A10" t="s">
        <v>228</v>
      </c>
      <c r="B10" t="s">
        <v>229</v>
      </c>
      <c r="C10" t="s">
        <v>72</v>
      </c>
      <c r="E10" t="str">
        <f>"009939926596"</f>
        <v>009939926596</v>
      </c>
      <c r="F10" s="2">
        <v>44368</v>
      </c>
      <c r="G10">
        <v>202112</v>
      </c>
      <c r="H10" t="s">
        <v>109</v>
      </c>
      <c r="I10" t="s">
        <v>110</v>
      </c>
      <c r="J10" t="s">
        <v>234</v>
      </c>
      <c r="K10" t="s">
        <v>75</v>
      </c>
      <c r="L10" t="s">
        <v>99</v>
      </c>
      <c r="M10" t="s">
        <v>100</v>
      </c>
      <c r="N10" t="s">
        <v>234</v>
      </c>
      <c r="O10" t="s">
        <v>78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12.04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1.2</v>
      </c>
      <c r="BJ10">
        <v>2.2999999999999998</v>
      </c>
      <c r="BK10">
        <v>2.5</v>
      </c>
      <c r="BL10">
        <v>64.37</v>
      </c>
      <c r="BM10">
        <v>9.66</v>
      </c>
      <c r="BN10">
        <v>74.03</v>
      </c>
      <c r="BO10">
        <v>74.03</v>
      </c>
      <c r="BQ10" t="s">
        <v>253</v>
      </c>
      <c r="BR10" t="s">
        <v>254</v>
      </c>
      <c r="BS10" s="2">
        <v>44369</v>
      </c>
      <c r="BT10" s="3">
        <v>0.30069444444444443</v>
      </c>
      <c r="BU10" t="s">
        <v>125</v>
      </c>
      <c r="BV10" t="s">
        <v>79</v>
      </c>
      <c r="BY10">
        <v>11540.88</v>
      </c>
      <c r="BZ10" t="s">
        <v>81</v>
      </c>
      <c r="CA10" t="s">
        <v>150</v>
      </c>
      <c r="CC10" t="s">
        <v>100</v>
      </c>
      <c r="CD10">
        <v>2013</v>
      </c>
      <c r="CE10" t="s">
        <v>94</v>
      </c>
      <c r="CF10" s="2">
        <v>44369</v>
      </c>
      <c r="CI10">
        <v>1</v>
      </c>
      <c r="CJ10">
        <v>1</v>
      </c>
      <c r="CK10">
        <v>21</v>
      </c>
      <c r="CL10" t="s">
        <v>80</v>
      </c>
    </row>
    <row r="11" spans="1:92" x14ac:dyDescent="0.25">
      <c r="A11" t="s">
        <v>228</v>
      </c>
      <c r="B11" t="s">
        <v>229</v>
      </c>
      <c r="C11" t="s">
        <v>72</v>
      </c>
      <c r="E11" t="str">
        <f>"009941026572"</f>
        <v>009941026572</v>
      </c>
      <c r="F11" s="2">
        <v>44365</v>
      </c>
      <c r="G11">
        <v>202112</v>
      </c>
      <c r="H11" t="s">
        <v>99</v>
      </c>
      <c r="I11" t="s">
        <v>100</v>
      </c>
      <c r="J11" t="s">
        <v>230</v>
      </c>
      <c r="K11" t="s">
        <v>75</v>
      </c>
      <c r="L11" t="s">
        <v>213</v>
      </c>
      <c r="M11" t="s">
        <v>214</v>
      </c>
      <c r="N11" t="s">
        <v>255</v>
      </c>
      <c r="O11" t="s">
        <v>78</v>
      </c>
      <c r="P11" t="str">
        <f t="shared" ref="P11:P16" si="0">"..                            "</f>
        <v xml:space="preserve">..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18.66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1.7</v>
      </c>
      <c r="BK11">
        <v>2</v>
      </c>
      <c r="BL11">
        <v>99.78</v>
      </c>
      <c r="BM11">
        <v>14.97</v>
      </c>
      <c r="BN11">
        <v>114.75</v>
      </c>
      <c r="BO11">
        <v>114.75</v>
      </c>
      <c r="BR11" t="s">
        <v>232</v>
      </c>
      <c r="BS11" s="2">
        <v>44369</v>
      </c>
      <c r="BT11" s="3">
        <v>0.41180555555555554</v>
      </c>
      <c r="BU11" t="s">
        <v>256</v>
      </c>
      <c r="BV11" t="s">
        <v>80</v>
      </c>
      <c r="BW11" t="s">
        <v>131</v>
      </c>
      <c r="BX11" t="s">
        <v>102</v>
      </c>
      <c r="BY11">
        <v>8562.6</v>
      </c>
      <c r="BZ11" t="s">
        <v>81</v>
      </c>
      <c r="CA11" t="s">
        <v>215</v>
      </c>
      <c r="CC11" t="s">
        <v>214</v>
      </c>
      <c r="CD11">
        <v>730</v>
      </c>
      <c r="CE11" t="s">
        <v>94</v>
      </c>
      <c r="CF11" s="2">
        <v>44369</v>
      </c>
      <c r="CI11">
        <v>1</v>
      </c>
      <c r="CJ11">
        <v>2</v>
      </c>
      <c r="CK11">
        <v>23</v>
      </c>
      <c r="CL11" t="s">
        <v>80</v>
      </c>
    </row>
    <row r="12" spans="1:92" x14ac:dyDescent="0.25">
      <c r="A12" t="s">
        <v>228</v>
      </c>
      <c r="B12" t="s">
        <v>229</v>
      </c>
      <c r="C12" t="s">
        <v>72</v>
      </c>
      <c r="E12" t="str">
        <f>"009941026575"</f>
        <v>009941026575</v>
      </c>
      <c r="F12" s="2">
        <v>44368</v>
      </c>
      <c r="G12">
        <v>202112</v>
      </c>
      <c r="H12" t="s">
        <v>99</v>
      </c>
      <c r="I12" t="s">
        <v>100</v>
      </c>
      <c r="J12" t="s">
        <v>230</v>
      </c>
      <c r="K12" t="s">
        <v>75</v>
      </c>
      <c r="L12" t="s">
        <v>83</v>
      </c>
      <c r="M12" t="s">
        <v>84</v>
      </c>
      <c r="N12" t="s">
        <v>257</v>
      </c>
      <c r="O12" t="s">
        <v>183</v>
      </c>
      <c r="P12" t="str">
        <f t="shared" si="0"/>
        <v xml:space="preserve">..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18.059999999999999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1.1000000000000001</v>
      </c>
      <c r="BJ12">
        <v>2.2000000000000002</v>
      </c>
      <c r="BK12">
        <v>3</v>
      </c>
      <c r="BL12">
        <v>96.56</v>
      </c>
      <c r="BM12">
        <v>14.48</v>
      </c>
      <c r="BN12">
        <v>111.04</v>
      </c>
      <c r="BO12">
        <v>111.04</v>
      </c>
      <c r="BR12" t="s">
        <v>232</v>
      </c>
      <c r="BS12" s="2">
        <v>44369</v>
      </c>
      <c r="BT12" s="3">
        <v>0.46388888888888885</v>
      </c>
      <c r="BU12" t="s">
        <v>258</v>
      </c>
      <c r="BV12" t="s">
        <v>79</v>
      </c>
      <c r="BY12">
        <v>10950.55</v>
      </c>
      <c r="BZ12" t="s">
        <v>202</v>
      </c>
      <c r="CA12" t="s">
        <v>86</v>
      </c>
      <c r="CC12" t="s">
        <v>84</v>
      </c>
      <c r="CD12">
        <v>3201</v>
      </c>
      <c r="CE12" t="s">
        <v>94</v>
      </c>
      <c r="CF12" s="2">
        <v>44370</v>
      </c>
      <c r="CI12">
        <v>1</v>
      </c>
      <c r="CJ12">
        <v>1</v>
      </c>
      <c r="CK12">
        <v>31</v>
      </c>
      <c r="CL12" t="s">
        <v>80</v>
      </c>
    </row>
    <row r="13" spans="1:92" x14ac:dyDescent="0.25">
      <c r="A13" t="s">
        <v>228</v>
      </c>
      <c r="B13" t="s">
        <v>229</v>
      </c>
      <c r="C13" t="s">
        <v>72</v>
      </c>
      <c r="E13" t="str">
        <f>"009941026576"</f>
        <v>009941026576</v>
      </c>
      <c r="F13" s="2">
        <v>44368</v>
      </c>
      <c r="G13">
        <v>202112</v>
      </c>
      <c r="H13" t="s">
        <v>99</v>
      </c>
      <c r="I13" t="s">
        <v>100</v>
      </c>
      <c r="J13" t="s">
        <v>230</v>
      </c>
      <c r="K13" t="s">
        <v>75</v>
      </c>
      <c r="L13" t="s">
        <v>259</v>
      </c>
      <c r="M13" t="s">
        <v>260</v>
      </c>
      <c r="N13" t="s">
        <v>261</v>
      </c>
      <c r="O13" t="s">
        <v>183</v>
      </c>
      <c r="P13" t="str">
        <f t="shared" si="0"/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18.66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99.78</v>
      </c>
      <c r="BM13">
        <v>14.97</v>
      </c>
      <c r="BN13">
        <v>114.75</v>
      </c>
      <c r="BO13">
        <v>114.75</v>
      </c>
      <c r="BR13" t="s">
        <v>232</v>
      </c>
      <c r="BS13" s="2">
        <v>44369</v>
      </c>
      <c r="BT13" s="3">
        <v>0.47361111111111115</v>
      </c>
      <c r="BU13" t="s">
        <v>262</v>
      </c>
      <c r="BV13" t="s">
        <v>79</v>
      </c>
      <c r="BY13">
        <v>1200</v>
      </c>
      <c r="BZ13" t="s">
        <v>202</v>
      </c>
      <c r="CA13" t="s">
        <v>108</v>
      </c>
      <c r="CC13" t="s">
        <v>260</v>
      </c>
      <c r="CD13">
        <v>7129</v>
      </c>
      <c r="CE13" t="s">
        <v>94</v>
      </c>
      <c r="CF13" s="2">
        <v>44370</v>
      </c>
      <c r="CI13">
        <v>1</v>
      </c>
      <c r="CJ13">
        <v>1</v>
      </c>
      <c r="CK13">
        <v>33</v>
      </c>
      <c r="CL13" t="s">
        <v>80</v>
      </c>
    </row>
    <row r="14" spans="1:92" x14ac:dyDescent="0.25">
      <c r="A14" t="s">
        <v>228</v>
      </c>
      <c r="B14" t="s">
        <v>229</v>
      </c>
      <c r="C14" t="s">
        <v>72</v>
      </c>
      <c r="E14" t="str">
        <f>"009941795960"</f>
        <v>009941795960</v>
      </c>
      <c r="F14" s="2">
        <v>44370</v>
      </c>
      <c r="G14">
        <v>202112</v>
      </c>
      <c r="H14" t="s">
        <v>145</v>
      </c>
      <c r="I14" t="s">
        <v>146</v>
      </c>
      <c r="J14" t="s">
        <v>263</v>
      </c>
      <c r="K14" t="s">
        <v>75</v>
      </c>
      <c r="L14" t="s">
        <v>99</v>
      </c>
      <c r="M14" t="s">
        <v>100</v>
      </c>
      <c r="N14" t="s">
        <v>234</v>
      </c>
      <c r="O14" t="s">
        <v>157</v>
      </c>
      <c r="P14" t="str">
        <f t="shared" si="0"/>
        <v xml:space="preserve">..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13.54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1.6</v>
      </c>
      <c r="BK14">
        <v>2</v>
      </c>
      <c r="BL14">
        <v>77.42</v>
      </c>
      <c r="BM14">
        <v>11.61</v>
      </c>
      <c r="BN14">
        <v>89.03</v>
      </c>
      <c r="BO14">
        <v>89.03</v>
      </c>
      <c r="BQ14" t="s">
        <v>264</v>
      </c>
      <c r="BR14" t="s">
        <v>265</v>
      </c>
      <c r="BS14" s="2">
        <v>44371</v>
      </c>
      <c r="BT14" s="3">
        <v>0.30902777777777779</v>
      </c>
      <c r="BU14" t="s">
        <v>125</v>
      </c>
      <c r="BV14" t="s">
        <v>79</v>
      </c>
      <c r="BY14">
        <v>8208.0400000000009</v>
      </c>
      <c r="CA14" t="s">
        <v>150</v>
      </c>
      <c r="CC14" t="s">
        <v>100</v>
      </c>
      <c r="CD14">
        <v>2013</v>
      </c>
      <c r="CE14" t="s">
        <v>94</v>
      </c>
      <c r="CF14" s="2">
        <v>44371</v>
      </c>
      <c r="CI14">
        <v>1</v>
      </c>
      <c r="CJ14">
        <v>1</v>
      </c>
      <c r="CK14" t="s">
        <v>160</v>
      </c>
      <c r="CL14" t="s">
        <v>80</v>
      </c>
    </row>
    <row r="15" spans="1:92" x14ac:dyDescent="0.25">
      <c r="A15" t="s">
        <v>228</v>
      </c>
      <c r="B15" t="s">
        <v>229</v>
      </c>
      <c r="C15" t="s">
        <v>72</v>
      </c>
      <c r="E15" t="str">
        <f>"009941474639"</f>
        <v>009941474639</v>
      </c>
      <c r="F15" s="2">
        <v>44368</v>
      </c>
      <c r="G15">
        <v>202112</v>
      </c>
      <c r="H15" t="s">
        <v>99</v>
      </c>
      <c r="I15" t="s">
        <v>100</v>
      </c>
      <c r="J15" t="s">
        <v>246</v>
      </c>
      <c r="K15" t="s">
        <v>75</v>
      </c>
      <c r="L15" t="s">
        <v>188</v>
      </c>
      <c r="M15" t="s">
        <v>189</v>
      </c>
      <c r="N15" t="s">
        <v>234</v>
      </c>
      <c r="O15" t="s">
        <v>157</v>
      </c>
      <c r="P15" t="str">
        <f t="shared" si="0"/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16.55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93.51</v>
      </c>
      <c r="BM15">
        <v>14.03</v>
      </c>
      <c r="BN15">
        <v>107.54</v>
      </c>
      <c r="BO15">
        <v>107.54</v>
      </c>
      <c r="BQ15" t="s">
        <v>226</v>
      </c>
      <c r="BR15" t="s">
        <v>226</v>
      </c>
      <c r="BS15" s="2">
        <v>44371</v>
      </c>
      <c r="BT15" s="3">
        <v>0.30833333333333335</v>
      </c>
      <c r="BU15" t="s">
        <v>125</v>
      </c>
      <c r="BV15" t="s">
        <v>80</v>
      </c>
      <c r="BW15" t="s">
        <v>131</v>
      </c>
      <c r="BX15" t="s">
        <v>197</v>
      </c>
      <c r="BY15">
        <v>1200</v>
      </c>
      <c r="CA15" t="s">
        <v>150</v>
      </c>
      <c r="CC15" t="s">
        <v>189</v>
      </c>
      <c r="CD15">
        <v>46</v>
      </c>
      <c r="CE15" t="s">
        <v>94</v>
      </c>
      <c r="CF15" s="2">
        <v>44371</v>
      </c>
      <c r="CI15">
        <v>0</v>
      </c>
      <c r="CJ15">
        <v>0</v>
      </c>
      <c r="CK15" t="s">
        <v>186</v>
      </c>
      <c r="CL15" t="s">
        <v>80</v>
      </c>
    </row>
    <row r="16" spans="1:92" x14ac:dyDescent="0.25">
      <c r="A16" t="s">
        <v>228</v>
      </c>
      <c r="B16" t="s">
        <v>229</v>
      </c>
      <c r="C16" t="s">
        <v>72</v>
      </c>
      <c r="E16" t="str">
        <f>"009941472109"</f>
        <v>009941472109</v>
      </c>
      <c r="F16" s="2">
        <v>44371</v>
      </c>
      <c r="G16">
        <v>202112</v>
      </c>
      <c r="H16" t="s">
        <v>99</v>
      </c>
      <c r="I16" t="s">
        <v>100</v>
      </c>
      <c r="J16" t="s">
        <v>266</v>
      </c>
      <c r="K16" t="s">
        <v>75</v>
      </c>
      <c r="L16" t="s">
        <v>99</v>
      </c>
      <c r="M16" t="s">
        <v>100</v>
      </c>
      <c r="N16" t="s">
        <v>234</v>
      </c>
      <c r="O16" t="s">
        <v>78</v>
      </c>
      <c r="P16" t="str">
        <f t="shared" si="0"/>
        <v xml:space="preserve">..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7.52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0.8</v>
      </c>
      <c r="BJ16">
        <v>1.3</v>
      </c>
      <c r="BK16">
        <v>2</v>
      </c>
      <c r="BL16">
        <v>40.229999999999997</v>
      </c>
      <c r="BM16">
        <v>6.03</v>
      </c>
      <c r="BN16">
        <v>46.26</v>
      </c>
      <c r="BO16">
        <v>46.26</v>
      </c>
      <c r="BQ16" t="s">
        <v>267</v>
      </c>
      <c r="BR16" t="s">
        <v>209</v>
      </c>
      <c r="BS16" s="2">
        <v>44372</v>
      </c>
      <c r="BT16" s="3">
        <v>0.31875000000000003</v>
      </c>
      <c r="BU16" t="s">
        <v>125</v>
      </c>
      <c r="BV16" t="s">
        <v>79</v>
      </c>
      <c r="BY16">
        <v>6562</v>
      </c>
      <c r="BZ16" t="s">
        <v>81</v>
      </c>
      <c r="CA16" t="s">
        <v>150</v>
      </c>
      <c r="CC16" t="s">
        <v>100</v>
      </c>
      <c r="CD16">
        <v>2013</v>
      </c>
      <c r="CE16" t="s">
        <v>94</v>
      </c>
      <c r="CF16" s="2">
        <v>44373</v>
      </c>
      <c r="CI16">
        <v>1</v>
      </c>
      <c r="CJ16">
        <v>1</v>
      </c>
      <c r="CK16">
        <v>22</v>
      </c>
      <c r="CL16" t="s">
        <v>80</v>
      </c>
    </row>
    <row r="17" spans="1:90" x14ac:dyDescent="0.25">
      <c r="A17" t="s">
        <v>228</v>
      </c>
      <c r="B17" t="s">
        <v>229</v>
      </c>
      <c r="C17" t="s">
        <v>72</v>
      </c>
      <c r="E17" t="str">
        <f>"009941137602"</f>
        <v>009941137602</v>
      </c>
      <c r="F17" s="2">
        <v>44371</v>
      </c>
      <c r="G17">
        <v>202112</v>
      </c>
      <c r="H17" t="s">
        <v>99</v>
      </c>
      <c r="I17" t="s">
        <v>100</v>
      </c>
      <c r="J17" t="s">
        <v>246</v>
      </c>
      <c r="K17" t="s">
        <v>75</v>
      </c>
      <c r="L17" t="s">
        <v>99</v>
      </c>
      <c r="M17" t="s">
        <v>100</v>
      </c>
      <c r="N17" t="s">
        <v>234</v>
      </c>
      <c r="O17" t="s">
        <v>78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7.52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40.229999999999997</v>
      </c>
      <c r="BM17">
        <v>6.03</v>
      </c>
      <c r="BN17">
        <v>46.26</v>
      </c>
      <c r="BO17">
        <v>46.26</v>
      </c>
      <c r="BR17" t="s">
        <v>209</v>
      </c>
      <c r="BS17" s="2">
        <v>44372</v>
      </c>
      <c r="BT17" s="3">
        <v>0.32222222222222224</v>
      </c>
      <c r="BU17" t="s">
        <v>125</v>
      </c>
      <c r="BV17" t="s">
        <v>79</v>
      </c>
      <c r="BY17">
        <v>1200</v>
      </c>
      <c r="BZ17" t="s">
        <v>81</v>
      </c>
      <c r="CA17" t="s">
        <v>150</v>
      </c>
      <c r="CC17" t="s">
        <v>100</v>
      </c>
      <c r="CD17">
        <v>2013</v>
      </c>
      <c r="CE17" t="s">
        <v>94</v>
      </c>
      <c r="CF17" s="2">
        <v>44373</v>
      </c>
      <c r="CI17">
        <v>1</v>
      </c>
      <c r="CJ17">
        <v>1</v>
      </c>
      <c r="CK17">
        <v>22</v>
      </c>
      <c r="CL17" t="s">
        <v>80</v>
      </c>
    </row>
    <row r="18" spans="1:90" x14ac:dyDescent="0.25">
      <c r="A18" t="s">
        <v>228</v>
      </c>
      <c r="B18" t="s">
        <v>229</v>
      </c>
      <c r="C18" t="s">
        <v>72</v>
      </c>
      <c r="E18" t="str">
        <f>"009938277643"</f>
        <v>009938277643</v>
      </c>
      <c r="F18" s="2">
        <v>44371</v>
      </c>
      <c r="G18">
        <v>202112</v>
      </c>
      <c r="H18" t="s">
        <v>99</v>
      </c>
      <c r="I18" t="s">
        <v>100</v>
      </c>
      <c r="J18" t="s">
        <v>230</v>
      </c>
      <c r="K18" t="s">
        <v>75</v>
      </c>
      <c r="L18" t="s">
        <v>99</v>
      </c>
      <c r="M18" t="s">
        <v>100</v>
      </c>
      <c r="N18" t="s">
        <v>234</v>
      </c>
      <c r="O18" t="s">
        <v>78</v>
      </c>
      <c r="P18" t="str">
        <f t="shared" ref="P18:P24" si="1">"..                            "</f>
        <v xml:space="preserve">..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7.52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0.8</v>
      </c>
      <c r="BJ18">
        <v>2.1</v>
      </c>
      <c r="BK18">
        <v>3</v>
      </c>
      <c r="BL18">
        <v>40.229999999999997</v>
      </c>
      <c r="BM18">
        <v>6.03</v>
      </c>
      <c r="BN18">
        <v>46.26</v>
      </c>
      <c r="BO18">
        <v>46.26</v>
      </c>
      <c r="BQ18" t="s">
        <v>268</v>
      </c>
      <c r="BR18" t="s">
        <v>191</v>
      </c>
      <c r="BS18" s="2">
        <v>44372</v>
      </c>
      <c r="BT18" s="3">
        <v>0.32013888888888892</v>
      </c>
      <c r="BU18" t="s">
        <v>125</v>
      </c>
      <c r="BV18" t="s">
        <v>79</v>
      </c>
      <c r="BY18">
        <v>10438.6</v>
      </c>
      <c r="BZ18" t="s">
        <v>81</v>
      </c>
      <c r="CA18" t="s">
        <v>150</v>
      </c>
      <c r="CC18" t="s">
        <v>100</v>
      </c>
      <c r="CD18">
        <v>2013</v>
      </c>
      <c r="CE18" t="s">
        <v>94</v>
      </c>
      <c r="CF18" s="2">
        <v>44373</v>
      </c>
      <c r="CI18">
        <v>1</v>
      </c>
      <c r="CJ18">
        <v>1</v>
      </c>
      <c r="CK18">
        <v>22</v>
      </c>
      <c r="CL18" t="s">
        <v>80</v>
      </c>
    </row>
    <row r="19" spans="1:90" x14ac:dyDescent="0.25">
      <c r="A19" t="s">
        <v>228</v>
      </c>
      <c r="B19" t="s">
        <v>229</v>
      </c>
      <c r="C19" t="s">
        <v>72</v>
      </c>
      <c r="E19" t="str">
        <f>"009941026580"</f>
        <v>009941026580</v>
      </c>
      <c r="F19" s="2">
        <v>44371</v>
      </c>
      <c r="G19">
        <v>202112</v>
      </c>
      <c r="H19" t="s">
        <v>99</v>
      </c>
      <c r="I19" t="s">
        <v>100</v>
      </c>
      <c r="J19" t="s">
        <v>230</v>
      </c>
      <c r="K19" t="s">
        <v>75</v>
      </c>
      <c r="L19" t="s">
        <v>259</v>
      </c>
      <c r="M19" t="s">
        <v>260</v>
      </c>
      <c r="N19" t="s">
        <v>269</v>
      </c>
      <c r="O19" t="s">
        <v>183</v>
      </c>
      <c r="P19" t="str">
        <f t="shared" si="1"/>
        <v xml:space="preserve">..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18.66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1.2</v>
      </c>
      <c r="BK19">
        <v>2</v>
      </c>
      <c r="BL19">
        <v>99.78</v>
      </c>
      <c r="BM19">
        <v>14.97</v>
      </c>
      <c r="BN19">
        <v>114.75</v>
      </c>
      <c r="BO19">
        <v>114.75</v>
      </c>
      <c r="BR19" t="s">
        <v>232</v>
      </c>
      <c r="BS19" s="2">
        <v>44372</v>
      </c>
      <c r="BT19" s="3">
        <v>0.47013888888888888</v>
      </c>
      <c r="BU19" t="s">
        <v>270</v>
      </c>
      <c r="BV19" t="s">
        <v>79</v>
      </c>
      <c r="BY19">
        <v>5951.48</v>
      </c>
      <c r="BZ19" t="s">
        <v>202</v>
      </c>
      <c r="CA19" t="s">
        <v>108</v>
      </c>
      <c r="CC19" t="s">
        <v>260</v>
      </c>
      <c r="CD19">
        <v>7129</v>
      </c>
      <c r="CE19" t="s">
        <v>94</v>
      </c>
      <c r="CF19" s="2">
        <v>44375</v>
      </c>
      <c r="CI19">
        <v>1</v>
      </c>
      <c r="CJ19">
        <v>1</v>
      </c>
      <c r="CK19">
        <v>33</v>
      </c>
      <c r="CL19" t="s">
        <v>80</v>
      </c>
    </row>
    <row r="20" spans="1:90" x14ac:dyDescent="0.25">
      <c r="A20" t="s">
        <v>228</v>
      </c>
      <c r="B20" t="s">
        <v>229</v>
      </c>
      <c r="C20" t="s">
        <v>72</v>
      </c>
      <c r="E20" t="str">
        <f>"009941026581"</f>
        <v>009941026581</v>
      </c>
      <c r="F20" s="2">
        <v>44371</v>
      </c>
      <c r="G20">
        <v>202112</v>
      </c>
      <c r="H20" t="s">
        <v>99</v>
      </c>
      <c r="I20" t="s">
        <v>100</v>
      </c>
      <c r="J20" t="s">
        <v>230</v>
      </c>
      <c r="K20" t="s">
        <v>75</v>
      </c>
      <c r="L20" t="s">
        <v>145</v>
      </c>
      <c r="M20" t="s">
        <v>146</v>
      </c>
      <c r="N20" t="s">
        <v>271</v>
      </c>
      <c r="O20" t="s">
        <v>183</v>
      </c>
      <c r="P20" t="str">
        <f t="shared" si="1"/>
        <v xml:space="preserve">..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7.52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0.5</v>
      </c>
      <c r="BJ20">
        <v>1.3</v>
      </c>
      <c r="BK20">
        <v>2</v>
      </c>
      <c r="BL20">
        <v>40.229999999999997</v>
      </c>
      <c r="BM20">
        <v>6.03</v>
      </c>
      <c r="BN20">
        <v>46.26</v>
      </c>
      <c r="BO20">
        <v>46.26</v>
      </c>
      <c r="BR20" t="s">
        <v>232</v>
      </c>
      <c r="BS20" s="2">
        <v>44372</v>
      </c>
      <c r="BT20" s="3">
        <v>0.42986111111111108</v>
      </c>
      <c r="BU20" t="s">
        <v>272</v>
      </c>
      <c r="BV20" t="s">
        <v>79</v>
      </c>
      <c r="BY20">
        <v>6436.58</v>
      </c>
      <c r="BZ20" t="s">
        <v>202</v>
      </c>
      <c r="CA20" t="s">
        <v>156</v>
      </c>
      <c r="CC20" t="s">
        <v>146</v>
      </c>
      <c r="CD20">
        <v>1685</v>
      </c>
      <c r="CE20" t="s">
        <v>94</v>
      </c>
      <c r="CF20" s="2">
        <v>44373</v>
      </c>
      <c r="CI20">
        <v>1</v>
      </c>
      <c r="CJ20">
        <v>1</v>
      </c>
      <c r="CK20">
        <v>32</v>
      </c>
      <c r="CL20" t="s">
        <v>80</v>
      </c>
    </row>
    <row r="21" spans="1:90" x14ac:dyDescent="0.25">
      <c r="A21" t="s">
        <v>228</v>
      </c>
      <c r="B21" t="s">
        <v>229</v>
      </c>
      <c r="C21" t="s">
        <v>72</v>
      </c>
      <c r="E21" t="str">
        <f>"009941026582"</f>
        <v>009941026582</v>
      </c>
      <c r="F21" s="2">
        <v>44371</v>
      </c>
      <c r="G21">
        <v>202112</v>
      </c>
      <c r="H21" t="s">
        <v>99</v>
      </c>
      <c r="I21" t="s">
        <v>100</v>
      </c>
      <c r="J21" t="s">
        <v>230</v>
      </c>
      <c r="K21" t="s">
        <v>75</v>
      </c>
      <c r="L21" t="s">
        <v>91</v>
      </c>
      <c r="M21" t="s">
        <v>92</v>
      </c>
      <c r="N21" t="s">
        <v>273</v>
      </c>
      <c r="O21" t="s">
        <v>183</v>
      </c>
      <c r="P21" t="str">
        <f t="shared" si="1"/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7.52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2.4</v>
      </c>
      <c r="BK21">
        <v>3</v>
      </c>
      <c r="BL21">
        <v>40.229999999999997</v>
      </c>
      <c r="BM21">
        <v>6.03</v>
      </c>
      <c r="BN21">
        <v>46.26</v>
      </c>
      <c r="BO21">
        <v>46.26</v>
      </c>
      <c r="BR21" t="s">
        <v>232</v>
      </c>
      <c r="BS21" s="2">
        <v>44372</v>
      </c>
      <c r="BT21" s="3">
        <v>0.49444444444444446</v>
      </c>
      <c r="BU21" t="s">
        <v>175</v>
      </c>
      <c r="BV21" t="s">
        <v>79</v>
      </c>
      <c r="BY21">
        <v>12008.74</v>
      </c>
      <c r="BZ21" t="s">
        <v>202</v>
      </c>
      <c r="CA21" t="s">
        <v>93</v>
      </c>
      <c r="CC21" t="s">
        <v>92</v>
      </c>
      <c r="CD21">
        <v>2188</v>
      </c>
      <c r="CE21" t="s">
        <v>94</v>
      </c>
      <c r="CF21" s="2">
        <v>44373</v>
      </c>
      <c r="CI21">
        <v>1</v>
      </c>
      <c r="CJ21">
        <v>1</v>
      </c>
      <c r="CK21">
        <v>32</v>
      </c>
      <c r="CL21" t="s">
        <v>80</v>
      </c>
    </row>
    <row r="22" spans="1:90" x14ac:dyDescent="0.25">
      <c r="A22" t="s">
        <v>228</v>
      </c>
      <c r="B22" t="s">
        <v>229</v>
      </c>
      <c r="C22" t="s">
        <v>72</v>
      </c>
      <c r="E22" t="str">
        <f>"009941855286"</f>
        <v>009941855286</v>
      </c>
      <c r="F22" s="2">
        <v>44371</v>
      </c>
      <c r="G22">
        <v>202112</v>
      </c>
      <c r="H22" t="s">
        <v>91</v>
      </c>
      <c r="I22" t="s">
        <v>92</v>
      </c>
      <c r="J22" t="s">
        <v>246</v>
      </c>
      <c r="K22" t="s">
        <v>75</v>
      </c>
      <c r="L22" t="s">
        <v>99</v>
      </c>
      <c r="M22" t="s">
        <v>100</v>
      </c>
      <c r="N22" t="s">
        <v>234</v>
      </c>
      <c r="O22" t="s">
        <v>78</v>
      </c>
      <c r="P22" t="str">
        <f t="shared" si="1"/>
        <v xml:space="preserve">..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7.52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40.229999999999997</v>
      </c>
      <c r="BM22">
        <v>6.03</v>
      </c>
      <c r="BN22">
        <v>46.26</v>
      </c>
      <c r="BO22">
        <v>46.26</v>
      </c>
      <c r="BQ22" t="s">
        <v>226</v>
      </c>
      <c r="BR22" t="s">
        <v>209</v>
      </c>
      <c r="BS22" s="2">
        <v>44372</v>
      </c>
      <c r="BT22" s="3">
        <v>0.32013888888888892</v>
      </c>
      <c r="BU22" t="s">
        <v>125</v>
      </c>
      <c r="BV22" t="s">
        <v>79</v>
      </c>
      <c r="BY22">
        <v>1200</v>
      </c>
      <c r="BZ22" t="s">
        <v>81</v>
      </c>
      <c r="CC22" t="s">
        <v>100</v>
      </c>
      <c r="CD22">
        <v>2013</v>
      </c>
      <c r="CE22" t="s">
        <v>94</v>
      </c>
      <c r="CF22" s="2">
        <v>44373</v>
      </c>
      <c r="CI22">
        <v>1</v>
      </c>
      <c r="CJ22">
        <v>1</v>
      </c>
      <c r="CK22">
        <v>22</v>
      </c>
      <c r="CL22" t="s">
        <v>80</v>
      </c>
    </row>
    <row r="23" spans="1:90" x14ac:dyDescent="0.25">
      <c r="A23" t="s">
        <v>228</v>
      </c>
      <c r="B23" t="s">
        <v>229</v>
      </c>
      <c r="C23" t="s">
        <v>72</v>
      </c>
      <c r="E23" t="str">
        <f>"009940662693"</f>
        <v>009940662693</v>
      </c>
      <c r="F23" s="2">
        <v>44371</v>
      </c>
      <c r="G23">
        <v>202112</v>
      </c>
      <c r="H23" t="s">
        <v>151</v>
      </c>
      <c r="I23" t="s">
        <v>152</v>
      </c>
      <c r="J23" t="s">
        <v>274</v>
      </c>
      <c r="K23" t="s">
        <v>75</v>
      </c>
      <c r="L23" t="s">
        <v>99</v>
      </c>
      <c r="M23" t="s">
        <v>100</v>
      </c>
      <c r="N23" t="s">
        <v>234</v>
      </c>
      <c r="O23" t="s">
        <v>78</v>
      </c>
      <c r="P23" t="str">
        <f t="shared" si="1"/>
        <v xml:space="preserve">..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13.54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0.5</v>
      </c>
      <c r="BJ23">
        <v>1.3</v>
      </c>
      <c r="BK23">
        <v>1.5</v>
      </c>
      <c r="BL23">
        <v>72.42</v>
      </c>
      <c r="BM23">
        <v>10.86</v>
      </c>
      <c r="BN23">
        <v>83.28</v>
      </c>
      <c r="BO23">
        <v>83.28</v>
      </c>
      <c r="BQ23" t="s">
        <v>226</v>
      </c>
      <c r="BR23" t="s">
        <v>226</v>
      </c>
      <c r="BS23" s="2">
        <v>44372</v>
      </c>
      <c r="BT23" s="3">
        <v>0.31875000000000003</v>
      </c>
      <c r="BU23" t="s">
        <v>125</v>
      </c>
      <c r="BV23" t="s">
        <v>79</v>
      </c>
      <c r="BY23">
        <v>6637.82</v>
      </c>
      <c r="BZ23" t="s">
        <v>81</v>
      </c>
      <c r="CA23" t="s">
        <v>150</v>
      </c>
      <c r="CC23" t="s">
        <v>100</v>
      </c>
      <c r="CD23">
        <v>2013</v>
      </c>
      <c r="CE23" t="s">
        <v>94</v>
      </c>
      <c r="CF23" s="2">
        <v>44373</v>
      </c>
      <c r="CI23">
        <v>1</v>
      </c>
      <c r="CJ23">
        <v>1</v>
      </c>
      <c r="CK23">
        <v>24</v>
      </c>
      <c r="CL23" t="s">
        <v>80</v>
      </c>
    </row>
    <row r="24" spans="1:90" x14ac:dyDescent="0.25">
      <c r="A24" t="s">
        <v>228</v>
      </c>
      <c r="B24" t="s">
        <v>229</v>
      </c>
      <c r="C24" t="s">
        <v>72</v>
      </c>
      <c r="E24" t="str">
        <f>"009940615484"</f>
        <v>009940615484</v>
      </c>
      <c r="F24" s="2">
        <v>44371</v>
      </c>
      <c r="G24">
        <v>202112</v>
      </c>
      <c r="H24" t="s">
        <v>99</v>
      </c>
      <c r="I24" t="s">
        <v>100</v>
      </c>
      <c r="J24" t="s">
        <v>230</v>
      </c>
      <c r="K24" t="s">
        <v>75</v>
      </c>
      <c r="L24" t="s">
        <v>99</v>
      </c>
      <c r="M24" t="s">
        <v>100</v>
      </c>
      <c r="N24" t="s">
        <v>234</v>
      </c>
      <c r="O24" t="s">
        <v>157</v>
      </c>
      <c r="P24" t="str">
        <f t="shared" si="1"/>
        <v xml:space="preserve">..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13.54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77.42</v>
      </c>
      <c r="BM24">
        <v>11.61</v>
      </c>
      <c r="BN24">
        <v>89.03</v>
      </c>
      <c r="BO24">
        <v>89.03</v>
      </c>
      <c r="BQ24" t="s">
        <v>226</v>
      </c>
      <c r="BR24" t="s">
        <v>226</v>
      </c>
      <c r="BS24" s="2">
        <v>44372</v>
      </c>
      <c r="BT24" s="3">
        <v>0.3215277777777778</v>
      </c>
      <c r="BU24" t="s">
        <v>275</v>
      </c>
      <c r="BV24" t="s">
        <v>79</v>
      </c>
      <c r="BY24">
        <v>1200</v>
      </c>
      <c r="CA24" t="s">
        <v>150</v>
      </c>
      <c r="CC24" t="s">
        <v>100</v>
      </c>
      <c r="CD24">
        <v>2013</v>
      </c>
      <c r="CE24" t="s">
        <v>94</v>
      </c>
      <c r="CF24" s="2">
        <v>44373</v>
      </c>
      <c r="CI24">
        <v>1</v>
      </c>
      <c r="CJ24">
        <v>1</v>
      </c>
      <c r="CK24" t="s">
        <v>160</v>
      </c>
      <c r="CL24" t="s">
        <v>80</v>
      </c>
    </row>
    <row r="25" spans="1:90" x14ac:dyDescent="0.25">
      <c r="A25" t="s">
        <v>228</v>
      </c>
      <c r="B25" t="s">
        <v>229</v>
      </c>
      <c r="C25" t="s">
        <v>72</v>
      </c>
      <c r="E25" t="str">
        <f>"009940714821"</f>
        <v>009940714821</v>
      </c>
      <c r="F25" s="2">
        <v>44370</v>
      </c>
      <c r="G25">
        <v>202112</v>
      </c>
      <c r="H25" t="s">
        <v>97</v>
      </c>
      <c r="I25" t="s">
        <v>98</v>
      </c>
      <c r="J25" t="s">
        <v>234</v>
      </c>
      <c r="K25" t="s">
        <v>75</v>
      </c>
      <c r="L25" t="s">
        <v>99</v>
      </c>
      <c r="M25" t="s">
        <v>100</v>
      </c>
      <c r="N25" t="s">
        <v>276</v>
      </c>
      <c r="O25" t="s">
        <v>78</v>
      </c>
      <c r="P25" t="str">
        <f>"SAMANTHA                      "</f>
        <v xml:space="preserve">SAMANTHA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9.6300000000000008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0.5</v>
      </c>
      <c r="BJ25">
        <v>0.2</v>
      </c>
      <c r="BK25">
        <v>0.5</v>
      </c>
      <c r="BL25">
        <v>51.5</v>
      </c>
      <c r="BM25">
        <v>7.73</v>
      </c>
      <c r="BN25">
        <v>59.23</v>
      </c>
      <c r="BO25">
        <v>59.23</v>
      </c>
      <c r="BQ25" t="s">
        <v>277</v>
      </c>
      <c r="BR25" t="s">
        <v>278</v>
      </c>
      <c r="BS25" s="2">
        <v>44371</v>
      </c>
      <c r="BT25" s="3">
        <v>0.42708333333333331</v>
      </c>
      <c r="BU25" t="s">
        <v>279</v>
      </c>
      <c r="BV25" t="s">
        <v>79</v>
      </c>
      <c r="BY25">
        <v>1200</v>
      </c>
      <c r="BZ25" t="s">
        <v>81</v>
      </c>
      <c r="CA25" t="s">
        <v>243</v>
      </c>
      <c r="CC25" t="s">
        <v>100</v>
      </c>
      <c r="CD25">
        <v>2001</v>
      </c>
      <c r="CE25" t="s">
        <v>94</v>
      </c>
      <c r="CF25" s="2">
        <v>44372</v>
      </c>
      <c r="CI25">
        <v>1</v>
      </c>
      <c r="CJ25">
        <v>1</v>
      </c>
      <c r="CK25">
        <v>21</v>
      </c>
      <c r="CL25" t="s">
        <v>80</v>
      </c>
    </row>
    <row r="26" spans="1:90" x14ac:dyDescent="0.25">
      <c r="A26" t="s">
        <v>228</v>
      </c>
      <c r="B26" t="s">
        <v>229</v>
      </c>
      <c r="C26" t="s">
        <v>72</v>
      </c>
      <c r="E26" t="str">
        <f>"009940714820"</f>
        <v>009940714820</v>
      </c>
      <c r="F26" s="2">
        <v>44370</v>
      </c>
      <c r="G26">
        <v>202112</v>
      </c>
      <c r="H26" t="s">
        <v>97</v>
      </c>
      <c r="I26" t="s">
        <v>98</v>
      </c>
      <c r="J26" t="s">
        <v>234</v>
      </c>
      <c r="K26" t="s">
        <v>75</v>
      </c>
      <c r="L26" t="s">
        <v>99</v>
      </c>
      <c r="M26" t="s">
        <v>100</v>
      </c>
      <c r="N26" t="s">
        <v>280</v>
      </c>
      <c r="O26" t="s">
        <v>78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9.6300000000000008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0.5</v>
      </c>
      <c r="BJ26">
        <v>0.2</v>
      </c>
      <c r="BK26">
        <v>0.5</v>
      </c>
      <c r="BL26">
        <v>51.5</v>
      </c>
      <c r="BM26">
        <v>7.73</v>
      </c>
      <c r="BN26">
        <v>59.23</v>
      </c>
      <c r="BO26">
        <v>59.23</v>
      </c>
      <c r="BQ26" t="s">
        <v>281</v>
      </c>
      <c r="BR26" t="s">
        <v>282</v>
      </c>
      <c r="BS26" s="2">
        <v>44371</v>
      </c>
      <c r="BT26" s="3">
        <v>0.33680555555555558</v>
      </c>
      <c r="BU26" t="s">
        <v>283</v>
      </c>
      <c r="BV26" t="s">
        <v>79</v>
      </c>
      <c r="BY26">
        <v>1200</v>
      </c>
      <c r="BZ26" t="s">
        <v>81</v>
      </c>
      <c r="CA26" t="s">
        <v>206</v>
      </c>
      <c r="CC26" t="s">
        <v>100</v>
      </c>
      <c r="CD26">
        <v>2000</v>
      </c>
      <c r="CE26" t="s">
        <v>94</v>
      </c>
      <c r="CF26" s="2">
        <v>44372</v>
      </c>
      <c r="CI26">
        <v>1</v>
      </c>
      <c r="CJ26">
        <v>1</v>
      </c>
      <c r="CK26">
        <v>21</v>
      </c>
      <c r="CL26" t="s">
        <v>80</v>
      </c>
    </row>
    <row r="27" spans="1:90" x14ac:dyDescent="0.25">
      <c r="A27" t="s">
        <v>228</v>
      </c>
      <c r="B27" t="s">
        <v>229</v>
      </c>
      <c r="C27" t="s">
        <v>72</v>
      </c>
      <c r="E27" t="str">
        <f>"009940714819"</f>
        <v>009940714819</v>
      </c>
      <c r="F27" s="2">
        <v>44370</v>
      </c>
      <c r="G27">
        <v>202112</v>
      </c>
      <c r="H27" t="s">
        <v>97</v>
      </c>
      <c r="I27" t="s">
        <v>98</v>
      </c>
      <c r="J27" t="s">
        <v>234</v>
      </c>
      <c r="K27" t="s">
        <v>75</v>
      </c>
      <c r="L27" t="s">
        <v>109</v>
      </c>
      <c r="M27" t="s">
        <v>110</v>
      </c>
      <c r="N27" t="s">
        <v>235</v>
      </c>
      <c r="O27" t="s">
        <v>78</v>
      </c>
      <c r="P27" t="str">
        <f>"031 275 600                   "</f>
        <v xml:space="preserve">031 275 600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33.69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2.5</v>
      </c>
      <c r="BJ27">
        <v>6.8</v>
      </c>
      <c r="BK27">
        <v>7</v>
      </c>
      <c r="BL27">
        <v>180.16</v>
      </c>
      <c r="BM27">
        <v>27.02</v>
      </c>
      <c r="BN27">
        <v>207.18</v>
      </c>
      <c r="BO27">
        <v>207.18</v>
      </c>
      <c r="BQ27" t="s">
        <v>284</v>
      </c>
      <c r="BR27" t="s">
        <v>278</v>
      </c>
      <c r="BS27" s="2">
        <v>44372</v>
      </c>
      <c r="BT27" s="3">
        <v>0.39097222222222222</v>
      </c>
      <c r="BU27" t="s">
        <v>285</v>
      </c>
      <c r="BV27" t="s">
        <v>80</v>
      </c>
      <c r="BW27" t="s">
        <v>118</v>
      </c>
      <c r="BX27" t="s">
        <v>130</v>
      </c>
      <c r="BY27">
        <v>33750</v>
      </c>
      <c r="BZ27" t="s">
        <v>81</v>
      </c>
      <c r="CA27" t="s">
        <v>122</v>
      </c>
      <c r="CC27" t="s">
        <v>110</v>
      </c>
      <c r="CD27">
        <v>8000</v>
      </c>
      <c r="CE27" t="s">
        <v>94</v>
      </c>
      <c r="CF27" s="2">
        <v>44375</v>
      </c>
      <c r="CI27">
        <v>1</v>
      </c>
      <c r="CJ27">
        <v>2</v>
      </c>
      <c r="CK27">
        <v>21</v>
      </c>
      <c r="CL27" t="s">
        <v>80</v>
      </c>
    </row>
    <row r="28" spans="1:90" x14ac:dyDescent="0.25">
      <c r="A28" t="s">
        <v>228</v>
      </c>
      <c r="B28" t="s">
        <v>229</v>
      </c>
      <c r="C28" t="s">
        <v>72</v>
      </c>
      <c r="E28" t="str">
        <f>"009939926597"</f>
        <v>009939926597</v>
      </c>
      <c r="F28" s="2">
        <v>44370</v>
      </c>
      <c r="G28">
        <v>202112</v>
      </c>
      <c r="H28" t="s">
        <v>109</v>
      </c>
      <c r="I28" t="s">
        <v>110</v>
      </c>
      <c r="J28" t="s">
        <v>234</v>
      </c>
      <c r="K28" t="s">
        <v>75</v>
      </c>
      <c r="L28" t="s">
        <v>99</v>
      </c>
      <c r="M28" t="s">
        <v>100</v>
      </c>
      <c r="N28" t="s">
        <v>234</v>
      </c>
      <c r="O28" t="s">
        <v>78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12.04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1.8</v>
      </c>
      <c r="BJ28">
        <v>2.5</v>
      </c>
      <c r="BK28">
        <v>2.5</v>
      </c>
      <c r="BL28">
        <v>64.37</v>
      </c>
      <c r="BM28">
        <v>9.66</v>
      </c>
      <c r="BN28">
        <v>74.03</v>
      </c>
      <c r="BO28">
        <v>74.03</v>
      </c>
      <c r="BQ28" t="s">
        <v>253</v>
      </c>
      <c r="BR28" t="s">
        <v>254</v>
      </c>
      <c r="BS28" s="2">
        <v>44371</v>
      </c>
      <c r="BT28" s="3">
        <v>0.31041666666666667</v>
      </c>
      <c r="BU28" t="s">
        <v>125</v>
      </c>
      <c r="BV28" t="s">
        <v>79</v>
      </c>
      <c r="BY28">
        <v>12373.73</v>
      </c>
      <c r="BZ28" t="s">
        <v>81</v>
      </c>
      <c r="CA28" t="s">
        <v>150</v>
      </c>
      <c r="CC28" t="s">
        <v>100</v>
      </c>
      <c r="CD28">
        <v>2013</v>
      </c>
      <c r="CE28" t="s">
        <v>94</v>
      </c>
      <c r="CF28" s="2">
        <v>44371</v>
      </c>
      <c r="CI28">
        <v>1</v>
      </c>
      <c r="CJ28">
        <v>1</v>
      </c>
      <c r="CK28">
        <v>21</v>
      </c>
      <c r="CL28" t="s">
        <v>80</v>
      </c>
    </row>
    <row r="29" spans="1:90" x14ac:dyDescent="0.25">
      <c r="A29" t="s">
        <v>228</v>
      </c>
      <c r="B29" t="s">
        <v>229</v>
      </c>
      <c r="C29" t="s">
        <v>72</v>
      </c>
      <c r="E29" t="str">
        <f>"009940714892"</f>
        <v>009940714892</v>
      </c>
      <c r="F29" s="2">
        <v>44370</v>
      </c>
      <c r="G29">
        <v>202112</v>
      </c>
      <c r="H29" t="s">
        <v>97</v>
      </c>
      <c r="I29" t="s">
        <v>98</v>
      </c>
      <c r="J29" t="s">
        <v>234</v>
      </c>
      <c r="K29" t="s">
        <v>75</v>
      </c>
      <c r="L29" t="s">
        <v>99</v>
      </c>
      <c r="M29" t="s">
        <v>100</v>
      </c>
      <c r="N29" t="s">
        <v>234</v>
      </c>
      <c r="O29" t="s">
        <v>78</v>
      </c>
      <c r="P29" t="str">
        <f>"SAMANTHA                      "</f>
        <v xml:space="preserve">SAMANTHA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9.6300000000000008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51.5</v>
      </c>
      <c r="BM29">
        <v>7.73</v>
      </c>
      <c r="BN29">
        <v>59.23</v>
      </c>
      <c r="BO29">
        <v>59.23</v>
      </c>
      <c r="BQ29" t="s">
        <v>286</v>
      </c>
      <c r="BR29" t="s">
        <v>278</v>
      </c>
      <c r="BS29" s="2">
        <v>44371</v>
      </c>
      <c r="BT29" s="3">
        <v>0.30972222222222223</v>
      </c>
      <c r="BU29" t="s">
        <v>125</v>
      </c>
      <c r="BV29" t="s">
        <v>79</v>
      </c>
      <c r="BY29">
        <v>1200</v>
      </c>
      <c r="BZ29" t="s">
        <v>81</v>
      </c>
      <c r="CA29" t="s">
        <v>150</v>
      </c>
      <c r="CC29" t="s">
        <v>100</v>
      </c>
      <c r="CD29">
        <v>2013</v>
      </c>
      <c r="CE29" t="s">
        <v>94</v>
      </c>
      <c r="CF29" s="2">
        <v>44371</v>
      </c>
      <c r="CI29">
        <v>1</v>
      </c>
      <c r="CJ29">
        <v>1</v>
      </c>
      <c r="CK29">
        <v>21</v>
      </c>
      <c r="CL29" t="s">
        <v>80</v>
      </c>
    </row>
    <row r="30" spans="1:90" x14ac:dyDescent="0.25">
      <c r="A30" t="s">
        <v>228</v>
      </c>
      <c r="B30" t="s">
        <v>229</v>
      </c>
      <c r="C30" t="s">
        <v>72</v>
      </c>
      <c r="E30" t="str">
        <f>"009941026579"</f>
        <v>009941026579</v>
      </c>
      <c r="F30" s="2">
        <v>44370</v>
      </c>
      <c r="G30">
        <v>202112</v>
      </c>
      <c r="H30" t="s">
        <v>99</v>
      </c>
      <c r="I30" t="s">
        <v>100</v>
      </c>
      <c r="J30" t="s">
        <v>230</v>
      </c>
      <c r="K30" t="s">
        <v>75</v>
      </c>
      <c r="L30" t="s">
        <v>83</v>
      </c>
      <c r="M30" t="s">
        <v>84</v>
      </c>
      <c r="N30" t="s">
        <v>287</v>
      </c>
      <c r="O30" t="s">
        <v>183</v>
      </c>
      <c r="P30" t="str">
        <f>"..                            "</f>
        <v xml:space="preserve">..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22.57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1.5</v>
      </c>
      <c r="BJ30">
        <v>4.5</v>
      </c>
      <c r="BK30">
        <v>5</v>
      </c>
      <c r="BL30">
        <v>120.7</v>
      </c>
      <c r="BM30">
        <v>18.11</v>
      </c>
      <c r="BN30">
        <v>138.81</v>
      </c>
      <c r="BO30">
        <v>138.81</v>
      </c>
      <c r="BQ30" t="s">
        <v>288</v>
      </c>
      <c r="BR30" t="s">
        <v>232</v>
      </c>
      <c r="BS30" s="2">
        <v>44371</v>
      </c>
      <c r="BT30" s="3">
        <v>0.51597222222222217</v>
      </c>
      <c r="BU30" t="s">
        <v>289</v>
      </c>
      <c r="BV30" t="s">
        <v>79</v>
      </c>
      <c r="BY30">
        <v>22550.11</v>
      </c>
      <c r="BZ30" t="s">
        <v>202</v>
      </c>
      <c r="CC30" t="s">
        <v>84</v>
      </c>
      <c r="CD30">
        <v>3201</v>
      </c>
      <c r="CE30" t="s">
        <v>94</v>
      </c>
      <c r="CF30" s="2">
        <v>44372</v>
      </c>
      <c r="CI30">
        <v>1</v>
      </c>
      <c r="CJ30">
        <v>1</v>
      </c>
      <c r="CK30">
        <v>31</v>
      </c>
      <c r="CL30" t="s">
        <v>80</v>
      </c>
    </row>
    <row r="31" spans="1:90" x14ac:dyDescent="0.25">
      <c r="A31" t="s">
        <v>228</v>
      </c>
      <c r="B31" t="s">
        <v>229</v>
      </c>
      <c r="C31" t="s">
        <v>72</v>
      </c>
      <c r="E31" t="str">
        <f>"009941483254"</f>
        <v>009941483254</v>
      </c>
      <c r="F31" s="2">
        <v>44369</v>
      </c>
      <c r="G31">
        <v>202112</v>
      </c>
      <c r="H31" t="s">
        <v>99</v>
      </c>
      <c r="I31" t="s">
        <v>100</v>
      </c>
      <c r="J31" t="s">
        <v>234</v>
      </c>
      <c r="K31" t="s">
        <v>75</v>
      </c>
      <c r="L31" t="s">
        <v>141</v>
      </c>
      <c r="M31" t="s">
        <v>142</v>
      </c>
      <c r="N31" t="s">
        <v>234</v>
      </c>
      <c r="O31" t="s">
        <v>78</v>
      </c>
      <c r="P31" t="str">
        <f>"..                            "</f>
        <v xml:space="preserve">..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18.66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99.78</v>
      </c>
      <c r="BM31">
        <v>14.97</v>
      </c>
      <c r="BN31">
        <v>114.75</v>
      </c>
      <c r="BO31">
        <v>114.75</v>
      </c>
      <c r="BQ31" t="s">
        <v>290</v>
      </c>
      <c r="BR31" t="s">
        <v>236</v>
      </c>
      <c r="BS31" s="2">
        <v>44370</v>
      </c>
      <c r="BT31" s="3">
        <v>0.61527777777777781</v>
      </c>
      <c r="BU31" t="s">
        <v>291</v>
      </c>
      <c r="BV31" t="s">
        <v>79</v>
      </c>
      <c r="BY31">
        <v>1200</v>
      </c>
      <c r="BZ31" t="s">
        <v>81</v>
      </c>
      <c r="CA31" t="s">
        <v>210</v>
      </c>
      <c r="CC31" t="s">
        <v>142</v>
      </c>
      <c r="CD31">
        <v>3370</v>
      </c>
      <c r="CE31" t="s">
        <v>94</v>
      </c>
      <c r="CF31" s="2">
        <v>44371</v>
      </c>
      <c r="CI31">
        <v>3</v>
      </c>
      <c r="CJ31">
        <v>1</v>
      </c>
      <c r="CK31">
        <v>23</v>
      </c>
      <c r="CL31" t="s">
        <v>80</v>
      </c>
    </row>
    <row r="32" spans="1:90" x14ac:dyDescent="0.25">
      <c r="A32" t="s">
        <v>228</v>
      </c>
      <c r="B32" t="s">
        <v>229</v>
      </c>
      <c r="C32" t="s">
        <v>72</v>
      </c>
      <c r="E32" t="str">
        <f>"009941474598"</f>
        <v>009941474598</v>
      </c>
      <c r="F32" s="2">
        <v>44369</v>
      </c>
      <c r="G32">
        <v>202112</v>
      </c>
      <c r="H32" t="s">
        <v>104</v>
      </c>
      <c r="I32" t="s">
        <v>105</v>
      </c>
      <c r="J32" t="s">
        <v>246</v>
      </c>
      <c r="K32" t="s">
        <v>75</v>
      </c>
      <c r="L32" t="s">
        <v>99</v>
      </c>
      <c r="M32" t="s">
        <v>100</v>
      </c>
      <c r="N32" t="s">
        <v>234</v>
      </c>
      <c r="O32" t="s">
        <v>78</v>
      </c>
      <c r="P32" t="str">
        <f>"..                            "</f>
        <v xml:space="preserve">..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7.52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1.4</v>
      </c>
      <c r="BJ32">
        <v>1.9</v>
      </c>
      <c r="BK32">
        <v>2</v>
      </c>
      <c r="BL32">
        <v>40.229999999999997</v>
      </c>
      <c r="BM32">
        <v>6.03</v>
      </c>
      <c r="BN32">
        <v>46.26</v>
      </c>
      <c r="BO32">
        <v>46.26</v>
      </c>
      <c r="BR32" t="s">
        <v>267</v>
      </c>
      <c r="BS32" s="2">
        <v>44370</v>
      </c>
      <c r="BT32" s="3">
        <v>0.36319444444444443</v>
      </c>
      <c r="BU32" t="s">
        <v>292</v>
      </c>
      <c r="BV32" t="s">
        <v>79</v>
      </c>
      <c r="BY32">
        <v>9430.92</v>
      </c>
      <c r="BZ32" t="s">
        <v>81</v>
      </c>
      <c r="CA32" t="s">
        <v>150</v>
      </c>
      <c r="CC32" t="s">
        <v>100</v>
      </c>
      <c r="CD32">
        <v>2013</v>
      </c>
      <c r="CE32" t="s">
        <v>94</v>
      </c>
      <c r="CF32" s="2">
        <v>44370</v>
      </c>
      <c r="CI32">
        <v>1</v>
      </c>
      <c r="CJ32">
        <v>1</v>
      </c>
      <c r="CK32">
        <v>22</v>
      </c>
      <c r="CL32" t="s">
        <v>80</v>
      </c>
    </row>
    <row r="33" spans="1:90" x14ac:dyDescent="0.25">
      <c r="A33" t="s">
        <v>228</v>
      </c>
      <c r="B33" t="s">
        <v>229</v>
      </c>
      <c r="C33" t="s">
        <v>72</v>
      </c>
      <c r="E33" t="str">
        <f>"009940742075"</f>
        <v>009940742075</v>
      </c>
      <c r="F33" s="2">
        <v>44369</v>
      </c>
      <c r="G33">
        <v>202112</v>
      </c>
      <c r="H33" t="s">
        <v>109</v>
      </c>
      <c r="I33" t="s">
        <v>110</v>
      </c>
      <c r="J33" t="s">
        <v>246</v>
      </c>
      <c r="K33" t="s">
        <v>75</v>
      </c>
      <c r="L33" t="s">
        <v>99</v>
      </c>
      <c r="M33" t="s">
        <v>100</v>
      </c>
      <c r="N33" t="s">
        <v>234</v>
      </c>
      <c r="O33" t="s">
        <v>183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18.059999999999999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2</v>
      </c>
      <c r="BK33">
        <v>2</v>
      </c>
      <c r="BL33">
        <v>96.56</v>
      </c>
      <c r="BM33">
        <v>14.48</v>
      </c>
      <c r="BN33">
        <v>111.04</v>
      </c>
      <c r="BO33">
        <v>111.04</v>
      </c>
      <c r="BQ33" t="s">
        <v>161</v>
      </c>
      <c r="BR33" t="s">
        <v>293</v>
      </c>
      <c r="BS33" s="2">
        <v>44370</v>
      </c>
      <c r="BT33" s="3">
        <v>0.36388888888888887</v>
      </c>
      <c r="BU33" t="s">
        <v>249</v>
      </c>
      <c r="BV33" t="s">
        <v>79</v>
      </c>
      <c r="BY33">
        <v>9888</v>
      </c>
      <c r="BZ33" t="s">
        <v>202</v>
      </c>
      <c r="CA33" t="s">
        <v>150</v>
      </c>
      <c r="CC33" t="s">
        <v>100</v>
      </c>
      <c r="CD33">
        <v>2013</v>
      </c>
      <c r="CE33" t="s">
        <v>94</v>
      </c>
      <c r="CF33" s="2">
        <v>44370</v>
      </c>
      <c r="CI33">
        <v>1</v>
      </c>
      <c r="CJ33">
        <v>1</v>
      </c>
      <c r="CK33">
        <v>31</v>
      </c>
      <c r="CL33" t="s">
        <v>80</v>
      </c>
    </row>
    <row r="34" spans="1:90" x14ac:dyDescent="0.25">
      <c r="A34" t="s">
        <v>228</v>
      </c>
      <c r="B34" t="s">
        <v>229</v>
      </c>
      <c r="C34" t="s">
        <v>72</v>
      </c>
      <c r="E34" t="str">
        <f>"009941478264"</f>
        <v>009941478264</v>
      </c>
      <c r="F34" s="2">
        <v>44369</v>
      </c>
      <c r="G34">
        <v>202112</v>
      </c>
      <c r="H34" t="s">
        <v>89</v>
      </c>
      <c r="I34" t="s">
        <v>90</v>
      </c>
      <c r="J34" t="s">
        <v>294</v>
      </c>
      <c r="K34" t="s">
        <v>75</v>
      </c>
      <c r="L34" t="s">
        <v>99</v>
      </c>
      <c r="M34" t="s">
        <v>100</v>
      </c>
      <c r="N34" t="s">
        <v>234</v>
      </c>
      <c r="O34" t="s">
        <v>78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9.6300000000000008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0.1</v>
      </c>
      <c r="BK34">
        <v>1</v>
      </c>
      <c r="BL34">
        <v>51.5</v>
      </c>
      <c r="BM34">
        <v>7.73</v>
      </c>
      <c r="BN34">
        <v>59.23</v>
      </c>
      <c r="BO34">
        <v>59.23</v>
      </c>
      <c r="BQ34" t="s">
        <v>268</v>
      </c>
      <c r="BR34" t="s">
        <v>295</v>
      </c>
      <c r="BS34" s="2">
        <v>44370</v>
      </c>
      <c r="BT34" s="3">
        <v>0.36319444444444443</v>
      </c>
      <c r="BU34" t="s">
        <v>249</v>
      </c>
      <c r="BV34" t="s">
        <v>79</v>
      </c>
      <c r="BY34">
        <v>600</v>
      </c>
      <c r="BZ34" t="s">
        <v>81</v>
      </c>
      <c r="CA34" t="s">
        <v>150</v>
      </c>
      <c r="CC34" t="s">
        <v>100</v>
      </c>
      <c r="CD34">
        <v>2016</v>
      </c>
      <c r="CE34" t="s">
        <v>94</v>
      </c>
      <c r="CF34" s="2">
        <v>44370</v>
      </c>
      <c r="CI34">
        <v>1</v>
      </c>
      <c r="CJ34">
        <v>1</v>
      </c>
      <c r="CK34">
        <v>21</v>
      </c>
      <c r="CL34" t="s">
        <v>80</v>
      </c>
    </row>
    <row r="35" spans="1:90" x14ac:dyDescent="0.25">
      <c r="A35" t="s">
        <v>228</v>
      </c>
      <c r="B35" t="s">
        <v>229</v>
      </c>
      <c r="C35" t="s">
        <v>72</v>
      </c>
      <c r="E35" t="str">
        <f>"009941431545"</f>
        <v>009941431545</v>
      </c>
      <c r="F35" s="2">
        <v>44369</v>
      </c>
      <c r="G35">
        <v>202112</v>
      </c>
      <c r="H35" t="s">
        <v>89</v>
      </c>
      <c r="I35" t="s">
        <v>90</v>
      </c>
      <c r="J35" t="s">
        <v>296</v>
      </c>
      <c r="K35" t="s">
        <v>75</v>
      </c>
      <c r="L35" t="s">
        <v>99</v>
      </c>
      <c r="M35" t="s">
        <v>100</v>
      </c>
      <c r="N35" t="s">
        <v>234</v>
      </c>
      <c r="O35" t="s">
        <v>78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9.6300000000000008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51.5</v>
      </c>
      <c r="BM35">
        <v>7.73</v>
      </c>
      <c r="BN35">
        <v>59.23</v>
      </c>
      <c r="BO35">
        <v>59.23</v>
      </c>
      <c r="BQ35" t="s">
        <v>297</v>
      </c>
      <c r="BR35" t="s">
        <v>298</v>
      </c>
      <c r="BS35" s="2">
        <v>44370</v>
      </c>
      <c r="BT35" s="3">
        <v>0.36249999999999999</v>
      </c>
      <c r="BU35" t="s">
        <v>249</v>
      </c>
      <c r="BV35" t="s">
        <v>79</v>
      </c>
      <c r="BY35">
        <v>1200</v>
      </c>
      <c r="BZ35" t="s">
        <v>81</v>
      </c>
      <c r="CA35" t="s">
        <v>150</v>
      </c>
      <c r="CC35" t="s">
        <v>100</v>
      </c>
      <c r="CD35">
        <v>2013</v>
      </c>
      <c r="CE35" t="s">
        <v>94</v>
      </c>
      <c r="CF35" s="2">
        <v>44370</v>
      </c>
      <c r="CI35">
        <v>1</v>
      </c>
      <c r="CJ35">
        <v>1</v>
      </c>
      <c r="CK35">
        <v>21</v>
      </c>
      <c r="CL35" t="s">
        <v>80</v>
      </c>
    </row>
    <row r="36" spans="1:90" x14ac:dyDescent="0.25">
      <c r="A36" t="s">
        <v>228</v>
      </c>
      <c r="B36" t="s">
        <v>229</v>
      </c>
      <c r="C36" t="s">
        <v>72</v>
      </c>
      <c r="E36" t="str">
        <f>"009941472095"</f>
        <v>009941472095</v>
      </c>
      <c r="F36" s="2">
        <v>44369</v>
      </c>
      <c r="G36">
        <v>202112</v>
      </c>
      <c r="H36" t="s">
        <v>99</v>
      </c>
      <c r="I36" t="s">
        <v>100</v>
      </c>
      <c r="J36" t="s">
        <v>581</v>
      </c>
      <c r="K36" t="s">
        <v>75</v>
      </c>
      <c r="L36" t="s">
        <v>99</v>
      </c>
      <c r="M36" t="s">
        <v>100</v>
      </c>
      <c r="N36" t="s">
        <v>234</v>
      </c>
      <c r="O36" t="s">
        <v>78</v>
      </c>
      <c r="P36" t="str">
        <f>"..                            "</f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7.52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0.7</v>
      </c>
      <c r="BJ36">
        <v>2.6</v>
      </c>
      <c r="BK36">
        <v>3</v>
      </c>
      <c r="BL36">
        <v>40.229999999999997</v>
      </c>
      <c r="BM36">
        <v>6.03</v>
      </c>
      <c r="BN36">
        <v>46.26</v>
      </c>
      <c r="BO36">
        <v>46.26</v>
      </c>
      <c r="BQ36" t="s">
        <v>267</v>
      </c>
      <c r="BR36" t="s">
        <v>209</v>
      </c>
      <c r="BS36" s="2">
        <v>44370</v>
      </c>
      <c r="BT36" s="3">
        <v>0.36458333333333331</v>
      </c>
      <c r="BU36" t="s">
        <v>249</v>
      </c>
      <c r="BV36" t="s">
        <v>79</v>
      </c>
      <c r="BY36">
        <v>13202.09</v>
      </c>
      <c r="BZ36" t="s">
        <v>81</v>
      </c>
      <c r="CA36" t="s">
        <v>150</v>
      </c>
      <c r="CC36" t="s">
        <v>100</v>
      </c>
      <c r="CD36">
        <v>2013</v>
      </c>
      <c r="CE36" t="s">
        <v>94</v>
      </c>
      <c r="CF36" s="2">
        <v>44370</v>
      </c>
      <c r="CI36">
        <v>1</v>
      </c>
      <c r="CJ36">
        <v>1</v>
      </c>
      <c r="CK36">
        <v>22</v>
      </c>
      <c r="CL36" t="s">
        <v>80</v>
      </c>
    </row>
    <row r="37" spans="1:90" x14ac:dyDescent="0.25">
      <c r="A37" t="s">
        <v>228</v>
      </c>
      <c r="B37" t="s">
        <v>229</v>
      </c>
      <c r="C37" t="s">
        <v>72</v>
      </c>
      <c r="E37" t="str">
        <f>"009941507393"</f>
        <v>009941507393</v>
      </c>
      <c r="F37" s="2">
        <v>44369</v>
      </c>
      <c r="G37">
        <v>202112</v>
      </c>
      <c r="H37" t="s">
        <v>193</v>
      </c>
      <c r="I37" t="s">
        <v>194</v>
      </c>
      <c r="J37" t="s">
        <v>246</v>
      </c>
      <c r="K37" t="s">
        <v>75</v>
      </c>
      <c r="L37" t="s">
        <v>99</v>
      </c>
      <c r="M37" t="s">
        <v>100</v>
      </c>
      <c r="N37" t="s">
        <v>234</v>
      </c>
      <c r="O37" t="s">
        <v>78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18.66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99.78</v>
      </c>
      <c r="BM37">
        <v>14.97</v>
      </c>
      <c r="BN37">
        <v>114.75</v>
      </c>
      <c r="BO37">
        <v>114.75</v>
      </c>
      <c r="BS37" s="2">
        <v>44370</v>
      </c>
      <c r="BT37" s="3">
        <v>0.36527777777777781</v>
      </c>
      <c r="BU37" t="s">
        <v>249</v>
      </c>
      <c r="BV37" t="s">
        <v>79</v>
      </c>
      <c r="BY37">
        <v>1200</v>
      </c>
      <c r="BZ37" t="s">
        <v>81</v>
      </c>
      <c r="CA37" t="s">
        <v>150</v>
      </c>
      <c r="CC37" t="s">
        <v>100</v>
      </c>
      <c r="CD37">
        <v>2013</v>
      </c>
      <c r="CE37" t="s">
        <v>94</v>
      </c>
      <c r="CF37" s="2">
        <v>44370</v>
      </c>
      <c r="CI37">
        <v>1</v>
      </c>
      <c r="CJ37">
        <v>1</v>
      </c>
      <c r="CK37">
        <v>23</v>
      </c>
      <c r="CL37" t="s">
        <v>80</v>
      </c>
    </row>
    <row r="38" spans="1:90" x14ac:dyDescent="0.25">
      <c r="A38" t="s">
        <v>228</v>
      </c>
      <c r="B38" t="s">
        <v>229</v>
      </c>
      <c r="C38" t="s">
        <v>72</v>
      </c>
      <c r="E38" t="str">
        <f>"009941342432"</f>
        <v>009941342432</v>
      </c>
      <c r="F38" s="2">
        <v>44369</v>
      </c>
      <c r="G38">
        <v>202112</v>
      </c>
      <c r="H38" t="s">
        <v>73</v>
      </c>
      <c r="I38" t="s">
        <v>74</v>
      </c>
      <c r="J38" t="s">
        <v>246</v>
      </c>
      <c r="K38" t="s">
        <v>75</v>
      </c>
      <c r="L38" t="s">
        <v>99</v>
      </c>
      <c r="M38" t="s">
        <v>100</v>
      </c>
      <c r="N38" t="s">
        <v>234</v>
      </c>
      <c r="O38" t="s">
        <v>157</v>
      </c>
      <c r="P38" t="str">
        <f>"NOREF                         "</f>
        <v xml:space="preserve">NOREF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13.54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77.42</v>
      </c>
      <c r="BM38">
        <v>11.61</v>
      </c>
      <c r="BN38">
        <v>89.03</v>
      </c>
      <c r="BO38">
        <v>89.03</v>
      </c>
      <c r="BQ38" t="s">
        <v>161</v>
      </c>
      <c r="BR38" t="s">
        <v>299</v>
      </c>
      <c r="BS38" s="2">
        <v>44370</v>
      </c>
      <c r="BT38" s="3">
        <v>0.36249999999999999</v>
      </c>
      <c r="BU38" t="s">
        <v>249</v>
      </c>
      <c r="BV38" t="s">
        <v>79</v>
      </c>
      <c r="BY38">
        <v>1200</v>
      </c>
      <c r="CA38" t="s">
        <v>150</v>
      </c>
      <c r="CC38" t="s">
        <v>100</v>
      </c>
      <c r="CD38">
        <v>2000</v>
      </c>
      <c r="CE38" t="s">
        <v>94</v>
      </c>
      <c r="CF38" s="2">
        <v>44370</v>
      </c>
      <c r="CI38">
        <v>0</v>
      </c>
      <c r="CJ38">
        <v>0</v>
      </c>
      <c r="CK38" t="s">
        <v>300</v>
      </c>
      <c r="CL38" t="s">
        <v>80</v>
      </c>
    </row>
    <row r="39" spans="1:90" x14ac:dyDescent="0.25">
      <c r="A39" t="s">
        <v>228</v>
      </c>
      <c r="B39" t="s">
        <v>229</v>
      </c>
      <c r="C39" t="s">
        <v>72</v>
      </c>
      <c r="E39" t="str">
        <f>"009941342437"</f>
        <v>009941342437</v>
      </c>
      <c r="F39" s="2">
        <v>44369</v>
      </c>
      <c r="G39">
        <v>202112</v>
      </c>
      <c r="H39" t="s">
        <v>73</v>
      </c>
      <c r="I39" t="s">
        <v>74</v>
      </c>
      <c r="J39" t="s">
        <v>246</v>
      </c>
      <c r="K39" t="s">
        <v>75</v>
      </c>
      <c r="L39" t="s">
        <v>99</v>
      </c>
      <c r="M39" t="s">
        <v>100</v>
      </c>
      <c r="N39" t="s">
        <v>234</v>
      </c>
      <c r="O39" t="s">
        <v>157</v>
      </c>
      <c r="P39" t="str">
        <f>"NOREF                         "</f>
        <v xml:space="preserve">NOREF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13.54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77.42</v>
      </c>
      <c r="BM39">
        <v>11.61</v>
      </c>
      <c r="BN39">
        <v>89.03</v>
      </c>
      <c r="BO39">
        <v>89.03</v>
      </c>
      <c r="BQ39" t="s">
        <v>226</v>
      </c>
      <c r="BR39" t="s">
        <v>301</v>
      </c>
      <c r="BS39" s="2">
        <v>44370</v>
      </c>
      <c r="BT39" s="3">
        <v>0.36527777777777781</v>
      </c>
      <c r="BU39" t="s">
        <v>249</v>
      </c>
      <c r="BV39" t="s">
        <v>79</v>
      </c>
      <c r="BY39">
        <v>1200</v>
      </c>
      <c r="CA39" t="s">
        <v>150</v>
      </c>
      <c r="CC39" t="s">
        <v>100</v>
      </c>
      <c r="CD39">
        <v>2000</v>
      </c>
      <c r="CE39" t="s">
        <v>94</v>
      </c>
      <c r="CF39" s="2">
        <v>44370</v>
      </c>
      <c r="CI39">
        <v>0</v>
      </c>
      <c r="CJ39">
        <v>0</v>
      </c>
      <c r="CK39" t="s">
        <v>300</v>
      </c>
      <c r="CL39" t="s">
        <v>80</v>
      </c>
    </row>
    <row r="40" spans="1:90" x14ac:dyDescent="0.25">
      <c r="A40" t="s">
        <v>228</v>
      </c>
      <c r="B40" t="s">
        <v>229</v>
      </c>
      <c r="C40" t="s">
        <v>72</v>
      </c>
      <c r="E40" t="str">
        <f>"009941783981"</f>
        <v>009941783981</v>
      </c>
      <c r="F40" s="2">
        <v>44369</v>
      </c>
      <c r="G40">
        <v>202112</v>
      </c>
      <c r="H40" t="s">
        <v>170</v>
      </c>
      <c r="I40" t="s">
        <v>171</v>
      </c>
      <c r="J40" t="s">
        <v>246</v>
      </c>
      <c r="K40" t="s">
        <v>75</v>
      </c>
      <c r="L40" t="s">
        <v>99</v>
      </c>
      <c r="M40" t="s">
        <v>100</v>
      </c>
      <c r="N40" t="s">
        <v>234</v>
      </c>
      <c r="O40" t="s">
        <v>157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18.059999999999999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101.56</v>
      </c>
      <c r="BM40">
        <v>15.23</v>
      </c>
      <c r="BN40">
        <v>116.79</v>
      </c>
      <c r="BO40">
        <v>116.79</v>
      </c>
      <c r="BR40" t="s">
        <v>302</v>
      </c>
      <c r="BS40" s="2">
        <v>44370</v>
      </c>
      <c r="BT40" s="3">
        <v>0.36458333333333331</v>
      </c>
      <c r="BU40" t="s">
        <v>249</v>
      </c>
      <c r="BV40" t="s">
        <v>79</v>
      </c>
      <c r="BY40">
        <v>1200</v>
      </c>
      <c r="CA40" t="s">
        <v>150</v>
      </c>
      <c r="CC40" t="s">
        <v>100</v>
      </c>
      <c r="CD40">
        <v>2013</v>
      </c>
      <c r="CE40" t="s">
        <v>94</v>
      </c>
      <c r="CF40" s="2">
        <v>44370</v>
      </c>
      <c r="CI40">
        <v>1</v>
      </c>
      <c r="CJ40">
        <v>1</v>
      </c>
      <c r="CK40" t="s">
        <v>187</v>
      </c>
      <c r="CL40" t="s">
        <v>80</v>
      </c>
    </row>
    <row r="41" spans="1:90" x14ac:dyDescent="0.25">
      <c r="A41" t="s">
        <v>228</v>
      </c>
      <c r="B41" t="s">
        <v>229</v>
      </c>
      <c r="C41" t="s">
        <v>72</v>
      </c>
      <c r="E41" t="str">
        <f>"009941173826"</f>
        <v>009941173826</v>
      </c>
      <c r="F41" s="2">
        <v>44369</v>
      </c>
      <c r="G41">
        <v>202112</v>
      </c>
      <c r="H41" t="s">
        <v>73</v>
      </c>
      <c r="I41" t="s">
        <v>74</v>
      </c>
      <c r="J41" t="s">
        <v>303</v>
      </c>
      <c r="K41" t="s">
        <v>75</v>
      </c>
      <c r="L41" t="s">
        <v>99</v>
      </c>
      <c r="M41" t="s">
        <v>100</v>
      </c>
      <c r="N41" t="s">
        <v>234</v>
      </c>
      <c r="O41" t="s">
        <v>78</v>
      </c>
      <c r="P41" t="str">
        <f>"2106610090                    "</f>
        <v xml:space="preserve">2106610090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9.6300000000000008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51.5</v>
      </c>
      <c r="BM41">
        <v>7.73</v>
      </c>
      <c r="BN41">
        <v>59.23</v>
      </c>
      <c r="BO41">
        <v>59.23</v>
      </c>
      <c r="BQ41" t="s">
        <v>226</v>
      </c>
      <c r="BR41" t="s">
        <v>161</v>
      </c>
      <c r="BS41" s="2">
        <v>44370</v>
      </c>
      <c r="BT41" s="3">
        <v>0.3659722222222222</v>
      </c>
      <c r="BU41" t="s">
        <v>249</v>
      </c>
      <c r="BV41" t="s">
        <v>79</v>
      </c>
      <c r="BY41">
        <v>1200</v>
      </c>
      <c r="BZ41" t="s">
        <v>81</v>
      </c>
      <c r="CA41" t="s">
        <v>150</v>
      </c>
      <c r="CC41" t="s">
        <v>100</v>
      </c>
      <c r="CD41">
        <v>2000</v>
      </c>
      <c r="CE41" t="s">
        <v>94</v>
      </c>
      <c r="CF41" s="2">
        <v>44370</v>
      </c>
      <c r="CI41">
        <v>1</v>
      </c>
      <c r="CJ41">
        <v>1</v>
      </c>
      <c r="CK41">
        <v>21</v>
      </c>
      <c r="CL41" t="s">
        <v>80</v>
      </c>
    </row>
    <row r="42" spans="1:90" x14ac:dyDescent="0.25">
      <c r="A42" t="s">
        <v>228</v>
      </c>
      <c r="B42" t="s">
        <v>229</v>
      </c>
      <c r="C42" t="s">
        <v>72</v>
      </c>
      <c r="E42" t="str">
        <f>"009941507283"</f>
        <v>009941507283</v>
      </c>
      <c r="F42" s="2">
        <v>44371</v>
      </c>
      <c r="G42">
        <v>202112</v>
      </c>
      <c r="H42" t="s">
        <v>97</v>
      </c>
      <c r="I42" t="s">
        <v>98</v>
      </c>
      <c r="J42" t="s">
        <v>234</v>
      </c>
      <c r="K42" t="s">
        <v>75</v>
      </c>
      <c r="L42" t="s">
        <v>99</v>
      </c>
      <c r="M42" t="s">
        <v>100</v>
      </c>
      <c r="N42" t="s">
        <v>234</v>
      </c>
      <c r="O42" t="s">
        <v>157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18.059999999999999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101.56</v>
      </c>
      <c r="BM42">
        <v>15.23</v>
      </c>
      <c r="BN42">
        <v>116.79</v>
      </c>
      <c r="BO42">
        <v>116.79</v>
      </c>
      <c r="BR42" t="s">
        <v>282</v>
      </c>
      <c r="BS42" s="2">
        <v>44372</v>
      </c>
      <c r="BT42" s="3">
        <v>0.32083333333333336</v>
      </c>
      <c r="BU42" t="s">
        <v>125</v>
      </c>
      <c r="BV42" t="s">
        <v>79</v>
      </c>
      <c r="BY42">
        <v>1200</v>
      </c>
      <c r="CA42" t="s">
        <v>150</v>
      </c>
      <c r="CC42" t="s">
        <v>100</v>
      </c>
      <c r="CD42">
        <v>2013</v>
      </c>
      <c r="CE42" t="s">
        <v>94</v>
      </c>
      <c r="CF42" s="2">
        <v>44373</v>
      </c>
      <c r="CI42">
        <v>1</v>
      </c>
      <c r="CJ42">
        <v>1</v>
      </c>
      <c r="CK42" t="s">
        <v>198</v>
      </c>
      <c r="CL42" t="s">
        <v>80</v>
      </c>
    </row>
    <row r="43" spans="1:90" x14ac:dyDescent="0.25">
      <c r="A43" t="s">
        <v>228</v>
      </c>
      <c r="B43" t="s">
        <v>229</v>
      </c>
      <c r="C43" t="s">
        <v>72</v>
      </c>
      <c r="E43" t="str">
        <f>"009941234836"</f>
        <v>009941234836</v>
      </c>
      <c r="F43" s="2">
        <v>44371</v>
      </c>
      <c r="G43">
        <v>202112</v>
      </c>
      <c r="H43" t="s">
        <v>109</v>
      </c>
      <c r="I43" t="s">
        <v>110</v>
      </c>
      <c r="J43" t="s">
        <v>246</v>
      </c>
      <c r="K43" t="s">
        <v>75</v>
      </c>
      <c r="L43" t="s">
        <v>99</v>
      </c>
      <c r="M43" t="s">
        <v>100</v>
      </c>
      <c r="N43" t="s">
        <v>234</v>
      </c>
      <c r="O43" t="s">
        <v>157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19.71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0.4</v>
      </c>
      <c r="BJ43">
        <v>2.2000000000000002</v>
      </c>
      <c r="BK43">
        <v>3</v>
      </c>
      <c r="BL43">
        <v>110.42</v>
      </c>
      <c r="BM43">
        <v>16.559999999999999</v>
      </c>
      <c r="BN43">
        <v>126.98</v>
      </c>
      <c r="BO43">
        <v>126.98</v>
      </c>
      <c r="BQ43" t="s">
        <v>268</v>
      </c>
      <c r="BR43" t="s">
        <v>304</v>
      </c>
      <c r="BS43" s="2">
        <v>44372</v>
      </c>
      <c r="BT43" s="3">
        <v>0.32083333333333336</v>
      </c>
      <c r="BU43" t="s">
        <v>125</v>
      </c>
      <c r="BV43" t="s">
        <v>79</v>
      </c>
      <c r="BY43">
        <v>10989</v>
      </c>
      <c r="CA43" t="s">
        <v>150</v>
      </c>
      <c r="CC43" t="s">
        <v>100</v>
      </c>
      <c r="CD43">
        <v>2016</v>
      </c>
      <c r="CE43" t="s">
        <v>94</v>
      </c>
      <c r="CF43" s="2">
        <v>44373</v>
      </c>
      <c r="CI43">
        <v>2</v>
      </c>
      <c r="CJ43">
        <v>1</v>
      </c>
      <c r="CK43" t="s">
        <v>162</v>
      </c>
      <c r="CL43" t="s">
        <v>80</v>
      </c>
    </row>
    <row r="44" spans="1:90" x14ac:dyDescent="0.25">
      <c r="A44" t="s">
        <v>228</v>
      </c>
      <c r="B44" t="s">
        <v>229</v>
      </c>
      <c r="C44" t="s">
        <v>72</v>
      </c>
      <c r="E44" t="str">
        <f>"009941050627"</f>
        <v>009941050627</v>
      </c>
      <c r="F44" s="2">
        <v>44371</v>
      </c>
      <c r="G44">
        <v>202112</v>
      </c>
      <c r="H44" t="s">
        <v>97</v>
      </c>
      <c r="I44" t="s">
        <v>98</v>
      </c>
      <c r="J44" t="s">
        <v>246</v>
      </c>
      <c r="K44" t="s">
        <v>75</v>
      </c>
      <c r="L44" t="s">
        <v>99</v>
      </c>
      <c r="M44" t="s">
        <v>100</v>
      </c>
      <c r="N44" t="s">
        <v>234</v>
      </c>
      <c r="O44" t="s">
        <v>78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48.12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9.6</v>
      </c>
      <c r="BK44">
        <v>10</v>
      </c>
      <c r="BL44">
        <v>257.35000000000002</v>
      </c>
      <c r="BM44">
        <v>38.6</v>
      </c>
      <c r="BN44">
        <v>295.95</v>
      </c>
      <c r="BO44">
        <v>295.95</v>
      </c>
      <c r="BQ44" t="s">
        <v>195</v>
      </c>
      <c r="BR44" t="s">
        <v>195</v>
      </c>
      <c r="BS44" s="2">
        <v>44372</v>
      </c>
      <c r="BT44" s="3">
        <v>0.31944444444444448</v>
      </c>
      <c r="BU44" t="s">
        <v>125</v>
      </c>
      <c r="BV44" t="s">
        <v>79</v>
      </c>
      <c r="BY44">
        <v>48000</v>
      </c>
      <c r="BZ44" t="s">
        <v>81</v>
      </c>
      <c r="CA44" t="s">
        <v>150</v>
      </c>
      <c r="CC44" t="s">
        <v>100</v>
      </c>
      <c r="CD44">
        <v>2013</v>
      </c>
      <c r="CE44" t="s">
        <v>94</v>
      </c>
      <c r="CF44" s="2">
        <v>44373</v>
      </c>
      <c r="CI44">
        <v>1</v>
      </c>
      <c r="CJ44">
        <v>1</v>
      </c>
      <c r="CK44">
        <v>21</v>
      </c>
      <c r="CL44" t="s">
        <v>80</v>
      </c>
    </row>
    <row r="45" spans="1:90" x14ac:dyDescent="0.25">
      <c r="A45" t="s">
        <v>228</v>
      </c>
      <c r="B45" t="s">
        <v>229</v>
      </c>
      <c r="C45" t="s">
        <v>72</v>
      </c>
      <c r="E45" t="str">
        <f>"009939926598"</f>
        <v>009939926598</v>
      </c>
      <c r="F45" s="2">
        <v>44376</v>
      </c>
      <c r="G45">
        <v>202112</v>
      </c>
      <c r="H45" t="s">
        <v>109</v>
      </c>
      <c r="I45" t="s">
        <v>110</v>
      </c>
      <c r="J45" t="s">
        <v>234</v>
      </c>
      <c r="K45" t="s">
        <v>75</v>
      </c>
      <c r="L45" t="s">
        <v>99</v>
      </c>
      <c r="M45" t="s">
        <v>100</v>
      </c>
      <c r="N45" t="s">
        <v>234</v>
      </c>
      <c r="O45" t="s">
        <v>78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9.6300000000000008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51.5</v>
      </c>
      <c r="BM45">
        <v>7.73</v>
      </c>
      <c r="BN45">
        <v>59.23</v>
      </c>
      <c r="BO45">
        <v>59.23</v>
      </c>
      <c r="BR45" t="s">
        <v>254</v>
      </c>
      <c r="BS45" s="2">
        <v>44377</v>
      </c>
      <c r="BT45" s="3">
        <v>0.32361111111111113</v>
      </c>
      <c r="BU45" t="s">
        <v>125</v>
      </c>
      <c r="BV45" t="s">
        <v>79</v>
      </c>
      <c r="BY45">
        <v>1200</v>
      </c>
      <c r="BZ45" t="s">
        <v>81</v>
      </c>
      <c r="CA45" t="s">
        <v>150</v>
      </c>
      <c r="CC45" t="s">
        <v>100</v>
      </c>
      <c r="CD45">
        <v>2013</v>
      </c>
      <c r="CE45" t="s">
        <v>94</v>
      </c>
      <c r="CI45">
        <v>1</v>
      </c>
      <c r="CJ45">
        <v>1</v>
      </c>
      <c r="CK45">
        <v>21</v>
      </c>
      <c r="CL45" t="s">
        <v>80</v>
      </c>
    </row>
    <row r="46" spans="1:90" x14ac:dyDescent="0.25">
      <c r="A46" t="s">
        <v>228</v>
      </c>
      <c r="B46" t="s">
        <v>229</v>
      </c>
      <c r="C46" t="s">
        <v>72</v>
      </c>
      <c r="E46" t="str">
        <f>"009941507397"</f>
        <v>009941507397</v>
      </c>
      <c r="F46" s="2">
        <v>44376</v>
      </c>
      <c r="G46">
        <v>202112</v>
      </c>
      <c r="H46" t="s">
        <v>193</v>
      </c>
      <c r="I46" t="s">
        <v>194</v>
      </c>
      <c r="J46" t="s">
        <v>246</v>
      </c>
      <c r="K46" t="s">
        <v>75</v>
      </c>
      <c r="L46" t="s">
        <v>99</v>
      </c>
      <c r="M46" t="s">
        <v>100</v>
      </c>
      <c r="N46" t="s">
        <v>234</v>
      </c>
      <c r="O46" t="s">
        <v>78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18.66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99.78</v>
      </c>
      <c r="BM46">
        <v>14.97</v>
      </c>
      <c r="BN46">
        <v>114.75</v>
      </c>
      <c r="BO46">
        <v>114.75</v>
      </c>
      <c r="BQ46" t="s">
        <v>195</v>
      </c>
      <c r="BR46" t="s">
        <v>195</v>
      </c>
      <c r="BS46" s="2">
        <v>44377</v>
      </c>
      <c r="BT46" s="3">
        <v>0.32291666666666669</v>
      </c>
      <c r="BU46" t="s">
        <v>305</v>
      </c>
      <c r="BV46" t="s">
        <v>79</v>
      </c>
      <c r="BY46">
        <v>1200</v>
      </c>
      <c r="BZ46" t="s">
        <v>81</v>
      </c>
      <c r="CA46" t="s">
        <v>204</v>
      </c>
      <c r="CC46" t="s">
        <v>100</v>
      </c>
      <c r="CD46">
        <v>2000</v>
      </c>
      <c r="CE46" t="s">
        <v>94</v>
      </c>
      <c r="CI46">
        <v>1</v>
      </c>
      <c r="CJ46">
        <v>1</v>
      </c>
      <c r="CK46">
        <v>23</v>
      </c>
      <c r="CL46" t="s">
        <v>80</v>
      </c>
    </row>
    <row r="47" spans="1:90" x14ac:dyDescent="0.25">
      <c r="A47" t="s">
        <v>228</v>
      </c>
      <c r="B47" t="s">
        <v>229</v>
      </c>
      <c r="C47" t="s">
        <v>72</v>
      </c>
      <c r="E47" t="str">
        <f>"009941843864"</f>
        <v>009941843864</v>
      </c>
      <c r="F47" s="2">
        <v>44376</v>
      </c>
      <c r="G47">
        <v>202112</v>
      </c>
      <c r="H47" t="s">
        <v>99</v>
      </c>
      <c r="I47" t="s">
        <v>100</v>
      </c>
      <c r="J47" t="s">
        <v>581</v>
      </c>
      <c r="K47" t="s">
        <v>75</v>
      </c>
      <c r="L47" t="s">
        <v>99</v>
      </c>
      <c r="M47" t="s">
        <v>100</v>
      </c>
      <c r="N47" t="s">
        <v>234</v>
      </c>
      <c r="O47" t="s">
        <v>78</v>
      </c>
      <c r="P47" t="str">
        <f>"..                            "</f>
        <v xml:space="preserve">..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7.52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40.229999999999997</v>
      </c>
      <c r="BM47">
        <v>6.03</v>
      </c>
      <c r="BN47">
        <v>46.26</v>
      </c>
      <c r="BO47">
        <v>46.26</v>
      </c>
      <c r="BR47" t="s">
        <v>209</v>
      </c>
      <c r="BS47" s="2">
        <v>44377</v>
      </c>
      <c r="BT47" s="3">
        <v>0.32430555555555557</v>
      </c>
      <c r="BU47" t="s">
        <v>305</v>
      </c>
      <c r="BV47" t="s">
        <v>79</v>
      </c>
      <c r="BY47">
        <v>1200</v>
      </c>
      <c r="BZ47" t="s">
        <v>81</v>
      </c>
      <c r="CA47" t="s">
        <v>204</v>
      </c>
      <c r="CC47" t="s">
        <v>100</v>
      </c>
      <c r="CD47">
        <v>2013</v>
      </c>
      <c r="CE47" t="s">
        <v>94</v>
      </c>
      <c r="CI47">
        <v>1</v>
      </c>
      <c r="CJ47">
        <v>1</v>
      </c>
      <c r="CK47">
        <v>22</v>
      </c>
      <c r="CL47" t="s">
        <v>80</v>
      </c>
    </row>
    <row r="48" spans="1:90" x14ac:dyDescent="0.25">
      <c r="A48" t="s">
        <v>228</v>
      </c>
      <c r="B48" t="s">
        <v>229</v>
      </c>
      <c r="C48" t="s">
        <v>72</v>
      </c>
      <c r="E48" t="str">
        <f>"009941472044"</f>
        <v>009941472044</v>
      </c>
      <c r="F48" s="2">
        <v>44376</v>
      </c>
      <c r="G48">
        <v>202112</v>
      </c>
      <c r="H48" t="s">
        <v>104</v>
      </c>
      <c r="I48" t="s">
        <v>105</v>
      </c>
      <c r="J48" t="s">
        <v>246</v>
      </c>
      <c r="K48" t="s">
        <v>75</v>
      </c>
      <c r="L48" t="s">
        <v>99</v>
      </c>
      <c r="M48" t="s">
        <v>100</v>
      </c>
      <c r="N48" t="s">
        <v>234</v>
      </c>
      <c r="O48" t="s">
        <v>78</v>
      </c>
      <c r="P48" t="str">
        <f>"..                            "</f>
        <v xml:space="preserve">..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7.52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40.229999999999997</v>
      </c>
      <c r="BM48">
        <v>6.03</v>
      </c>
      <c r="BN48">
        <v>46.26</v>
      </c>
      <c r="BO48">
        <v>46.26</v>
      </c>
      <c r="BQ48" t="s">
        <v>226</v>
      </c>
      <c r="BR48" t="s">
        <v>226</v>
      </c>
      <c r="BS48" s="2">
        <v>44377</v>
      </c>
      <c r="BT48" s="3">
        <v>0.32361111111111113</v>
      </c>
      <c r="BU48" t="s">
        <v>306</v>
      </c>
      <c r="BV48" t="s">
        <v>79</v>
      </c>
      <c r="BY48">
        <v>1200</v>
      </c>
      <c r="BZ48" t="s">
        <v>81</v>
      </c>
      <c r="CA48" t="s">
        <v>204</v>
      </c>
      <c r="CC48" t="s">
        <v>100</v>
      </c>
      <c r="CD48">
        <v>2013</v>
      </c>
      <c r="CE48" t="s">
        <v>94</v>
      </c>
      <c r="CI48">
        <v>1</v>
      </c>
      <c r="CJ48">
        <v>1</v>
      </c>
      <c r="CK48">
        <v>22</v>
      </c>
      <c r="CL48" t="s">
        <v>80</v>
      </c>
    </row>
    <row r="49" spans="1:90" x14ac:dyDescent="0.25">
      <c r="A49" t="s">
        <v>228</v>
      </c>
      <c r="B49" t="s">
        <v>229</v>
      </c>
      <c r="C49" t="s">
        <v>72</v>
      </c>
      <c r="E49" t="str">
        <f>"009941026585"</f>
        <v>009941026585</v>
      </c>
      <c r="F49" s="2">
        <v>44376</v>
      </c>
      <c r="G49">
        <v>202112</v>
      </c>
      <c r="H49" t="s">
        <v>99</v>
      </c>
      <c r="I49" t="s">
        <v>100</v>
      </c>
      <c r="J49" t="s">
        <v>230</v>
      </c>
      <c r="K49" t="s">
        <v>75</v>
      </c>
      <c r="L49" t="s">
        <v>91</v>
      </c>
      <c r="M49" t="s">
        <v>92</v>
      </c>
      <c r="N49" t="s">
        <v>307</v>
      </c>
      <c r="O49" t="s">
        <v>183</v>
      </c>
      <c r="P49" t="str">
        <f>"..                            "</f>
        <v xml:space="preserve">..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7.52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2.9</v>
      </c>
      <c r="BK49">
        <v>3</v>
      </c>
      <c r="BL49">
        <v>40.229999999999997</v>
      </c>
      <c r="BM49">
        <v>6.03</v>
      </c>
      <c r="BN49">
        <v>46.26</v>
      </c>
      <c r="BO49">
        <v>46.26</v>
      </c>
      <c r="BR49" t="s">
        <v>232</v>
      </c>
      <c r="BS49" t="s">
        <v>154</v>
      </c>
      <c r="BY49">
        <v>14613.65</v>
      </c>
      <c r="BZ49" t="s">
        <v>202</v>
      </c>
      <c r="CC49" t="s">
        <v>92</v>
      </c>
      <c r="CD49">
        <v>2125</v>
      </c>
      <c r="CE49" t="s">
        <v>94</v>
      </c>
      <c r="CI49">
        <v>1</v>
      </c>
      <c r="CJ49" t="s">
        <v>154</v>
      </c>
      <c r="CK49">
        <v>32</v>
      </c>
      <c r="CL49" t="s">
        <v>80</v>
      </c>
    </row>
    <row r="50" spans="1:90" x14ac:dyDescent="0.25">
      <c r="A50" t="s">
        <v>228</v>
      </c>
      <c r="B50" t="s">
        <v>229</v>
      </c>
      <c r="C50" t="s">
        <v>72</v>
      </c>
      <c r="E50" t="str">
        <f>"009941026586"</f>
        <v>009941026586</v>
      </c>
      <c r="F50" s="2">
        <v>44376</v>
      </c>
      <c r="G50">
        <v>202112</v>
      </c>
      <c r="H50" t="s">
        <v>99</v>
      </c>
      <c r="I50" t="s">
        <v>100</v>
      </c>
      <c r="J50" t="s">
        <v>230</v>
      </c>
      <c r="K50" t="s">
        <v>75</v>
      </c>
      <c r="L50" t="s">
        <v>109</v>
      </c>
      <c r="M50" t="s">
        <v>110</v>
      </c>
      <c r="N50" t="s">
        <v>308</v>
      </c>
      <c r="O50" t="s">
        <v>183</v>
      </c>
      <c r="P50" t="str">
        <f>"..                            "</f>
        <v xml:space="preserve">..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18.059999999999999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0.7</v>
      </c>
      <c r="BJ50">
        <v>3.1</v>
      </c>
      <c r="BK50">
        <v>4</v>
      </c>
      <c r="BL50">
        <v>96.56</v>
      </c>
      <c r="BM50">
        <v>14.48</v>
      </c>
      <c r="BN50">
        <v>111.04</v>
      </c>
      <c r="BO50">
        <v>111.04</v>
      </c>
      <c r="BR50" t="s">
        <v>232</v>
      </c>
      <c r="BS50" t="s">
        <v>154</v>
      </c>
      <c r="BY50">
        <v>15718.71</v>
      </c>
      <c r="BZ50" t="s">
        <v>202</v>
      </c>
      <c r="CC50" t="s">
        <v>110</v>
      </c>
      <c r="CD50">
        <v>8000</v>
      </c>
      <c r="CE50" t="s">
        <v>94</v>
      </c>
      <c r="CI50">
        <v>1</v>
      </c>
      <c r="CJ50" t="s">
        <v>154</v>
      </c>
      <c r="CK50">
        <v>31</v>
      </c>
      <c r="CL50" t="s">
        <v>80</v>
      </c>
    </row>
    <row r="51" spans="1:90" x14ac:dyDescent="0.25">
      <c r="A51" t="s">
        <v>228</v>
      </c>
      <c r="B51" t="s">
        <v>229</v>
      </c>
      <c r="C51" t="s">
        <v>72</v>
      </c>
      <c r="E51" t="str">
        <f>"009940714824"</f>
        <v>009940714824</v>
      </c>
      <c r="F51" s="2">
        <v>44376</v>
      </c>
      <c r="G51">
        <v>202112</v>
      </c>
      <c r="H51" t="s">
        <v>97</v>
      </c>
      <c r="I51" t="s">
        <v>98</v>
      </c>
      <c r="J51" t="s">
        <v>234</v>
      </c>
      <c r="K51" t="s">
        <v>75</v>
      </c>
      <c r="L51" t="s">
        <v>99</v>
      </c>
      <c r="M51" t="s">
        <v>100</v>
      </c>
      <c r="N51" t="s">
        <v>309</v>
      </c>
      <c r="O51" t="s">
        <v>78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9.6300000000000008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51.5</v>
      </c>
      <c r="BM51">
        <v>7.73</v>
      </c>
      <c r="BN51">
        <v>59.23</v>
      </c>
      <c r="BO51">
        <v>59.23</v>
      </c>
      <c r="BQ51" t="s">
        <v>310</v>
      </c>
      <c r="BR51" t="s">
        <v>278</v>
      </c>
      <c r="BS51" t="s">
        <v>154</v>
      </c>
      <c r="BY51">
        <v>1200</v>
      </c>
      <c r="BZ51" t="s">
        <v>81</v>
      </c>
      <c r="CC51" t="s">
        <v>100</v>
      </c>
      <c r="CD51">
        <v>2000</v>
      </c>
      <c r="CE51" t="s">
        <v>94</v>
      </c>
      <c r="CI51">
        <v>1</v>
      </c>
      <c r="CJ51" t="s">
        <v>154</v>
      </c>
      <c r="CK51">
        <v>21</v>
      </c>
      <c r="CL51" t="s">
        <v>80</v>
      </c>
    </row>
    <row r="52" spans="1:90" x14ac:dyDescent="0.25">
      <c r="A52" t="s">
        <v>228</v>
      </c>
      <c r="B52" t="s">
        <v>229</v>
      </c>
      <c r="C52" t="s">
        <v>72</v>
      </c>
      <c r="E52" t="str">
        <f>"009941230779"</f>
        <v>009941230779</v>
      </c>
      <c r="F52" s="2">
        <v>44376</v>
      </c>
      <c r="G52">
        <v>202112</v>
      </c>
      <c r="H52" t="s">
        <v>109</v>
      </c>
      <c r="I52" t="s">
        <v>110</v>
      </c>
      <c r="J52" t="s">
        <v>246</v>
      </c>
      <c r="K52" t="s">
        <v>75</v>
      </c>
      <c r="L52" t="s">
        <v>99</v>
      </c>
      <c r="M52" t="s">
        <v>100</v>
      </c>
      <c r="N52" t="s">
        <v>234</v>
      </c>
      <c r="O52" t="s">
        <v>78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9.6300000000000008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1.1000000000000001</v>
      </c>
      <c r="BK52">
        <v>1.5</v>
      </c>
      <c r="BL52">
        <v>51.5</v>
      </c>
      <c r="BM52">
        <v>7.73</v>
      </c>
      <c r="BN52">
        <v>59.23</v>
      </c>
      <c r="BO52">
        <v>59.23</v>
      </c>
      <c r="BQ52" t="s">
        <v>161</v>
      </c>
      <c r="BR52" t="s">
        <v>161</v>
      </c>
      <c r="BS52" s="2">
        <v>44377</v>
      </c>
      <c r="BT52" s="3">
        <v>0.32222222222222224</v>
      </c>
      <c r="BU52" t="s">
        <v>125</v>
      </c>
      <c r="BV52" t="s">
        <v>79</v>
      </c>
      <c r="BY52">
        <v>5700.96</v>
      </c>
      <c r="BZ52" t="s">
        <v>81</v>
      </c>
      <c r="CA52" t="s">
        <v>150</v>
      </c>
      <c r="CC52" t="s">
        <v>100</v>
      </c>
      <c r="CD52">
        <v>2000</v>
      </c>
      <c r="CE52" t="s">
        <v>94</v>
      </c>
      <c r="CI52">
        <v>1</v>
      </c>
      <c r="CJ52">
        <v>1</v>
      </c>
      <c r="CK52">
        <v>21</v>
      </c>
      <c r="CL52" t="s">
        <v>80</v>
      </c>
    </row>
    <row r="53" spans="1:90" x14ac:dyDescent="0.25">
      <c r="A53" t="s">
        <v>228</v>
      </c>
      <c r="B53" t="s">
        <v>229</v>
      </c>
      <c r="C53" t="s">
        <v>72</v>
      </c>
      <c r="E53" t="str">
        <f>"009940742076"</f>
        <v>009940742076</v>
      </c>
      <c r="F53" s="2">
        <v>44376</v>
      </c>
      <c r="G53">
        <v>202112</v>
      </c>
      <c r="H53" t="s">
        <v>109</v>
      </c>
      <c r="I53" t="s">
        <v>110</v>
      </c>
      <c r="J53" t="s">
        <v>246</v>
      </c>
      <c r="K53" t="s">
        <v>75</v>
      </c>
      <c r="L53" t="s">
        <v>99</v>
      </c>
      <c r="M53" t="s">
        <v>100</v>
      </c>
      <c r="N53" t="s">
        <v>234</v>
      </c>
      <c r="O53" t="s">
        <v>78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9.6300000000000008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0.9</v>
      </c>
      <c r="BK53">
        <v>1</v>
      </c>
      <c r="BL53">
        <v>51.5</v>
      </c>
      <c r="BM53">
        <v>7.73</v>
      </c>
      <c r="BN53">
        <v>59.23</v>
      </c>
      <c r="BO53">
        <v>59.23</v>
      </c>
      <c r="BQ53" t="s">
        <v>161</v>
      </c>
      <c r="BR53" t="s">
        <v>293</v>
      </c>
      <c r="BS53" s="2">
        <v>44377</v>
      </c>
      <c r="BT53" s="3">
        <v>0.32500000000000001</v>
      </c>
      <c r="BU53" t="s">
        <v>125</v>
      </c>
      <c r="BV53" t="s">
        <v>79</v>
      </c>
      <c r="BY53">
        <v>4286.5200000000004</v>
      </c>
      <c r="BZ53" t="s">
        <v>81</v>
      </c>
      <c r="CA53" t="s">
        <v>150</v>
      </c>
      <c r="CC53" t="s">
        <v>100</v>
      </c>
      <c r="CD53">
        <v>2013</v>
      </c>
      <c r="CE53" t="s">
        <v>94</v>
      </c>
      <c r="CI53">
        <v>1</v>
      </c>
      <c r="CJ53">
        <v>1</v>
      </c>
      <c r="CK53">
        <v>21</v>
      </c>
      <c r="CL53" t="s">
        <v>80</v>
      </c>
    </row>
    <row r="54" spans="1:90" x14ac:dyDescent="0.25">
      <c r="A54" t="s">
        <v>228</v>
      </c>
      <c r="B54" t="s">
        <v>229</v>
      </c>
      <c r="C54" t="s">
        <v>72</v>
      </c>
      <c r="E54" t="str">
        <f>"009940751381"</f>
        <v>009940751381</v>
      </c>
      <c r="F54" s="2">
        <v>44376</v>
      </c>
      <c r="G54">
        <v>202112</v>
      </c>
      <c r="H54" t="s">
        <v>109</v>
      </c>
      <c r="I54" t="s">
        <v>110</v>
      </c>
      <c r="J54" t="s">
        <v>599</v>
      </c>
      <c r="K54" t="s">
        <v>75</v>
      </c>
      <c r="L54" t="s">
        <v>99</v>
      </c>
      <c r="M54" t="s">
        <v>100</v>
      </c>
      <c r="N54" t="s">
        <v>234</v>
      </c>
      <c r="O54" t="s">
        <v>157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19.71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0.4</v>
      </c>
      <c r="BJ54">
        <v>1.7</v>
      </c>
      <c r="BK54">
        <v>2</v>
      </c>
      <c r="BL54">
        <v>110.42</v>
      </c>
      <c r="BM54">
        <v>16.559999999999999</v>
      </c>
      <c r="BN54">
        <v>126.98</v>
      </c>
      <c r="BO54">
        <v>126.98</v>
      </c>
      <c r="BQ54" t="s">
        <v>311</v>
      </c>
      <c r="BR54" t="s">
        <v>248</v>
      </c>
      <c r="BS54" s="2">
        <v>44377</v>
      </c>
      <c r="BT54" s="3">
        <v>0.32430555555555557</v>
      </c>
      <c r="BU54" t="s">
        <v>125</v>
      </c>
      <c r="BY54">
        <v>8434.32</v>
      </c>
      <c r="CA54" t="s">
        <v>150</v>
      </c>
      <c r="CC54" t="s">
        <v>100</v>
      </c>
      <c r="CD54">
        <v>2000</v>
      </c>
      <c r="CE54" t="s">
        <v>94</v>
      </c>
      <c r="CI54">
        <v>2</v>
      </c>
      <c r="CJ54">
        <v>1</v>
      </c>
      <c r="CK54" t="s">
        <v>162</v>
      </c>
      <c r="CL54" t="s">
        <v>80</v>
      </c>
    </row>
    <row r="55" spans="1:90" x14ac:dyDescent="0.25">
      <c r="A55" t="s">
        <v>228</v>
      </c>
      <c r="B55" t="s">
        <v>229</v>
      </c>
      <c r="C55" t="s">
        <v>72</v>
      </c>
      <c r="E55" t="str">
        <f>"009941770243"</f>
        <v>009941770243</v>
      </c>
      <c r="F55" s="2">
        <v>44376</v>
      </c>
      <c r="G55">
        <v>202112</v>
      </c>
      <c r="H55" t="s">
        <v>73</v>
      </c>
      <c r="I55" t="s">
        <v>74</v>
      </c>
      <c r="J55" t="s">
        <v>246</v>
      </c>
      <c r="K55" t="s">
        <v>75</v>
      </c>
      <c r="L55" t="s">
        <v>99</v>
      </c>
      <c r="M55" t="s">
        <v>100</v>
      </c>
      <c r="N55" t="s">
        <v>234</v>
      </c>
      <c r="O55" t="s">
        <v>157</v>
      </c>
      <c r="P55" t="str">
        <f>"NOREF                         "</f>
        <v xml:space="preserve">NOREF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13.54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77.42</v>
      </c>
      <c r="BM55">
        <v>11.61</v>
      </c>
      <c r="BN55">
        <v>89.03</v>
      </c>
      <c r="BO55">
        <v>89.03</v>
      </c>
      <c r="BQ55" t="s">
        <v>161</v>
      </c>
      <c r="BR55" t="s">
        <v>301</v>
      </c>
      <c r="BS55" s="2">
        <v>44377</v>
      </c>
      <c r="BT55" s="3">
        <v>0.31875000000000003</v>
      </c>
      <c r="BU55" t="s">
        <v>125</v>
      </c>
      <c r="BY55">
        <v>1200</v>
      </c>
      <c r="CA55" t="s">
        <v>150</v>
      </c>
      <c r="CC55" t="s">
        <v>100</v>
      </c>
      <c r="CD55">
        <v>2000</v>
      </c>
      <c r="CE55" t="s">
        <v>94</v>
      </c>
      <c r="CI55">
        <v>0</v>
      </c>
      <c r="CJ55">
        <v>0</v>
      </c>
      <c r="CK55" t="s">
        <v>300</v>
      </c>
      <c r="CL55" t="s">
        <v>80</v>
      </c>
    </row>
    <row r="56" spans="1:90" x14ac:dyDescent="0.25">
      <c r="A56" t="s">
        <v>228</v>
      </c>
      <c r="B56" t="s">
        <v>229</v>
      </c>
      <c r="C56" t="s">
        <v>72</v>
      </c>
      <c r="E56" t="str">
        <f>"009941342431"</f>
        <v>009941342431</v>
      </c>
      <c r="F56" s="2">
        <v>44376</v>
      </c>
      <c r="G56">
        <v>202112</v>
      </c>
      <c r="H56" t="s">
        <v>73</v>
      </c>
      <c r="I56" t="s">
        <v>74</v>
      </c>
      <c r="J56" t="s">
        <v>246</v>
      </c>
      <c r="K56" t="s">
        <v>75</v>
      </c>
      <c r="L56" t="s">
        <v>99</v>
      </c>
      <c r="M56" t="s">
        <v>100</v>
      </c>
      <c r="N56" t="s">
        <v>234</v>
      </c>
      <c r="O56" t="s">
        <v>157</v>
      </c>
      <c r="P56" t="str">
        <f>"NOREF                         "</f>
        <v xml:space="preserve">NOREF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13.54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77.42</v>
      </c>
      <c r="BM56">
        <v>11.61</v>
      </c>
      <c r="BN56">
        <v>89.03</v>
      </c>
      <c r="BO56">
        <v>89.03</v>
      </c>
      <c r="BQ56" t="s">
        <v>161</v>
      </c>
      <c r="BR56" t="s">
        <v>312</v>
      </c>
      <c r="BS56" s="2">
        <v>44377</v>
      </c>
      <c r="BT56" s="3">
        <v>0.32361111111111113</v>
      </c>
      <c r="BU56" t="s">
        <v>125</v>
      </c>
      <c r="BY56">
        <v>1200</v>
      </c>
      <c r="CC56" t="s">
        <v>100</v>
      </c>
      <c r="CD56">
        <v>2000</v>
      </c>
      <c r="CE56" t="s">
        <v>94</v>
      </c>
      <c r="CI56">
        <v>0</v>
      </c>
      <c r="CJ56">
        <v>0</v>
      </c>
      <c r="CK56" t="s">
        <v>300</v>
      </c>
      <c r="CL56" t="s">
        <v>80</v>
      </c>
    </row>
    <row r="57" spans="1:90" x14ac:dyDescent="0.25">
      <c r="A57" t="s">
        <v>228</v>
      </c>
      <c r="B57" t="s">
        <v>229</v>
      </c>
      <c r="C57" t="s">
        <v>72</v>
      </c>
      <c r="E57" t="str">
        <f>"009941789182"</f>
        <v>009941789182</v>
      </c>
      <c r="F57" s="2">
        <v>44376</v>
      </c>
      <c r="G57">
        <v>202112</v>
      </c>
      <c r="H57" t="s">
        <v>99</v>
      </c>
      <c r="I57" t="s">
        <v>100</v>
      </c>
      <c r="J57" t="s">
        <v>313</v>
      </c>
      <c r="K57" t="s">
        <v>75</v>
      </c>
      <c r="L57" t="s">
        <v>99</v>
      </c>
      <c r="M57" t="s">
        <v>100</v>
      </c>
      <c r="N57" t="s">
        <v>234</v>
      </c>
      <c r="O57" t="s">
        <v>157</v>
      </c>
      <c r="P57" t="str">
        <f>"..                            "</f>
        <v xml:space="preserve">..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13.54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77.42</v>
      </c>
      <c r="BM57">
        <v>11.61</v>
      </c>
      <c r="BN57">
        <v>89.03</v>
      </c>
      <c r="BO57">
        <v>89.03</v>
      </c>
      <c r="BQ57" t="s">
        <v>226</v>
      </c>
      <c r="BR57" t="s">
        <v>114</v>
      </c>
      <c r="BS57" s="2">
        <v>44377</v>
      </c>
      <c r="BT57" s="3">
        <v>0.32500000000000001</v>
      </c>
      <c r="BU57" t="s">
        <v>305</v>
      </c>
      <c r="BY57">
        <v>1200</v>
      </c>
      <c r="CA57" t="s">
        <v>204</v>
      </c>
      <c r="CC57" t="s">
        <v>100</v>
      </c>
      <c r="CD57">
        <v>2013</v>
      </c>
      <c r="CE57" t="s">
        <v>94</v>
      </c>
      <c r="CI57">
        <v>1</v>
      </c>
      <c r="CJ57">
        <v>1</v>
      </c>
      <c r="CK57" t="s">
        <v>160</v>
      </c>
      <c r="CL57" t="s">
        <v>80</v>
      </c>
    </row>
    <row r="58" spans="1:90" x14ac:dyDescent="0.25">
      <c r="A58" t="s">
        <v>228</v>
      </c>
      <c r="B58" t="s">
        <v>229</v>
      </c>
      <c r="C58" t="s">
        <v>72</v>
      </c>
      <c r="E58" t="str">
        <f>"009941478269"</f>
        <v>009941478269</v>
      </c>
      <c r="F58" s="2">
        <v>44376</v>
      </c>
      <c r="G58">
        <v>202112</v>
      </c>
      <c r="H58" t="s">
        <v>89</v>
      </c>
      <c r="I58" t="s">
        <v>90</v>
      </c>
      <c r="J58" t="s">
        <v>294</v>
      </c>
      <c r="K58" t="s">
        <v>75</v>
      </c>
      <c r="L58" t="s">
        <v>99</v>
      </c>
      <c r="M58" t="s">
        <v>100</v>
      </c>
      <c r="N58" t="s">
        <v>234</v>
      </c>
      <c r="O58" t="s">
        <v>78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9.6300000000000008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51.5</v>
      </c>
      <c r="BM58">
        <v>7.73</v>
      </c>
      <c r="BN58">
        <v>59.23</v>
      </c>
      <c r="BO58">
        <v>59.23</v>
      </c>
      <c r="BQ58" t="s">
        <v>268</v>
      </c>
      <c r="BR58" t="s">
        <v>295</v>
      </c>
      <c r="BS58" s="2">
        <v>44377</v>
      </c>
      <c r="BT58" s="3">
        <v>0.31944444444444448</v>
      </c>
      <c r="BU58" t="s">
        <v>125</v>
      </c>
      <c r="BV58" t="s">
        <v>79</v>
      </c>
      <c r="BY58">
        <v>1200</v>
      </c>
      <c r="BZ58" t="s">
        <v>81</v>
      </c>
      <c r="CA58" t="s">
        <v>150</v>
      </c>
      <c r="CC58" t="s">
        <v>100</v>
      </c>
      <c r="CD58">
        <v>2016</v>
      </c>
      <c r="CE58" t="s">
        <v>94</v>
      </c>
      <c r="CI58">
        <v>1</v>
      </c>
      <c r="CJ58">
        <v>1</v>
      </c>
      <c r="CK58">
        <v>21</v>
      </c>
      <c r="CL58" t="s">
        <v>80</v>
      </c>
    </row>
    <row r="59" spans="1:90" x14ac:dyDescent="0.25">
      <c r="A59" t="s">
        <v>228</v>
      </c>
      <c r="B59" t="s">
        <v>229</v>
      </c>
      <c r="C59" t="s">
        <v>72</v>
      </c>
      <c r="E59" t="str">
        <f>"009941431544"</f>
        <v>009941431544</v>
      </c>
      <c r="F59" s="2">
        <v>44376</v>
      </c>
      <c r="G59">
        <v>202112</v>
      </c>
      <c r="H59" t="s">
        <v>89</v>
      </c>
      <c r="I59" t="s">
        <v>90</v>
      </c>
      <c r="J59" t="s">
        <v>296</v>
      </c>
      <c r="K59" t="s">
        <v>75</v>
      </c>
      <c r="L59" t="s">
        <v>99</v>
      </c>
      <c r="M59" t="s">
        <v>100</v>
      </c>
      <c r="N59" t="s">
        <v>234</v>
      </c>
      <c r="O59" t="s">
        <v>78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9.6300000000000008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51.5</v>
      </c>
      <c r="BM59">
        <v>7.73</v>
      </c>
      <c r="BN59">
        <v>59.23</v>
      </c>
      <c r="BO59">
        <v>59.23</v>
      </c>
      <c r="BQ59" t="s">
        <v>297</v>
      </c>
      <c r="BR59" t="s">
        <v>314</v>
      </c>
      <c r="BS59" s="2">
        <v>44377</v>
      </c>
      <c r="BT59" s="3">
        <v>0.32222222222222224</v>
      </c>
      <c r="BU59" t="s">
        <v>125</v>
      </c>
      <c r="BY59">
        <v>1200</v>
      </c>
      <c r="BZ59" t="s">
        <v>81</v>
      </c>
      <c r="CC59" t="s">
        <v>100</v>
      </c>
      <c r="CD59">
        <v>2013</v>
      </c>
      <c r="CE59" t="s">
        <v>94</v>
      </c>
      <c r="CI59">
        <v>1</v>
      </c>
      <c r="CJ59">
        <v>1</v>
      </c>
      <c r="CK59">
        <v>21</v>
      </c>
      <c r="CL59" t="s">
        <v>80</v>
      </c>
    </row>
    <row r="60" spans="1:90" x14ac:dyDescent="0.25">
      <c r="A60" t="s">
        <v>228</v>
      </c>
      <c r="B60" t="s">
        <v>229</v>
      </c>
      <c r="C60" t="s">
        <v>72</v>
      </c>
      <c r="E60" t="str">
        <f>"009940432680"</f>
        <v>009940432680</v>
      </c>
      <c r="F60" s="2">
        <v>44369</v>
      </c>
      <c r="G60">
        <v>202112</v>
      </c>
      <c r="H60" t="s">
        <v>109</v>
      </c>
      <c r="I60" t="s">
        <v>110</v>
      </c>
      <c r="J60" t="s">
        <v>582</v>
      </c>
      <c r="K60" t="s">
        <v>75</v>
      </c>
      <c r="L60" t="s">
        <v>99</v>
      </c>
      <c r="M60" t="s">
        <v>100</v>
      </c>
      <c r="N60" t="s">
        <v>234</v>
      </c>
      <c r="O60" t="s">
        <v>78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9.6300000000000008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0.9</v>
      </c>
      <c r="BK60">
        <v>1</v>
      </c>
      <c r="BL60">
        <v>51.5</v>
      </c>
      <c r="BM60">
        <v>7.73</v>
      </c>
      <c r="BN60">
        <v>59.23</v>
      </c>
      <c r="BO60">
        <v>59.23</v>
      </c>
      <c r="BR60" t="s">
        <v>161</v>
      </c>
      <c r="BS60" s="2">
        <v>44371</v>
      </c>
      <c r="BT60" s="3">
        <v>0.30902777777777779</v>
      </c>
      <c r="BU60" t="s">
        <v>125</v>
      </c>
      <c r="BV60" t="s">
        <v>80</v>
      </c>
      <c r="BW60" t="s">
        <v>131</v>
      </c>
      <c r="BX60" t="s">
        <v>197</v>
      </c>
      <c r="BY60">
        <v>4507.75</v>
      </c>
      <c r="BZ60" t="s">
        <v>81</v>
      </c>
      <c r="CA60" t="s">
        <v>150</v>
      </c>
      <c r="CC60" t="s">
        <v>100</v>
      </c>
      <c r="CD60">
        <v>2000</v>
      </c>
      <c r="CE60" t="s">
        <v>94</v>
      </c>
      <c r="CF60" s="2">
        <v>44371</v>
      </c>
      <c r="CI60">
        <v>1</v>
      </c>
      <c r="CJ60">
        <v>2</v>
      </c>
      <c r="CK60">
        <v>21</v>
      </c>
      <c r="CL60" t="s">
        <v>80</v>
      </c>
    </row>
    <row r="61" spans="1:90" x14ac:dyDescent="0.25">
      <c r="A61" t="s">
        <v>228</v>
      </c>
      <c r="B61" t="s">
        <v>229</v>
      </c>
      <c r="C61" t="s">
        <v>72</v>
      </c>
      <c r="E61" t="str">
        <f>"029908479181"</f>
        <v>029908479181</v>
      </c>
      <c r="F61" s="2">
        <v>44369</v>
      </c>
      <c r="G61">
        <v>202112</v>
      </c>
      <c r="H61" t="s">
        <v>315</v>
      </c>
      <c r="I61" t="s">
        <v>316</v>
      </c>
      <c r="J61" t="s">
        <v>246</v>
      </c>
      <c r="K61" t="s">
        <v>75</v>
      </c>
      <c r="L61" t="s">
        <v>99</v>
      </c>
      <c r="M61" t="s">
        <v>100</v>
      </c>
      <c r="N61" t="s">
        <v>317</v>
      </c>
      <c r="O61" t="s">
        <v>157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27.08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149.84</v>
      </c>
      <c r="BM61">
        <v>22.48</v>
      </c>
      <c r="BN61">
        <v>172.32</v>
      </c>
      <c r="BO61">
        <v>172.32</v>
      </c>
      <c r="BQ61" t="s">
        <v>318</v>
      </c>
      <c r="BR61" t="s">
        <v>319</v>
      </c>
      <c r="BS61" s="2">
        <v>44370</v>
      </c>
      <c r="BT61" s="3">
        <v>0.36527777777777781</v>
      </c>
      <c r="BU61" t="s">
        <v>249</v>
      </c>
      <c r="BV61" t="s">
        <v>79</v>
      </c>
      <c r="BY61">
        <v>1200</v>
      </c>
      <c r="CA61" t="s">
        <v>150</v>
      </c>
      <c r="CC61" t="s">
        <v>100</v>
      </c>
      <c r="CD61">
        <v>2013</v>
      </c>
      <c r="CE61" t="s">
        <v>94</v>
      </c>
      <c r="CF61" s="2">
        <v>44370</v>
      </c>
      <c r="CI61">
        <v>1</v>
      </c>
      <c r="CJ61">
        <v>1</v>
      </c>
      <c r="CK61" t="s">
        <v>320</v>
      </c>
      <c r="CL61" t="s">
        <v>80</v>
      </c>
    </row>
    <row r="62" spans="1:90" x14ac:dyDescent="0.25">
      <c r="A62" t="s">
        <v>228</v>
      </c>
      <c r="B62" t="s">
        <v>229</v>
      </c>
      <c r="C62" t="s">
        <v>72</v>
      </c>
      <c r="E62" t="str">
        <f>"009940714823"</f>
        <v>009940714823</v>
      </c>
      <c r="F62" s="2">
        <v>44375</v>
      </c>
      <c r="G62">
        <v>202112</v>
      </c>
      <c r="H62" t="s">
        <v>97</v>
      </c>
      <c r="I62" t="s">
        <v>98</v>
      </c>
      <c r="J62" t="s">
        <v>234</v>
      </c>
      <c r="K62" t="s">
        <v>75</v>
      </c>
      <c r="L62" t="s">
        <v>109</v>
      </c>
      <c r="M62" t="s">
        <v>110</v>
      </c>
      <c r="N62" t="s">
        <v>235</v>
      </c>
      <c r="O62" t="s">
        <v>78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9.6300000000000008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51.5</v>
      </c>
      <c r="BM62">
        <v>7.73</v>
      </c>
      <c r="BN62">
        <v>59.23</v>
      </c>
      <c r="BO62">
        <v>59.23</v>
      </c>
      <c r="BQ62" t="s">
        <v>321</v>
      </c>
      <c r="BR62" t="s">
        <v>278</v>
      </c>
      <c r="BS62" t="s">
        <v>154</v>
      </c>
      <c r="BY62">
        <v>1200</v>
      </c>
      <c r="BZ62" t="s">
        <v>81</v>
      </c>
      <c r="CC62" t="s">
        <v>110</v>
      </c>
      <c r="CD62">
        <v>8000</v>
      </c>
      <c r="CE62" t="s">
        <v>94</v>
      </c>
      <c r="CI62">
        <v>1</v>
      </c>
      <c r="CJ62" t="s">
        <v>154</v>
      </c>
      <c r="CK62">
        <v>21</v>
      </c>
      <c r="CL62" t="s">
        <v>80</v>
      </c>
    </row>
    <row r="63" spans="1:90" x14ac:dyDescent="0.25">
      <c r="A63" t="s">
        <v>228</v>
      </c>
      <c r="B63" t="s">
        <v>229</v>
      </c>
      <c r="C63" t="s">
        <v>72</v>
      </c>
      <c r="E63" t="str">
        <f>"009941026583"</f>
        <v>009941026583</v>
      </c>
      <c r="F63" s="2">
        <v>44375</v>
      </c>
      <c r="G63">
        <v>202112</v>
      </c>
      <c r="H63" t="s">
        <v>99</v>
      </c>
      <c r="I63" t="s">
        <v>100</v>
      </c>
      <c r="J63" t="s">
        <v>230</v>
      </c>
      <c r="K63" t="s">
        <v>75</v>
      </c>
      <c r="L63" t="s">
        <v>91</v>
      </c>
      <c r="M63" t="s">
        <v>92</v>
      </c>
      <c r="N63" t="s">
        <v>307</v>
      </c>
      <c r="O63" t="s">
        <v>183</v>
      </c>
      <c r="P63" t="str">
        <f>"..                            "</f>
        <v xml:space="preserve">..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7.52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2.5</v>
      </c>
      <c r="BK63">
        <v>3</v>
      </c>
      <c r="BL63">
        <v>40.229999999999997</v>
      </c>
      <c r="BM63">
        <v>6.03</v>
      </c>
      <c r="BN63">
        <v>46.26</v>
      </c>
      <c r="BO63">
        <v>46.26</v>
      </c>
      <c r="BR63" t="s">
        <v>232</v>
      </c>
      <c r="BS63" s="2">
        <v>44376</v>
      </c>
      <c r="BT63" s="3">
        <v>0.35694444444444445</v>
      </c>
      <c r="BU63" t="s">
        <v>322</v>
      </c>
      <c r="BV63" t="s">
        <v>79</v>
      </c>
      <c r="BY63">
        <v>12607.75</v>
      </c>
      <c r="BZ63" t="s">
        <v>202</v>
      </c>
      <c r="CA63" t="s">
        <v>93</v>
      </c>
      <c r="CC63" t="s">
        <v>92</v>
      </c>
      <c r="CD63">
        <v>2125</v>
      </c>
      <c r="CE63" t="s">
        <v>94</v>
      </c>
      <c r="CF63" s="2">
        <v>44377</v>
      </c>
      <c r="CI63">
        <v>1</v>
      </c>
      <c r="CJ63">
        <v>1</v>
      </c>
      <c r="CK63">
        <v>32</v>
      </c>
      <c r="CL63" t="s">
        <v>80</v>
      </c>
    </row>
    <row r="64" spans="1:90" x14ac:dyDescent="0.25">
      <c r="A64" t="s">
        <v>228</v>
      </c>
      <c r="B64" t="s">
        <v>229</v>
      </c>
      <c r="C64" t="s">
        <v>72</v>
      </c>
      <c r="E64" t="str">
        <f>"009941173885"</f>
        <v>009941173885</v>
      </c>
      <c r="F64" s="2">
        <v>44375</v>
      </c>
      <c r="G64">
        <v>202112</v>
      </c>
      <c r="H64" t="s">
        <v>73</v>
      </c>
      <c r="I64" t="s">
        <v>74</v>
      </c>
      <c r="J64" t="s">
        <v>246</v>
      </c>
      <c r="K64" t="s">
        <v>75</v>
      </c>
      <c r="L64" t="s">
        <v>99</v>
      </c>
      <c r="M64" t="s">
        <v>100</v>
      </c>
      <c r="N64" t="s">
        <v>234</v>
      </c>
      <c r="O64" t="s">
        <v>78</v>
      </c>
      <c r="P64" t="str">
        <f>"NOREF                         "</f>
        <v xml:space="preserve">NOREF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9.6300000000000008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51.5</v>
      </c>
      <c r="BM64">
        <v>7.73</v>
      </c>
      <c r="BN64">
        <v>59.23</v>
      </c>
      <c r="BO64">
        <v>59.23</v>
      </c>
      <c r="BQ64" t="s">
        <v>161</v>
      </c>
      <c r="BR64" t="s">
        <v>161</v>
      </c>
      <c r="BS64" s="2">
        <v>44376</v>
      </c>
      <c r="BT64" s="3">
        <v>0.30555555555555552</v>
      </c>
      <c r="BU64" t="s">
        <v>125</v>
      </c>
      <c r="BV64" t="s">
        <v>79</v>
      </c>
      <c r="BY64">
        <v>1200</v>
      </c>
      <c r="BZ64" t="s">
        <v>81</v>
      </c>
      <c r="CA64" t="s">
        <v>150</v>
      </c>
      <c r="CC64" t="s">
        <v>100</v>
      </c>
      <c r="CD64">
        <v>2000</v>
      </c>
      <c r="CE64" t="s">
        <v>94</v>
      </c>
      <c r="CF64" s="2">
        <v>44376</v>
      </c>
      <c r="CI64">
        <v>1</v>
      </c>
      <c r="CJ64">
        <v>1</v>
      </c>
      <c r="CK64">
        <v>21</v>
      </c>
      <c r="CL64" t="s">
        <v>80</v>
      </c>
    </row>
    <row r="65" spans="1:90" x14ac:dyDescent="0.25">
      <c r="A65" t="s">
        <v>228</v>
      </c>
      <c r="B65" t="s">
        <v>229</v>
      </c>
      <c r="C65" t="s">
        <v>72</v>
      </c>
      <c r="E65" t="str">
        <f>"009941026584"</f>
        <v>009941026584</v>
      </c>
      <c r="F65" s="2">
        <v>44375</v>
      </c>
      <c r="G65">
        <v>202112</v>
      </c>
      <c r="H65" t="s">
        <v>99</v>
      </c>
      <c r="I65" t="s">
        <v>100</v>
      </c>
      <c r="J65" t="s">
        <v>230</v>
      </c>
      <c r="K65" t="s">
        <v>75</v>
      </c>
      <c r="L65" t="s">
        <v>89</v>
      </c>
      <c r="M65" t="s">
        <v>90</v>
      </c>
      <c r="N65" t="s">
        <v>323</v>
      </c>
      <c r="O65" t="s">
        <v>183</v>
      </c>
      <c r="P65" t="str">
        <f>"..                            "</f>
        <v xml:space="preserve">..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18.059999999999999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0.5</v>
      </c>
      <c r="BJ65">
        <v>3.3</v>
      </c>
      <c r="BK65">
        <v>4</v>
      </c>
      <c r="BL65">
        <v>96.56</v>
      </c>
      <c r="BM65">
        <v>14.48</v>
      </c>
      <c r="BN65">
        <v>111.04</v>
      </c>
      <c r="BO65">
        <v>111.04</v>
      </c>
      <c r="BR65" t="s">
        <v>232</v>
      </c>
      <c r="BS65" t="s">
        <v>154</v>
      </c>
      <c r="BW65" t="s">
        <v>101</v>
      </c>
      <c r="BX65" t="s">
        <v>102</v>
      </c>
      <c r="BY65">
        <v>16433.66</v>
      </c>
      <c r="BZ65" t="s">
        <v>202</v>
      </c>
      <c r="CC65" t="s">
        <v>90</v>
      </c>
      <c r="CD65">
        <v>6000</v>
      </c>
      <c r="CE65" t="s">
        <v>94</v>
      </c>
      <c r="CI65">
        <v>1</v>
      </c>
      <c r="CJ65" t="s">
        <v>154</v>
      </c>
      <c r="CK65">
        <v>31</v>
      </c>
      <c r="CL65" t="s">
        <v>80</v>
      </c>
    </row>
    <row r="66" spans="1:90" x14ac:dyDescent="0.25">
      <c r="A66" t="s">
        <v>228</v>
      </c>
      <c r="B66" t="s">
        <v>229</v>
      </c>
      <c r="C66" t="s">
        <v>72</v>
      </c>
      <c r="E66" t="str">
        <f>"009941483255"</f>
        <v>009941483255</v>
      </c>
      <c r="F66" s="2">
        <v>44375</v>
      </c>
      <c r="G66">
        <v>202112</v>
      </c>
      <c r="H66" t="s">
        <v>99</v>
      </c>
      <c r="I66" t="s">
        <v>100</v>
      </c>
      <c r="J66" t="s">
        <v>234</v>
      </c>
      <c r="K66" t="s">
        <v>75</v>
      </c>
      <c r="L66" t="s">
        <v>324</v>
      </c>
      <c r="M66" t="s">
        <v>325</v>
      </c>
      <c r="N66" t="s">
        <v>326</v>
      </c>
      <c r="O66" t="s">
        <v>78</v>
      </c>
      <c r="P66" t="str">
        <f>"..                            "</f>
        <v xml:space="preserve">..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9.6300000000000008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51.5</v>
      </c>
      <c r="BM66">
        <v>7.73</v>
      </c>
      <c r="BN66">
        <v>59.23</v>
      </c>
      <c r="BO66">
        <v>59.23</v>
      </c>
      <c r="BR66" t="s">
        <v>236</v>
      </c>
      <c r="BS66" s="2">
        <v>44376</v>
      </c>
      <c r="BT66" s="3">
        <v>0.57500000000000007</v>
      </c>
      <c r="BU66" t="s">
        <v>327</v>
      </c>
      <c r="BV66" t="s">
        <v>80</v>
      </c>
      <c r="BW66" t="s">
        <v>129</v>
      </c>
      <c r="BX66" t="s">
        <v>72</v>
      </c>
      <c r="BY66">
        <v>1200</v>
      </c>
      <c r="BZ66" t="s">
        <v>81</v>
      </c>
      <c r="CA66" t="s">
        <v>328</v>
      </c>
      <c r="CC66" t="s">
        <v>325</v>
      </c>
      <c r="CD66">
        <v>9300</v>
      </c>
      <c r="CE66" t="s">
        <v>94</v>
      </c>
      <c r="CI66">
        <v>1</v>
      </c>
      <c r="CJ66">
        <v>1</v>
      </c>
      <c r="CK66">
        <v>21</v>
      </c>
      <c r="CL66" t="s">
        <v>80</v>
      </c>
    </row>
    <row r="67" spans="1:90" x14ac:dyDescent="0.25">
      <c r="A67" t="s">
        <v>228</v>
      </c>
      <c r="B67" t="s">
        <v>229</v>
      </c>
      <c r="C67" t="s">
        <v>72</v>
      </c>
      <c r="E67" t="str">
        <f>"009941364642"</f>
        <v>009941364642</v>
      </c>
      <c r="F67" s="2">
        <v>44356</v>
      </c>
      <c r="G67">
        <v>202112</v>
      </c>
      <c r="H67" t="s">
        <v>193</v>
      </c>
      <c r="I67" t="s">
        <v>194</v>
      </c>
      <c r="J67" t="s">
        <v>246</v>
      </c>
      <c r="K67" t="s">
        <v>75</v>
      </c>
      <c r="L67" t="s">
        <v>99</v>
      </c>
      <c r="M67" t="s">
        <v>100</v>
      </c>
      <c r="N67" t="s">
        <v>234</v>
      </c>
      <c r="O67" t="s">
        <v>78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18.66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99.78</v>
      </c>
      <c r="BM67">
        <v>14.97</v>
      </c>
      <c r="BN67">
        <v>114.75</v>
      </c>
      <c r="BO67">
        <v>114.75</v>
      </c>
      <c r="BS67" s="2">
        <v>44357</v>
      </c>
      <c r="BT67" s="3">
        <v>0.30416666666666664</v>
      </c>
      <c r="BU67" t="s">
        <v>180</v>
      </c>
      <c r="BV67" t="s">
        <v>79</v>
      </c>
      <c r="BY67">
        <v>1200</v>
      </c>
      <c r="BZ67" t="s">
        <v>81</v>
      </c>
      <c r="CA67" t="s">
        <v>150</v>
      </c>
      <c r="CC67" t="s">
        <v>100</v>
      </c>
      <c r="CD67">
        <v>2013</v>
      </c>
      <c r="CE67" t="s">
        <v>94</v>
      </c>
      <c r="CF67" s="2">
        <v>44357</v>
      </c>
      <c r="CI67">
        <v>1</v>
      </c>
      <c r="CJ67">
        <v>1</v>
      </c>
      <c r="CK67">
        <v>23</v>
      </c>
      <c r="CL67" t="s">
        <v>80</v>
      </c>
    </row>
    <row r="68" spans="1:90" x14ac:dyDescent="0.25">
      <c r="A68" t="s">
        <v>228</v>
      </c>
      <c r="B68" t="s">
        <v>229</v>
      </c>
      <c r="C68" t="s">
        <v>72</v>
      </c>
      <c r="E68" t="str">
        <f>"009941440942"</f>
        <v>009941440942</v>
      </c>
      <c r="F68" s="2">
        <v>44356</v>
      </c>
      <c r="G68">
        <v>202112</v>
      </c>
      <c r="H68" t="s">
        <v>89</v>
      </c>
      <c r="I68" t="s">
        <v>90</v>
      </c>
      <c r="J68" t="s">
        <v>294</v>
      </c>
      <c r="K68" t="s">
        <v>75</v>
      </c>
      <c r="L68" t="s">
        <v>99</v>
      </c>
      <c r="M68" t="s">
        <v>100</v>
      </c>
      <c r="N68" t="s">
        <v>234</v>
      </c>
      <c r="O68" t="s">
        <v>78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9.6300000000000008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51.5</v>
      </c>
      <c r="BM68">
        <v>7.73</v>
      </c>
      <c r="BN68">
        <v>59.23</v>
      </c>
      <c r="BO68">
        <v>59.23</v>
      </c>
      <c r="BQ68" t="s">
        <v>268</v>
      </c>
      <c r="BR68" t="s">
        <v>295</v>
      </c>
      <c r="BS68" s="2">
        <v>44357</v>
      </c>
      <c r="BT68" s="3">
        <v>0.30416666666666664</v>
      </c>
      <c r="BU68" t="s">
        <v>180</v>
      </c>
      <c r="BV68" t="s">
        <v>79</v>
      </c>
      <c r="BY68">
        <v>1200</v>
      </c>
      <c r="BZ68" t="s">
        <v>81</v>
      </c>
      <c r="CA68" t="s">
        <v>150</v>
      </c>
      <c r="CC68" t="s">
        <v>100</v>
      </c>
      <c r="CD68">
        <v>2016</v>
      </c>
      <c r="CE68" t="s">
        <v>94</v>
      </c>
      <c r="CF68" s="2">
        <v>44357</v>
      </c>
      <c r="CI68">
        <v>1</v>
      </c>
      <c r="CJ68">
        <v>1</v>
      </c>
      <c r="CK68">
        <v>21</v>
      </c>
      <c r="CL68" t="s">
        <v>80</v>
      </c>
    </row>
    <row r="69" spans="1:90" x14ac:dyDescent="0.25">
      <c r="A69" t="s">
        <v>228</v>
      </c>
      <c r="B69" t="s">
        <v>229</v>
      </c>
      <c r="C69" t="s">
        <v>72</v>
      </c>
      <c r="E69" t="str">
        <f>"009941483251"</f>
        <v>009941483251</v>
      </c>
      <c r="F69" s="2">
        <v>44356</v>
      </c>
      <c r="G69">
        <v>202112</v>
      </c>
      <c r="H69" t="s">
        <v>99</v>
      </c>
      <c r="I69" t="s">
        <v>100</v>
      </c>
      <c r="J69" t="s">
        <v>234</v>
      </c>
      <c r="K69" t="s">
        <v>75</v>
      </c>
      <c r="L69" t="s">
        <v>109</v>
      </c>
      <c r="M69" t="s">
        <v>110</v>
      </c>
      <c r="N69" t="s">
        <v>329</v>
      </c>
      <c r="O69" t="s">
        <v>78</v>
      </c>
      <c r="P69" t="str">
        <f>"..                            "</f>
        <v xml:space="preserve">..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9.6300000000000008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1.5</v>
      </c>
      <c r="BJ69">
        <v>1.5</v>
      </c>
      <c r="BK69">
        <v>1.5</v>
      </c>
      <c r="BL69">
        <v>51.5</v>
      </c>
      <c r="BM69">
        <v>7.73</v>
      </c>
      <c r="BN69">
        <v>59.23</v>
      </c>
      <c r="BO69">
        <v>59.23</v>
      </c>
      <c r="BQ69" t="s">
        <v>330</v>
      </c>
      <c r="BR69" t="s">
        <v>236</v>
      </c>
      <c r="BS69" s="2">
        <v>44357</v>
      </c>
      <c r="BT69" s="3">
        <v>0.33611111111111108</v>
      </c>
      <c r="BU69" t="s">
        <v>218</v>
      </c>
      <c r="BV69" t="s">
        <v>79</v>
      </c>
      <c r="BY69">
        <v>7339.44</v>
      </c>
      <c r="BZ69" t="s">
        <v>81</v>
      </c>
      <c r="CA69" t="s">
        <v>117</v>
      </c>
      <c r="CC69" t="s">
        <v>110</v>
      </c>
      <c r="CD69">
        <v>7561</v>
      </c>
      <c r="CE69" t="s">
        <v>94</v>
      </c>
      <c r="CF69" s="2">
        <v>44358</v>
      </c>
      <c r="CI69">
        <v>1</v>
      </c>
      <c r="CJ69">
        <v>1</v>
      </c>
      <c r="CK69">
        <v>21</v>
      </c>
      <c r="CL69" t="s">
        <v>80</v>
      </c>
    </row>
    <row r="70" spans="1:90" x14ac:dyDescent="0.25">
      <c r="A70" t="s">
        <v>228</v>
      </c>
      <c r="B70" t="s">
        <v>229</v>
      </c>
      <c r="C70" t="s">
        <v>72</v>
      </c>
      <c r="E70" t="str">
        <f>"009938376863"</f>
        <v>009938376863</v>
      </c>
      <c r="F70" s="2">
        <v>44356</v>
      </c>
      <c r="G70">
        <v>202112</v>
      </c>
      <c r="H70" t="s">
        <v>99</v>
      </c>
      <c r="I70" t="s">
        <v>100</v>
      </c>
      <c r="J70" t="s">
        <v>234</v>
      </c>
      <c r="K70" t="s">
        <v>75</v>
      </c>
      <c r="L70" t="s">
        <v>109</v>
      </c>
      <c r="M70" t="s">
        <v>110</v>
      </c>
      <c r="N70" t="s">
        <v>234</v>
      </c>
      <c r="O70" t="s">
        <v>78</v>
      </c>
      <c r="P70" t="str">
        <f>"..                            "</f>
        <v xml:space="preserve">..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9.6300000000000008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51.5</v>
      </c>
      <c r="BM70">
        <v>7.73</v>
      </c>
      <c r="BN70">
        <v>59.23</v>
      </c>
      <c r="BO70">
        <v>59.23</v>
      </c>
      <c r="BQ70" t="s">
        <v>254</v>
      </c>
      <c r="BR70" t="s">
        <v>331</v>
      </c>
      <c r="BS70" s="2">
        <v>44357</v>
      </c>
      <c r="BT70" s="3">
        <v>0.37708333333333338</v>
      </c>
      <c r="BU70" t="s">
        <v>332</v>
      </c>
      <c r="BV70" t="s">
        <v>79</v>
      </c>
      <c r="BY70">
        <v>1200</v>
      </c>
      <c r="BZ70" t="s">
        <v>81</v>
      </c>
      <c r="CA70" t="s">
        <v>120</v>
      </c>
      <c r="CC70" t="s">
        <v>110</v>
      </c>
      <c r="CD70">
        <v>7441</v>
      </c>
      <c r="CE70" t="s">
        <v>94</v>
      </c>
      <c r="CF70" s="2">
        <v>44358</v>
      </c>
      <c r="CI70">
        <v>1</v>
      </c>
      <c r="CJ70">
        <v>1</v>
      </c>
      <c r="CK70">
        <v>21</v>
      </c>
      <c r="CL70" t="s">
        <v>80</v>
      </c>
    </row>
    <row r="71" spans="1:90" x14ac:dyDescent="0.25">
      <c r="A71" t="s">
        <v>228</v>
      </c>
      <c r="B71" t="s">
        <v>229</v>
      </c>
      <c r="C71" t="s">
        <v>72</v>
      </c>
      <c r="E71" t="str">
        <f>"009941548395"</f>
        <v>009941548395</v>
      </c>
      <c r="F71" s="2">
        <v>44356</v>
      </c>
      <c r="G71">
        <v>202112</v>
      </c>
      <c r="H71" t="s">
        <v>99</v>
      </c>
      <c r="I71" t="s">
        <v>100</v>
      </c>
      <c r="J71" t="s">
        <v>234</v>
      </c>
      <c r="K71" t="s">
        <v>75</v>
      </c>
      <c r="L71" t="s">
        <v>97</v>
      </c>
      <c r="M71" t="s">
        <v>98</v>
      </c>
      <c r="N71" t="s">
        <v>234</v>
      </c>
      <c r="O71" t="s">
        <v>78</v>
      </c>
      <c r="P71" t="str">
        <f>"..                            "</f>
        <v xml:space="preserve">..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9.6300000000000008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51.5</v>
      </c>
      <c r="BM71">
        <v>7.73</v>
      </c>
      <c r="BN71">
        <v>59.23</v>
      </c>
      <c r="BO71">
        <v>59.23</v>
      </c>
      <c r="BQ71" t="s">
        <v>333</v>
      </c>
      <c r="BR71" t="s">
        <v>236</v>
      </c>
      <c r="BS71" s="2">
        <v>44357</v>
      </c>
      <c r="BT71" s="3">
        <v>0.36805555555555558</v>
      </c>
      <c r="BU71" t="s">
        <v>245</v>
      </c>
      <c r="BV71" t="s">
        <v>79</v>
      </c>
      <c r="BY71">
        <v>1200</v>
      </c>
      <c r="BZ71" t="s">
        <v>81</v>
      </c>
      <c r="CA71" t="s">
        <v>211</v>
      </c>
      <c r="CC71" t="s">
        <v>98</v>
      </c>
      <c r="CD71">
        <v>3629</v>
      </c>
      <c r="CE71" t="s">
        <v>94</v>
      </c>
      <c r="CF71" s="2">
        <v>44358</v>
      </c>
      <c r="CI71">
        <v>1</v>
      </c>
      <c r="CJ71">
        <v>1</v>
      </c>
      <c r="CK71">
        <v>21</v>
      </c>
      <c r="CL71" t="s">
        <v>80</v>
      </c>
    </row>
    <row r="72" spans="1:90" x14ac:dyDescent="0.25">
      <c r="A72" t="s">
        <v>228</v>
      </c>
      <c r="B72" t="s">
        <v>229</v>
      </c>
      <c r="C72" t="s">
        <v>72</v>
      </c>
      <c r="E72" t="str">
        <f>"009941783983"</f>
        <v>009941783983</v>
      </c>
      <c r="F72" s="2">
        <v>44375</v>
      </c>
      <c r="G72">
        <v>202112</v>
      </c>
      <c r="H72" t="s">
        <v>170</v>
      </c>
      <c r="I72" t="s">
        <v>171</v>
      </c>
      <c r="J72" t="s">
        <v>246</v>
      </c>
      <c r="K72" t="s">
        <v>75</v>
      </c>
      <c r="L72" t="s">
        <v>99</v>
      </c>
      <c r="M72" t="s">
        <v>100</v>
      </c>
      <c r="N72" t="s">
        <v>234</v>
      </c>
      <c r="O72" t="s">
        <v>157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18.059999999999999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101.56</v>
      </c>
      <c r="BM72">
        <v>15.23</v>
      </c>
      <c r="BN72">
        <v>116.79</v>
      </c>
      <c r="BO72">
        <v>116.79</v>
      </c>
      <c r="BS72" s="2">
        <v>44376</v>
      </c>
      <c r="BT72" s="3">
        <v>0.30555555555555552</v>
      </c>
      <c r="BU72" t="s">
        <v>125</v>
      </c>
      <c r="BV72" t="s">
        <v>79</v>
      </c>
      <c r="BY72">
        <v>1200</v>
      </c>
      <c r="CA72" t="s">
        <v>150</v>
      </c>
      <c r="CC72" t="s">
        <v>100</v>
      </c>
      <c r="CD72">
        <v>2013</v>
      </c>
      <c r="CE72" t="s">
        <v>94</v>
      </c>
      <c r="CF72" s="2">
        <v>44376</v>
      </c>
      <c r="CI72">
        <v>1</v>
      </c>
      <c r="CJ72">
        <v>1</v>
      </c>
      <c r="CK72" t="s">
        <v>187</v>
      </c>
      <c r="CL72" t="s">
        <v>80</v>
      </c>
    </row>
    <row r="73" spans="1:90" x14ac:dyDescent="0.25">
      <c r="A73" t="s">
        <v>228</v>
      </c>
      <c r="B73" t="s">
        <v>229</v>
      </c>
      <c r="C73" t="s">
        <v>72</v>
      </c>
      <c r="E73" t="str">
        <f>"009940714801"</f>
        <v>009940714801</v>
      </c>
      <c r="F73" s="2">
        <v>44351</v>
      </c>
      <c r="G73">
        <v>202112</v>
      </c>
      <c r="H73" t="s">
        <v>97</v>
      </c>
      <c r="I73" t="s">
        <v>98</v>
      </c>
      <c r="J73" t="s">
        <v>234</v>
      </c>
      <c r="K73" t="s">
        <v>75</v>
      </c>
      <c r="L73" t="s">
        <v>89</v>
      </c>
      <c r="M73" t="s">
        <v>90</v>
      </c>
      <c r="N73" t="s">
        <v>334</v>
      </c>
      <c r="O73" t="s">
        <v>183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18.059999999999999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0.3</v>
      </c>
      <c r="BK73">
        <v>1</v>
      </c>
      <c r="BL73">
        <v>96.56</v>
      </c>
      <c r="BM73">
        <v>14.48</v>
      </c>
      <c r="BN73">
        <v>111.04</v>
      </c>
      <c r="BO73">
        <v>111.04</v>
      </c>
      <c r="BQ73" t="s">
        <v>334</v>
      </c>
      <c r="BR73" t="s">
        <v>282</v>
      </c>
      <c r="BS73" s="2">
        <v>44354</v>
      </c>
      <c r="BT73" s="3">
        <v>0.62430555555555556</v>
      </c>
      <c r="BU73" t="s">
        <v>335</v>
      </c>
      <c r="BV73" t="s">
        <v>80</v>
      </c>
      <c r="BW73" t="s">
        <v>118</v>
      </c>
      <c r="BX73" t="s">
        <v>143</v>
      </c>
      <c r="BY73">
        <v>1500</v>
      </c>
      <c r="BZ73" t="s">
        <v>202</v>
      </c>
      <c r="CA73" t="s">
        <v>172</v>
      </c>
      <c r="CC73" t="s">
        <v>90</v>
      </c>
      <c r="CD73">
        <v>6001</v>
      </c>
      <c r="CE73" t="s">
        <v>94</v>
      </c>
      <c r="CF73" s="2">
        <v>44354</v>
      </c>
      <c r="CI73">
        <v>1</v>
      </c>
      <c r="CJ73">
        <v>1</v>
      </c>
      <c r="CK73">
        <v>31</v>
      </c>
      <c r="CL73" t="s">
        <v>80</v>
      </c>
    </row>
    <row r="74" spans="1:90" x14ac:dyDescent="0.25">
      <c r="A74" t="s">
        <v>228</v>
      </c>
      <c r="B74" t="s">
        <v>229</v>
      </c>
      <c r="C74" t="s">
        <v>72</v>
      </c>
      <c r="E74" t="str">
        <f>"009940714802"</f>
        <v>009940714802</v>
      </c>
      <c r="F74" s="2">
        <v>44351</v>
      </c>
      <c r="G74">
        <v>202112</v>
      </c>
      <c r="H74" t="s">
        <v>97</v>
      </c>
      <c r="I74" t="s">
        <v>98</v>
      </c>
      <c r="J74" t="s">
        <v>234</v>
      </c>
      <c r="K74" t="s">
        <v>75</v>
      </c>
      <c r="L74" t="s">
        <v>112</v>
      </c>
      <c r="M74" t="s">
        <v>113</v>
      </c>
      <c r="N74" t="s">
        <v>336</v>
      </c>
      <c r="O74" t="s">
        <v>78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9.6300000000000008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0.3</v>
      </c>
      <c r="BK74">
        <v>1</v>
      </c>
      <c r="BL74">
        <v>51.5</v>
      </c>
      <c r="BM74">
        <v>7.73</v>
      </c>
      <c r="BN74">
        <v>59.23</v>
      </c>
      <c r="BO74">
        <v>59.23</v>
      </c>
      <c r="BQ74" t="s">
        <v>336</v>
      </c>
      <c r="BR74" t="s">
        <v>282</v>
      </c>
      <c r="BS74" s="2">
        <v>44354</v>
      </c>
      <c r="BT74" s="3">
        <v>0.41250000000000003</v>
      </c>
      <c r="BU74" t="s">
        <v>337</v>
      </c>
      <c r="BV74" t="s">
        <v>79</v>
      </c>
      <c r="BY74">
        <v>1500</v>
      </c>
      <c r="BZ74" t="s">
        <v>81</v>
      </c>
      <c r="CC74" t="s">
        <v>113</v>
      </c>
      <c r="CD74">
        <v>6529</v>
      </c>
      <c r="CE74" t="s">
        <v>94</v>
      </c>
      <c r="CF74" s="2">
        <v>44354</v>
      </c>
      <c r="CI74">
        <v>1</v>
      </c>
      <c r="CJ74">
        <v>1</v>
      </c>
      <c r="CK74">
        <v>21</v>
      </c>
      <c r="CL74" t="s">
        <v>80</v>
      </c>
    </row>
    <row r="75" spans="1:90" x14ac:dyDescent="0.25">
      <c r="A75" t="s">
        <v>228</v>
      </c>
      <c r="B75" t="s">
        <v>229</v>
      </c>
      <c r="C75" t="s">
        <v>72</v>
      </c>
      <c r="E75" t="str">
        <f>"009941026544"</f>
        <v>009941026544</v>
      </c>
      <c r="F75" s="2">
        <v>44351</v>
      </c>
      <c r="G75">
        <v>202112</v>
      </c>
      <c r="H75" t="s">
        <v>99</v>
      </c>
      <c r="I75" t="s">
        <v>100</v>
      </c>
      <c r="J75" t="s">
        <v>230</v>
      </c>
      <c r="K75" t="s">
        <v>75</v>
      </c>
      <c r="L75" t="s">
        <v>99</v>
      </c>
      <c r="M75" t="s">
        <v>100</v>
      </c>
      <c r="N75" t="s">
        <v>338</v>
      </c>
      <c r="O75" t="s">
        <v>183</v>
      </c>
      <c r="P75" t="str">
        <f>"..                            "</f>
        <v xml:space="preserve">..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7.52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40.229999999999997</v>
      </c>
      <c r="BM75">
        <v>6.03</v>
      </c>
      <c r="BN75">
        <v>46.26</v>
      </c>
      <c r="BO75">
        <v>46.26</v>
      </c>
      <c r="BR75" t="s">
        <v>232</v>
      </c>
      <c r="BS75" s="2">
        <v>44354</v>
      </c>
      <c r="BT75" s="3">
        <v>0.38958333333333334</v>
      </c>
      <c r="BU75" t="s">
        <v>339</v>
      </c>
      <c r="BV75" t="s">
        <v>79</v>
      </c>
      <c r="BY75">
        <v>1200</v>
      </c>
      <c r="BZ75" t="s">
        <v>202</v>
      </c>
      <c r="CA75" t="s">
        <v>150</v>
      </c>
      <c r="CC75" t="s">
        <v>100</v>
      </c>
      <c r="CD75">
        <v>2091</v>
      </c>
      <c r="CE75" t="s">
        <v>94</v>
      </c>
      <c r="CF75" s="2">
        <v>44354</v>
      </c>
      <c r="CI75">
        <v>1</v>
      </c>
      <c r="CJ75">
        <v>1</v>
      </c>
      <c r="CK75">
        <v>32</v>
      </c>
      <c r="CL75" t="s">
        <v>80</v>
      </c>
    </row>
    <row r="76" spans="1:90" x14ac:dyDescent="0.25">
      <c r="A76" t="s">
        <v>228</v>
      </c>
      <c r="B76" t="s">
        <v>229</v>
      </c>
      <c r="C76" t="s">
        <v>72</v>
      </c>
      <c r="E76" t="str">
        <f>"009937273158"</f>
        <v>009937273158</v>
      </c>
      <c r="F76" s="2">
        <v>44351</v>
      </c>
      <c r="G76">
        <v>202112</v>
      </c>
      <c r="H76" t="s">
        <v>99</v>
      </c>
      <c r="I76" t="s">
        <v>100</v>
      </c>
      <c r="J76" t="s">
        <v>234</v>
      </c>
      <c r="K76" t="s">
        <v>75</v>
      </c>
      <c r="L76" t="s">
        <v>193</v>
      </c>
      <c r="M76" t="s">
        <v>194</v>
      </c>
      <c r="N76" t="s">
        <v>340</v>
      </c>
      <c r="O76" t="s">
        <v>183</v>
      </c>
      <c r="P76" t="str">
        <f>"..                            "</f>
        <v xml:space="preserve">..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18.66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99.78</v>
      </c>
      <c r="BM76">
        <v>14.97</v>
      </c>
      <c r="BN76">
        <v>114.75</v>
      </c>
      <c r="BO76">
        <v>114.75</v>
      </c>
      <c r="BQ76" t="s">
        <v>341</v>
      </c>
      <c r="BR76" t="s">
        <v>331</v>
      </c>
      <c r="BS76" s="2">
        <v>44354</v>
      </c>
      <c r="BT76" s="3">
        <v>0.62916666666666665</v>
      </c>
      <c r="BU76" t="s">
        <v>342</v>
      </c>
      <c r="BV76" t="s">
        <v>79</v>
      </c>
      <c r="BY76">
        <v>1200</v>
      </c>
      <c r="BZ76" t="s">
        <v>202</v>
      </c>
      <c r="CA76" t="s">
        <v>132</v>
      </c>
      <c r="CC76" t="s">
        <v>194</v>
      </c>
      <c r="CD76">
        <v>4399</v>
      </c>
      <c r="CE76" t="s">
        <v>94</v>
      </c>
      <c r="CF76" s="2">
        <v>44354</v>
      </c>
      <c r="CI76">
        <v>1</v>
      </c>
      <c r="CJ76">
        <v>1</v>
      </c>
      <c r="CK76">
        <v>33</v>
      </c>
      <c r="CL76" t="s">
        <v>80</v>
      </c>
    </row>
    <row r="77" spans="1:90" x14ac:dyDescent="0.25">
      <c r="A77" t="s">
        <v>228</v>
      </c>
      <c r="B77" t="s">
        <v>229</v>
      </c>
      <c r="C77" t="s">
        <v>72</v>
      </c>
      <c r="E77" t="str">
        <f>"009941026545"</f>
        <v>009941026545</v>
      </c>
      <c r="F77" s="2">
        <v>44351</v>
      </c>
      <c r="G77">
        <v>202112</v>
      </c>
      <c r="H77" t="s">
        <v>99</v>
      </c>
      <c r="I77" t="s">
        <v>100</v>
      </c>
      <c r="J77" t="s">
        <v>230</v>
      </c>
      <c r="K77" t="s">
        <v>75</v>
      </c>
      <c r="L77" t="s">
        <v>99</v>
      </c>
      <c r="M77" t="s">
        <v>100</v>
      </c>
      <c r="N77" t="s">
        <v>343</v>
      </c>
      <c r="O77" t="s">
        <v>183</v>
      </c>
      <c r="P77" t="str">
        <f>"..                            "</f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7.52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0.5</v>
      </c>
      <c r="BJ77">
        <v>1.8</v>
      </c>
      <c r="BK77">
        <v>2</v>
      </c>
      <c r="BL77">
        <v>40.229999999999997</v>
      </c>
      <c r="BM77">
        <v>6.03</v>
      </c>
      <c r="BN77">
        <v>46.26</v>
      </c>
      <c r="BO77">
        <v>46.26</v>
      </c>
      <c r="BR77" t="s">
        <v>232</v>
      </c>
      <c r="BS77" s="2">
        <v>44354</v>
      </c>
      <c r="BT77" s="3">
        <v>0.35347222222222219</v>
      </c>
      <c r="BU77" t="s">
        <v>225</v>
      </c>
      <c r="BV77" t="s">
        <v>79</v>
      </c>
      <c r="BY77">
        <v>8847.6</v>
      </c>
      <c r="BZ77" t="s">
        <v>202</v>
      </c>
      <c r="CA77" t="s">
        <v>206</v>
      </c>
      <c r="CC77" t="s">
        <v>100</v>
      </c>
      <c r="CD77">
        <v>2196</v>
      </c>
      <c r="CE77" t="s">
        <v>94</v>
      </c>
      <c r="CF77" s="2">
        <v>44355</v>
      </c>
      <c r="CI77">
        <v>1</v>
      </c>
      <c r="CJ77">
        <v>1</v>
      </c>
      <c r="CK77">
        <v>32</v>
      </c>
      <c r="CL77" t="s">
        <v>80</v>
      </c>
    </row>
    <row r="78" spans="1:90" x14ac:dyDescent="0.25">
      <c r="A78" t="s">
        <v>228</v>
      </c>
      <c r="B78" t="s">
        <v>229</v>
      </c>
      <c r="C78" t="s">
        <v>72</v>
      </c>
      <c r="E78" t="str">
        <f>"009938376862"</f>
        <v>009938376862</v>
      </c>
      <c r="F78" s="2">
        <v>44350</v>
      </c>
      <c r="G78">
        <v>202112</v>
      </c>
      <c r="H78" t="s">
        <v>99</v>
      </c>
      <c r="I78" t="s">
        <v>100</v>
      </c>
      <c r="J78" t="s">
        <v>234</v>
      </c>
      <c r="K78" t="s">
        <v>75</v>
      </c>
      <c r="L78" t="s">
        <v>109</v>
      </c>
      <c r="M78" t="s">
        <v>110</v>
      </c>
      <c r="N78" t="s">
        <v>234</v>
      </c>
      <c r="O78" t="s">
        <v>78</v>
      </c>
      <c r="P78" t="str">
        <f>"..                            "</f>
        <v xml:space="preserve">..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28.88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4.7</v>
      </c>
      <c r="BJ78">
        <v>5.6</v>
      </c>
      <c r="BK78">
        <v>6</v>
      </c>
      <c r="BL78">
        <v>154.43</v>
      </c>
      <c r="BM78">
        <v>23.16</v>
      </c>
      <c r="BN78">
        <v>177.59</v>
      </c>
      <c r="BO78">
        <v>177.59</v>
      </c>
      <c r="BQ78" t="s">
        <v>344</v>
      </c>
      <c r="BR78" t="s">
        <v>345</v>
      </c>
      <c r="BS78" s="2">
        <v>44351</v>
      </c>
      <c r="BT78" s="3">
        <v>0.37916666666666665</v>
      </c>
      <c r="BU78" t="s">
        <v>332</v>
      </c>
      <c r="BV78" t="s">
        <v>79</v>
      </c>
      <c r="BY78">
        <v>27884.080000000002</v>
      </c>
      <c r="BZ78" t="s">
        <v>81</v>
      </c>
      <c r="CA78" t="s">
        <v>120</v>
      </c>
      <c r="CC78" t="s">
        <v>110</v>
      </c>
      <c r="CD78">
        <v>7441</v>
      </c>
      <c r="CE78" t="s">
        <v>94</v>
      </c>
      <c r="CF78" s="2">
        <v>44354</v>
      </c>
      <c r="CI78">
        <v>1</v>
      </c>
      <c r="CJ78">
        <v>1</v>
      </c>
      <c r="CK78">
        <v>21</v>
      </c>
      <c r="CL78" t="s">
        <v>80</v>
      </c>
    </row>
    <row r="79" spans="1:90" x14ac:dyDescent="0.25">
      <c r="A79" t="s">
        <v>228</v>
      </c>
      <c r="B79" t="s">
        <v>229</v>
      </c>
      <c r="C79" t="s">
        <v>72</v>
      </c>
      <c r="E79" t="str">
        <f>"009941485342"</f>
        <v>009941485342</v>
      </c>
      <c r="F79" s="2">
        <v>44350</v>
      </c>
      <c r="G79">
        <v>202112</v>
      </c>
      <c r="H79" t="s">
        <v>99</v>
      </c>
      <c r="I79" t="s">
        <v>100</v>
      </c>
      <c r="J79" t="s">
        <v>246</v>
      </c>
      <c r="K79" t="s">
        <v>75</v>
      </c>
      <c r="L79" t="s">
        <v>99</v>
      </c>
      <c r="M79" t="s">
        <v>100</v>
      </c>
      <c r="N79" t="s">
        <v>234</v>
      </c>
      <c r="O79" t="s">
        <v>78</v>
      </c>
      <c r="P79" t="str">
        <f>"..                            "</f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7.52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40.229999999999997</v>
      </c>
      <c r="BM79">
        <v>6.03</v>
      </c>
      <c r="BN79">
        <v>46.26</v>
      </c>
      <c r="BO79">
        <v>46.26</v>
      </c>
      <c r="BR79" t="s">
        <v>267</v>
      </c>
      <c r="BS79" s="2">
        <v>44351</v>
      </c>
      <c r="BT79" s="3">
        <v>0.3520833333333333</v>
      </c>
      <c r="BU79" t="s">
        <v>134</v>
      </c>
      <c r="BV79" t="s">
        <v>79</v>
      </c>
      <c r="BY79">
        <v>1200</v>
      </c>
      <c r="BZ79" t="s">
        <v>81</v>
      </c>
      <c r="CA79" t="s">
        <v>204</v>
      </c>
      <c r="CC79" t="s">
        <v>100</v>
      </c>
      <c r="CD79">
        <v>2013</v>
      </c>
      <c r="CE79" t="s">
        <v>94</v>
      </c>
      <c r="CF79" s="2">
        <v>44352</v>
      </c>
      <c r="CI79">
        <v>1</v>
      </c>
      <c r="CJ79">
        <v>1</v>
      </c>
      <c r="CK79">
        <v>22</v>
      </c>
      <c r="CL79" t="s">
        <v>80</v>
      </c>
    </row>
    <row r="80" spans="1:90" x14ac:dyDescent="0.25">
      <c r="A80" t="s">
        <v>228</v>
      </c>
      <c r="B80" t="s">
        <v>229</v>
      </c>
      <c r="C80" t="s">
        <v>72</v>
      </c>
      <c r="E80" t="str">
        <f>"009941440937"</f>
        <v>009941440937</v>
      </c>
      <c r="F80" s="2">
        <v>44348</v>
      </c>
      <c r="G80">
        <v>202112</v>
      </c>
      <c r="H80" t="s">
        <v>89</v>
      </c>
      <c r="I80" t="s">
        <v>90</v>
      </c>
      <c r="J80" t="s">
        <v>294</v>
      </c>
      <c r="K80" t="s">
        <v>75</v>
      </c>
      <c r="L80" t="s">
        <v>99</v>
      </c>
      <c r="M80" t="s">
        <v>100</v>
      </c>
      <c r="N80" t="s">
        <v>234</v>
      </c>
      <c r="O80" t="s">
        <v>78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9.42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51.29</v>
      </c>
      <c r="BM80">
        <v>7.69</v>
      </c>
      <c r="BN80">
        <v>58.98</v>
      </c>
      <c r="BO80">
        <v>58.98</v>
      </c>
      <c r="BQ80" t="s">
        <v>268</v>
      </c>
      <c r="BR80" t="s">
        <v>295</v>
      </c>
      <c r="BS80" s="2">
        <v>44349</v>
      </c>
      <c r="BT80" s="3">
        <v>0.31944444444444448</v>
      </c>
      <c r="BU80" t="s">
        <v>346</v>
      </c>
      <c r="BV80" t="s">
        <v>79</v>
      </c>
      <c r="BY80">
        <v>1200</v>
      </c>
      <c r="BZ80" t="s">
        <v>81</v>
      </c>
      <c r="CC80" t="s">
        <v>100</v>
      </c>
      <c r="CD80">
        <v>2016</v>
      </c>
      <c r="CE80" t="s">
        <v>94</v>
      </c>
      <c r="CF80" s="2">
        <v>44349</v>
      </c>
      <c r="CI80">
        <v>1</v>
      </c>
      <c r="CJ80">
        <v>1</v>
      </c>
      <c r="CK80">
        <v>21</v>
      </c>
      <c r="CL80" t="s">
        <v>80</v>
      </c>
    </row>
    <row r="81" spans="1:90" x14ac:dyDescent="0.25">
      <c r="A81" t="s">
        <v>228</v>
      </c>
      <c r="B81" t="s">
        <v>229</v>
      </c>
      <c r="C81" t="s">
        <v>72</v>
      </c>
      <c r="E81" t="str">
        <f>"009940742072"</f>
        <v>009940742072</v>
      </c>
      <c r="F81" s="2">
        <v>44348</v>
      </c>
      <c r="G81">
        <v>202112</v>
      </c>
      <c r="H81" t="s">
        <v>109</v>
      </c>
      <c r="I81" t="s">
        <v>110</v>
      </c>
      <c r="J81" t="s">
        <v>583</v>
      </c>
      <c r="K81" t="s">
        <v>75</v>
      </c>
      <c r="L81" t="s">
        <v>99</v>
      </c>
      <c r="M81" t="s">
        <v>100</v>
      </c>
      <c r="N81" t="s">
        <v>234</v>
      </c>
      <c r="O81" t="s">
        <v>183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17.66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2.2000000000000002</v>
      </c>
      <c r="BK81">
        <v>3</v>
      </c>
      <c r="BL81">
        <v>96.16</v>
      </c>
      <c r="BM81">
        <v>14.42</v>
      </c>
      <c r="BN81">
        <v>110.58</v>
      </c>
      <c r="BO81">
        <v>110.58</v>
      </c>
      <c r="BR81" t="s">
        <v>347</v>
      </c>
      <c r="BS81" s="2">
        <v>44349</v>
      </c>
      <c r="BT81" s="3">
        <v>0.31944444444444448</v>
      </c>
      <c r="BU81" t="s">
        <v>346</v>
      </c>
      <c r="BV81" t="s">
        <v>79</v>
      </c>
      <c r="BY81">
        <v>10920.12</v>
      </c>
      <c r="BZ81" t="s">
        <v>202</v>
      </c>
      <c r="CC81" t="s">
        <v>100</v>
      </c>
      <c r="CD81">
        <v>2013</v>
      </c>
      <c r="CE81" t="s">
        <v>94</v>
      </c>
      <c r="CF81" s="2">
        <v>44349</v>
      </c>
      <c r="CI81">
        <v>1</v>
      </c>
      <c r="CJ81">
        <v>1</v>
      </c>
      <c r="CK81">
        <v>31</v>
      </c>
      <c r="CL81" t="s">
        <v>80</v>
      </c>
    </row>
    <row r="82" spans="1:90" x14ac:dyDescent="0.25">
      <c r="A82" t="s">
        <v>228</v>
      </c>
      <c r="B82" t="s">
        <v>229</v>
      </c>
      <c r="C82" t="s">
        <v>72</v>
      </c>
      <c r="E82" t="str">
        <f>"009941363653"</f>
        <v>009941363653</v>
      </c>
      <c r="F82" s="2">
        <v>44348</v>
      </c>
      <c r="G82">
        <v>202112</v>
      </c>
      <c r="H82" t="s">
        <v>193</v>
      </c>
      <c r="I82" t="s">
        <v>194</v>
      </c>
      <c r="J82" t="s">
        <v>246</v>
      </c>
      <c r="K82" t="s">
        <v>75</v>
      </c>
      <c r="L82" t="s">
        <v>99</v>
      </c>
      <c r="M82" t="s">
        <v>100</v>
      </c>
      <c r="N82" t="s">
        <v>234</v>
      </c>
      <c r="O82" t="s">
        <v>78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18.25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99.37</v>
      </c>
      <c r="BM82">
        <v>14.91</v>
      </c>
      <c r="BN82">
        <v>114.28</v>
      </c>
      <c r="BO82">
        <v>114.28</v>
      </c>
      <c r="BS82" s="2">
        <v>44349</v>
      </c>
      <c r="BT82" s="3">
        <v>0.32430555555555557</v>
      </c>
      <c r="BU82" t="s">
        <v>346</v>
      </c>
      <c r="BV82" t="s">
        <v>79</v>
      </c>
      <c r="BY82">
        <v>1200</v>
      </c>
      <c r="BZ82" t="s">
        <v>81</v>
      </c>
      <c r="CC82" t="s">
        <v>100</v>
      </c>
      <c r="CD82">
        <v>2013</v>
      </c>
      <c r="CE82" t="s">
        <v>94</v>
      </c>
      <c r="CF82" s="2">
        <v>44349</v>
      </c>
      <c r="CI82">
        <v>1</v>
      </c>
      <c r="CJ82">
        <v>1</v>
      </c>
      <c r="CK82">
        <v>23</v>
      </c>
      <c r="CL82" t="s">
        <v>80</v>
      </c>
    </row>
    <row r="83" spans="1:90" x14ac:dyDescent="0.25">
      <c r="A83" t="s">
        <v>228</v>
      </c>
      <c r="B83" t="s">
        <v>229</v>
      </c>
      <c r="C83" t="s">
        <v>72</v>
      </c>
      <c r="E83" t="str">
        <f>"009941431548"</f>
        <v>009941431548</v>
      </c>
      <c r="F83" s="2">
        <v>44348</v>
      </c>
      <c r="G83">
        <v>202112</v>
      </c>
      <c r="H83" t="s">
        <v>89</v>
      </c>
      <c r="I83" t="s">
        <v>90</v>
      </c>
      <c r="J83" t="s">
        <v>296</v>
      </c>
      <c r="K83" t="s">
        <v>75</v>
      </c>
      <c r="L83" t="s">
        <v>99</v>
      </c>
      <c r="M83" t="s">
        <v>100</v>
      </c>
      <c r="N83" t="s">
        <v>234</v>
      </c>
      <c r="O83" t="s">
        <v>78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9.42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0.1</v>
      </c>
      <c r="BK83">
        <v>1</v>
      </c>
      <c r="BL83">
        <v>51.29</v>
      </c>
      <c r="BM83">
        <v>7.69</v>
      </c>
      <c r="BN83">
        <v>58.98</v>
      </c>
      <c r="BO83">
        <v>58.98</v>
      </c>
      <c r="BQ83" t="s">
        <v>318</v>
      </c>
      <c r="BR83" t="s">
        <v>314</v>
      </c>
      <c r="BS83" s="2">
        <v>44349</v>
      </c>
      <c r="BT83" s="3">
        <v>0.31944444444444448</v>
      </c>
      <c r="BU83" t="s">
        <v>346</v>
      </c>
      <c r="BV83" t="s">
        <v>79</v>
      </c>
      <c r="BY83">
        <v>600</v>
      </c>
      <c r="BZ83" t="s">
        <v>81</v>
      </c>
      <c r="CC83" t="s">
        <v>100</v>
      </c>
      <c r="CD83">
        <v>2013</v>
      </c>
      <c r="CE83" t="s">
        <v>94</v>
      </c>
      <c r="CF83" s="2">
        <v>44349</v>
      </c>
      <c r="CI83">
        <v>1</v>
      </c>
      <c r="CJ83">
        <v>1</v>
      </c>
      <c r="CK83">
        <v>21</v>
      </c>
      <c r="CL83" t="s">
        <v>80</v>
      </c>
    </row>
    <row r="84" spans="1:90" x14ac:dyDescent="0.25">
      <c r="A84" t="s">
        <v>228</v>
      </c>
      <c r="B84" t="s">
        <v>229</v>
      </c>
      <c r="C84" t="s">
        <v>72</v>
      </c>
      <c r="E84" t="str">
        <f>"009941026539"</f>
        <v>009941026539</v>
      </c>
      <c r="F84" s="2">
        <v>44349</v>
      </c>
      <c r="G84">
        <v>202112</v>
      </c>
      <c r="H84" t="s">
        <v>99</v>
      </c>
      <c r="I84" t="s">
        <v>100</v>
      </c>
      <c r="J84" t="s">
        <v>230</v>
      </c>
      <c r="K84" t="s">
        <v>75</v>
      </c>
      <c r="L84" t="s">
        <v>73</v>
      </c>
      <c r="M84" t="s">
        <v>74</v>
      </c>
      <c r="N84" t="s">
        <v>348</v>
      </c>
      <c r="O84" t="s">
        <v>183</v>
      </c>
      <c r="P84" t="str">
        <f>"..                            "</f>
        <v xml:space="preserve">..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27.08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0.8</v>
      </c>
      <c r="BJ84">
        <v>5.9</v>
      </c>
      <c r="BK84">
        <v>6</v>
      </c>
      <c r="BL84">
        <v>144.84</v>
      </c>
      <c r="BM84">
        <v>21.73</v>
      </c>
      <c r="BN84">
        <v>166.57</v>
      </c>
      <c r="BO84">
        <v>166.57</v>
      </c>
      <c r="BR84" t="s">
        <v>232</v>
      </c>
      <c r="BS84" s="2">
        <v>44350</v>
      </c>
      <c r="BT84" s="3">
        <v>0.49305555555555558</v>
      </c>
      <c r="BU84" t="s">
        <v>349</v>
      </c>
      <c r="BV84" t="s">
        <v>79</v>
      </c>
      <c r="BY84">
        <v>29629.86</v>
      </c>
      <c r="BZ84" t="s">
        <v>202</v>
      </c>
      <c r="CA84" t="s">
        <v>167</v>
      </c>
      <c r="CC84" t="s">
        <v>74</v>
      </c>
      <c r="CD84">
        <v>1</v>
      </c>
      <c r="CE84" t="s">
        <v>94</v>
      </c>
      <c r="CF84" s="2">
        <v>44350</v>
      </c>
      <c r="CI84">
        <v>1</v>
      </c>
      <c r="CJ84">
        <v>1</v>
      </c>
      <c r="CK84">
        <v>31</v>
      </c>
      <c r="CL84" t="s">
        <v>80</v>
      </c>
    </row>
    <row r="85" spans="1:90" x14ac:dyDescent="0.25">
      <c r="A85" t="s">
        <v>228</v>
      </c>
      <c r="B85" t="s">
        <v>229</v>
      </c>
      <c r="C85" t="s">
        <v>72</v>
      </c>
      <c r="E85" t="str">
        <f>"009941026538"</f>
        <v>009941026538</v>
      </c>
      <c r="F85" s="2">
        <v>44348</v>
      </c>
      <c r="G85">
        <v>202112</v>
      </c>
      <c r="H85" t="s">
        <v>99</v>
      </c>
      <c r="I85" t="s">
        <v>100</v>
      </c>
      <c r="J85" t="s">
        <v>230</v>
      </c>
      <c r="K85" t="s">
        <v>75</v>
      </c>
      <c r="L85" t="s">
        <v>83</v>
      </c>
      <c r="M85" t="s">
        <v>84</v>
      </c>
      <c r="N85" t="s">
        <v>350</v>
      </c>
      <c r="O85" t="s">
        <v>183</v>
      </c>
      <c r="P85" t="str">
        <f>"..                            "</f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17.66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2.1</v>
      </c>
      <c r="BK85">
        <v>3</v>
      </c>
      <c r="BL85">
        <v>96.16</v>
      </c>
      <c r="BM85">
        <v>14.42</v>
      </c>
      <c r="BN85">
        <v>110.58</v>
      </c>
      <c r="BO85">
        <v>110.58</v>
      </c>
      <c r="BR85" t="s">
        <v>232</v>
      </c>
      <c r="BS85" s="2">
        <v>44349</v>
      </c>
      <c r="BT85" s="3">
        <v>0.39999999999999997</v>
      </c>
      <c r="BU85" t="s">
        <v>351</v>
      </c>
      <c r="BV85" t="s">
        <v>79</v>
      </c>
      <c r="BY85">
        <v>10651.5</v>
      </c>
      <c r="BZ85" t="s">
        <v>202</v>
      </c>
      <c r="CA85" t="s">
        <v>200</v>
      </c>
      <c r="CC85" t="s">
        <v>84</v>
      </c>
      <c r="CD85">
        <v>3201</v>
      </c>
      <c r="CE85" t="s">
        <v>94</v>
      </c>
      <c r="CF85" s="2">
        <v>44349</v>
      </c>
      <c r="CI85">
        <v>1</v>
      </c>
      <c r="CJ85">
        <v>1</v>
      </c>
      <c r="CK85">
        <v>31</v>
      </c>
      <c r="CL85" t="s">
        <v>80</v>
      </c>
    </row>
    <row r="86" spans="1:90" x14ac:dyDescent="0.25">
      <c r="A86" t="s">
        <v>228</v>
      </c>
      <c r="B86" t="s">
        <v>229</v>
      </c>
      <c r="C86" t="s">
        <v>72</v>
      </c>
      <c r="E86" t="str">
        <f>"009941026541"</f>
        <v>009941026541</v>
      </c>
      <c r="F86" s="2">
        <v>44349</v>
      </c>
      <c r="G86">
        <v>202112</v>
      </c>
      <c r="H86" t="s">
        <v>99</v>
      </c>
      <c r="I86" t="s">
        <v>100</v>
      </c>
      <c r="J86" t="s">
        <v>230</v>
      </c>
      <c r="K86" t="s">
        <v>75</v>
      </c>
      <c r="L86" t="s">
        <v>95</v>
      </c>
      <c r="M86" t="s">
        <v>96</v>
      </c>
      <c r="N86" t="s">
        <v>352</v>
      </c>
      <c r="O86" t="s">
        <v>183</v>
      </c>
      <c r="P86" t="str">
        <f>"..                            "</f>
        <v xml:space="preserve">..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18.059999999999999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</v>
      </c>
      <c r="BK86">
        <v>2</v>
      </c>
      <c r="BL86">
        <v>96.56</v>
      </c>
      <c r="BM86">
        <v>14.48</v>
      </c>
      <c r="BN86">
        <v>111.04</v>
      </c>
      <c r="BO86">
        <v>111.04</v>
      </c>
      <c r="BQ86" t="s">
        <v>352</v>
      </c>
      <c r="BR86" t="s">
        <v>232</v>
      </c>
      <c r="BS86" s="2">
        <v>44350</v>
      </c>
      <c r="BT86" s="3">
        <v>0.36805555555555558</v>
      </c>
      <c r="BU86" t="s">
        <v>353</v>
      </c>
      <c r="BV86" t="s">
        <v>79</v>
      </c>
      <c r="BY86">
        <v>9887.67</v>
      </c>
      <c r="BZ86" t="s">
        <v>202</v>
      </c>
      <c r="CA86" t="s">
        <v>144</v>
      </c>
      <c r="CC86" t="s">
        <v>96</v>
      </c>
      <c r="CD86">
        <v>3600</v>
      </c>
      <c r="CE86" t="s">
        <v>94</v>
      </c>
      <c r="CF86" s="2">
        <v>44350</v>
      </c>
      <c r="CI86">
        <v>1</v>
      </c>
      <c r="CJ86">
        <v>1</v>
      </c>
      <c r="CK86">
        <v>31</v>
      </c>
      <c r="CL86" t="s">
        <v>80</v>
      </c>
    </row>
    <row r="87" spans="1:90" x14ac:dyDescent="0.25">
      <c r="A87" t="s">
        <v>228</v>
      </c>
      <c r="B87" t="s">
        <v>229</v>
      </c>
      <c r="C87" t="s">
        <v>72</v>
      </c>
      <c r="E87" t="str">
        <f>"029908009927"</f>
        <v>029908009927</v>
      </c>
      <c r="F87" s="2">
        <v>44348</v>
      </c>
      <c r="G87">
        <v>202112</v>
      </c>
      <c r="H87" t="s">
        <v>97</v>
      </c>
      <c r="I87" t="s">
        <v>98</v>
      </c>
      <c r="J87" t="s">
        <v>234</v>
      </c>
      <c r="K87" t="s">
        <v>75</v>
      </c>
      <c r="L87" t="s">
        <v>99</v>
      </c>
      <c r="M87" t="s">
        <v>100</v>
      </c>
      <c r="N87" t="s">
        <v>234</v>
      </c>
      <c r="O87" t="s">
        <v>78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9.42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0.5</v>
      </c>
      <c r="BK87">
        <v>1</v>
      </c>
      <c r="BL87">
        <v>51.29</v>
      </c>
      <c r="BM87">
        <v>7.69</v>
      </c>
      <c r="BN87">
        <v>58.98</v>
      </c>
      <c r="BO87">
        <v>58.98</v>
      </c>
      <c r="BQ87" t="s">
        <v>354</v>
      </c>
      <c r="BR87" t="s">
        <v>282</v>
      </c>
      <c r="BS87" s="2">
        <v>44349</v>
      </c>
      <c r="BT87" s="3">
        <v>0.31944444444444448</v>
      </c>
      <c r="BU87" t="s">
        <v>346</v>
      </c>
      <c r="BV87" t="s">
        <v>79</v>
      </c>
      <c r="BY87">
        <v>2400</v>
      </c>
      <c r="BZ87" t="s">
        <v>81</v>
      </c>
      <c r="CC87" t="s">
        <v>100</v>
      </c>
      <c r="CD87">
        <v>2013</v>
      </c>
      <c r="CE87" t="s">
        <v>94</v>
      </c>
      <c r="CF87" s="2">
        <v>44349</v>
      </c>
      <c r="CI87">
        <v>1</v>
      </c>
      <c r="CJ87">
        <v>1</v>
      </c>
      <c r="CK87">
        <v>21</v>
      </c>
      <c r="CL87" t="s">
        <v>80</v>
      </c>
    </row>
    <row r="88" spans="1:90" x14ac:dyDescent="0.25">
      <c r="A88" t="s">
        <v>228</v>
      </c>
      <c r="B88" t="s">
        <v>229</v>
      </c>
      <c r="C88" t="s">
        <v>72</v>
      </c>
      <c r="E88" t="str">
        <f>"009941548394"</f>
        <v>009941548394</v>
      </c>
      <c r="F88" s="2">
        <v>44348</v>
      </c>
      <c r="G88">
        <v>202112</v>
      </c>
      <c r="H88" t="s">
        <v>99</v>
      </c>
      <c r="I88" t="s">
        <v>100</v>
      </c>
      <c r="J88" t="s">
        <v>234</v>
      </c>
      <c r="K88" t="s">
        <v>75</v>
      </c>
      <c r="L88" t="s">
        <v>97</v>
      </c>
      <c r="M88" t="s">
        <v>98</v>
      </c>
      <c r="N88" t="s">
        <v>234</v>
      </c>
      <c r="O88" t="s">
        <v>78</v>
      </c>
      <c r="P88" t="str">
        <f>"..                            "</f>
        <v xml:space="preserve">..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44.72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6.9</v>
      </c>
      <c r="BJ88">
        <v>9.4</v>
      </c>
      <c r="BK88">
        <v>9.5</v>
      </c>
      <c r="BL88">
        <v>243.49</v>
      </c>
      <c r="BM88">
        <v>36.520000000000003</v>
      </c>
      <c r="BN88">
        <v>280.01</v>
      </c>
      <c r="BO88">
        <v>280.01</v>
      </c>
      <c r="BQ88" t="s">
        <v>278</v>
      </c>
      <c r="BR88" t="s">
        <v>355</v>
      </c>
      <c r="BS88" s="2">
        <v>44349</v>
      </c>
      <c r="BT88" s="3">
        <v>0.38819444444444445</v>
      </c>
      <c r="BU88" t="s">
        <v>356</v>
      </c>
      <c r="BV88" t="s">
        <v>79</v>
      </c>
      <c r="BY88">
        <v>46789.38</v>
      </c>
      <c r="BZ88" t="s">
        <v>81</v>
      </c>
      <c r="CA88" t="s">
        <v>211</v>
      </c>
      <c r="CC88" t="s">
        <v>98</v>
      </c>
      <c r="CD88">
        <v>3629</v>
      </c>
      <c r="CE88" t="s">
        <v>94</v>
      </c>
      <c r="CF88" s="2">
        <v>44349</v>
      </c>
      <c r="CI88">
        <v>1</v>
      </c>
      <c r="CJ88">
        <v>1</v>
      </c>
      <c r="CK88">
        <v>21</v>
      </c>
      <c r="CL88" t="s">
        <v>80</v>
      </c>
    </row>
    <row r="89" spans="1:90" x14ac:dyDescent="0.25">
      <c r="A89" t="s">
        <v>228</v>
      </c>
      <c r="B89" t="s">
        <v>229</v>
      </c>
      <c r="C89" t="s">
        <v>72</v>
      </c>
      <c r="E89" t="str">
        <f>"009937273156"</f>
        <v>009937273156</v>
      </c>
      <c r="F89" s="2">
        <v>44348</v>
      </c>
      <c r="G89">
        <v>202112</v>
      </c>
      <c r="H89" t="s">
        <v>99</v>
      </c>
      <c r="I89" t="s">
        <v>100</v>
      </c>
      <c r="J89" t="s">
        <v>234</v>
      </c>
      <c r="K89" t="s">
        <v>75</v>
      </c>
      <c r="L89" t="s">
        <v>95</v>
      </c>
      <c r="M89" t="s">
        <v>96</v>
      </c>
      <c r="N89" t="s">
        <v>357</v>
      </c>
      <c r="O89" t="s">
        <v>183</v>
      </c>
      <c r="P89" t="str">
        <f>"..                            "</f>
        <v xml:space="preserve">..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181.08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3</v>
      </c>
      <c r="BI89">
        <v>19.7</v>
      </c>
      <c r="BJ89">
        <v>40.200000000000003</v>
      </c>
      <c r="BK89">
        <v>41</v>
      </c>
      <c r="BL89">
        <v>985.89</v>
      </c>
      <c r="BM89">
        <v>147.88</v>
      </c>
      <c r="BN89">
        <v>1133.77</v>
      </c>
      <c r="BO89">
        <v>1133.77</v>
      </c>
      <c r="BR89" t="s">
        <v>331</v>
      </c>
      <c r="BS89" s="2">
        <v>44349</v>
      </c>
      <c r="BT89" s="3">
        <v>0.69166666666666676</v>
      </c>
      <c r="BU89" t="s">
        <v>358</v>
      </c>
      <c r="BV89" t="s">
        <v>80</v>
      </c>
      <c r="BW89" t="s">
        <v>85</v>
      </c>
      <c r="BX89" t="s">
        <v>158</v>
      </c>
      <c r="BY89">
        <v>200985.24</v>
      </c>
      <c r="BZ89" t="s">
        <v>202</v>
      </c>
      <c r="CA89" t="s">
        <v>359</v>
      </c>
      <c r="CC89" t="s">
        <v>96</v>
      </c>
      <c r="CD89">
        <v>3610</v>
      </c>
      <c r="CE89" t="s">
        <v>94</v>
      </c>
      <c r="CF89" s="2">
        <v>44349</v>
      </c>
      <c r="CI89">
        <v>1</v>
      </c>
      <c r="CJ89">
        <v>1</v>
      </c>
      <c r="CK89">
        <v>31</v>
      </c>
      <c r="CL89" t="s">
        <v>80</v>
      </c>
    </row>
    <row r="90" spans="1:90" x14ac:dyDescent="0.25">
      <c r="A90" t="s">
        <v>228</v>
      </c>
      <c r="B90" t="s">
        <v>229</v>
      </c>
      <c r="C90" t="s">
        <v>72</v>
      </c>
      <c r="E90" t="str">
        <f>"029908009926"</f>
        <v>029908009926</v>
      </c>
      <c r="F90" s="2">
        <v>44350</v>
      </c>
      <c r="G90">
        <v>202112</v>
      </c>
      <c r="H90" t="s">
        <v>97</v>
      </c>
      <c r="I90" t="s">
        <v>98</v>
      </c>
      <c r="J90" t="s">
        <v>234</v>
      </c>
      <c r="K90" t="s">
        <v>75</v>
      </c>
      <c r="L90" t="s">
        <v>99</v>
      </c>
      <c r="M90" t="s">
        <v>100</v>
      </c>
      <c r="N90" t="s">
        <v>234</v>
      </c>
      <c r="O90" t="s">
        <v>78</v>
      </c>
      <c r="P90" t="str">
        <f>"PATIENCE KORRY                "</f>
        <v xml:space="preserve">PATIENCE KORRY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50.53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3</v>
      </c>
      <c r="BI90">
        <v>7</v>
      </c>
      <c r="BJ90">
        <v>10.3</v>
      </c>
      <c r="BK90">
        <v>10.5</v>
      </c>
      <c r="BL90">
        <v>270.22000000000003</v>
      </c>
      <c r="BM90">
        <v>40.53</v>
      </c>
      <c r="BN90">
        <v>310.75</v>
      </c>
      <c r="BO90">
        <v>310.75</v>
      </c>
      <c r="BQ90" t="s">
        <v>360</v>
      </c>
      <c r="BR90" t="s">
        <v>282</v>
      </c>
      <c r="BS90" s="2">
        <v>44351</v>
      </c>
      <c r="BT90" s="3">
        <v>0.3527777777777778</v>
      </c>
      <c r="BU90" t="s">
        <v>134</v>
      </c>
      <c r="BV90" t="s">
        <v>79</v>
      </c>
      <c r="BY90">
        <v>32658</v>
      </c>
      <c r="BZ90" t="s">
        <v>81</v>
      </c>
      <c r="CA90" t="s">
        <v>204</v>
      </c>
      <c r="CC90" t="s">
        <v>100</v>
      </c>
      <c r="CD90">
        <v>2013</v>
      </c>
      <c r="CE90" t="s">
        <v>94</v>
      </c>
      <c r="CF90" s="2">
        <v>44352</v>
      </c>
      <c r="CI90">
        <v>1</v>
      </c>
      <c r="CJ90">
        <v>1</v>
      </c>
      <c r="CK90">
        <v>21</v>
      </c>
      <c r="CL90" t="s">
        <v>80</v>
      </c>
    </row>
    <row r="91" spans="1:90" x14ac:dyDescent="0.25">
      <c r="A91" t="s">
        <v>228</v>
      </c>
      <c r="B91" t="s">
        <v>229</v>
      </c>
      <c r="C91" t="s">
        <v>72</v>
      </c>
      <c r="E91" t="str">
        <f>"009941434454"</f>
        <v>009941434454</v>
      </c>
      <c r="F91" s="2">
        <v>44348</v>
      </c>
      <c r="G91">
        <v>202112</v>
      </c>
      <c r="H91" t="s">
        <v>99</v>
      </c>
      <c r="I91" t="s">
        <v>100</v>
      </c>
      <c r="J91" t="s">
        <v>584</v>
      </c>
      <c r="K91" t="s">
        <v>75</v>
      </c>
      <c r="L91" t="s">
        <v>99</v>
      </c>
      <c r="M91" t="s">
        <v>100</v>
      </c>
      <c r="N91" t="s">
        <v>234</v>
      </c>
      <c r="O91" t="s">
        <v>78</v>
      </c>
      <c r="P91" t="str">
        <f>"..                            "</f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7.36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40.07</v>
      </c>
      <c r="BM91">
        <v>6.01</v>
      </c>
      <c r="BN91">
        <v>46.08</v>
      </c>
      <c r="BO91">
        <v>46.08</v>
      </c>
      <c r="BR91" t="s">
        <v>267</v>
      </c>
      <c r="BS91" s="2">
        <v>44349</v>
      </c>
      <c r="BT91" s="3">
        <v>0.31944444444444448</v>
      </c>
      <c r="BU91" t="s">
        <v>346</v>
      </c>
      <c r="BV91" t="s">
        <v>79</v>
      </c>
      <c r="BY91">
        <v>1200</v>
      </c>
      <c r="BZ91" t="s">
        <v>81</v>
      </c>
      <c r="CC91" t="s">
        <v>100</v>
      </c>
      <c r="CD91">
        <v>2013</v>
      </c>
      <c r="CE91" t="s">
        <v>94</v>
      </c>
      <c r="CF91" s="2">
        <v>44349</v>
      </c>
      <c r="CI91">
        <v>1</v>
      </c>
      <c r="CJ91">
        <v>1</v>
      </c>
      <c r="CK91">
        <v>22</v>
      </c>
      <c r="CL91" t="s">
        <v>80</v>
      </c>
    </row>
    <row r="92" spans="1:90" x14ac:dyDescent="0.25">
      <c r="A92" t="s">
        <v>228</v>
      </c>
      <c r="B92" t="s">
        <v>229</v>
      </c>
      <c r="C92" t="s">
        <v>72</v>
      </c>
      <c r="E92" t="str">
        <f>"009941855309"</f>
        <v>009941855309</v>
      </c>
      <c r="F92" s="2">
        <v>44350</v>
      </c>
      <c r="G92">
        <v>202112</v>
      </c>
      <c r="H92" t="s">
        <v>91</v>
      </c>
      <c r="I92" t="s">
        <v>92</v>
      </c>
      <c r="J92" t="s">
        <v>246</v>
      </c>
      <c r="K92" t="s">
        <v>75</v>
      </c>
      <c r="L92" t="s">
        <v>99</v>
      </c>
      <c r="M92" t="s">
        <v>100</v>
      </c>
      <c r="N92" t="s">
        <v>234</v>
      </c>
      <c r="O92" t="s">
        <v>78</v>
      </c>
      <c r="P92" t="str">
        <f>"..                            "</f>
        <v xml:space="preserve">..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7.52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40.229999999999997</v>
      </c>
      <c r="BM92">
        <v>6.03</v>
      </c>
      <c r="BN92">
        <v>46.26</v>
      </c>
      <c r="BO92">
        <v>46.26</v>
      </c>
      <c r="BQ92" t="s">
        <v>226</v>
      </c>
      <c r="BR92" t="s">
        <v>209</v>
      </c>
      <c r="BS92" s="2">
        <v>44351</v>
      </c>
      <c r="BT92" s="3">
        <v>0.34930555555555554</v>
      </c>
      <c r="BU92" t="s">
        <v>134</v>
      </c>
      <c r="BV92" t="s">
        <v>79</v>
      </c>
      <c r="BY92">
        <v>1200</v>
      </c>
      <c r="BZ92" t="s">
        <v>81</v>
      </c>
      <c r="CA92" t="s">
        <v>204</v>
      </c>
      <c r="CC92" t="s">
        <v>100</v>
      </c>
      <c r="CD92">
        <v>2013</v>
      </c>
      <c r="CE92" t="s">
        <v>94</v>
      </c>
      <c r="CF92" s="2">
        <v>44352</v>
      </c>
      <c r="CI92">
        <v>1</v>
      </c>
      <c r="CJ92">
        <v>1</v>
      </c>
      <c r="CK92">
        <v>22</v>
      </c>
      <c r="CL92" t="s">
        <v>80</v>
      </c>
    </row>
    <row r="93" spans="1:90" x14ac:dyDescent="0.25">
      <c r="A93" t="s">
        <v>228</v>
      </c>
      <c r="B93" t="s">
        <v>229</v>
      </c>
      <c r="C93" t="s">
        <v>72</v>
      </c>
      <c r="E93" t="str">
        <f>"009941026540"</f>
        <v>009941026540</v>
      </c>
      <c r="F93" s="2">
        <v>44349</v>
      </c>
      <c r="G93">
        <v>202112</v>
      </c>
      <c r="H93" t="s">
        <v>99</v>
      </c>
      <c r="I93" t="s">
        <v>100</v>
      </c>
      <c r="J93" t="s">
        <v>230</v>
      </c>
      <c r="K93" t="s">
        <v>75</v>
      </c>
      <c r="L93" t="s">
        <v>361</v>
      </c>
      <c r="M93" t="s">
        <v>362</v>
      </c>
      <c r="N93" t="s">
        <v>363</v>
      </c>
      <c r="O93" t="s">
        <v>183</v>
      </c>
      <c r="P93" t="str">
        <f>"..                            "</f>
        <v xml:space="preserve">..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18.66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1.3</v>
      </c>
      <c r="BJ93">
        <v>2.9</v>
      </c>
      <c r="BK93">
        <v>3</v>
      </c>
      <c r="BL93">
        <v>99.78</v>
      </c>
      <c r="BM93">
        <v>14.97</v>
      </c>
      <c r="BN93">
        <v>114.75</v>
      </c>
      <c r="BO93">
        <v>114.75</v>
      </c>
      <c r="BR93" t="s">
        <v>232</v>
      </c>
      <c r="BS93" s="2">
        <v>44350</v>
      </c>
      <c r="BT93" s="3">
        <v>0.48819444444444443</v>
      </c>
      <c r="BU93" t="s">
        <v>364</v>
      </c>
      <c r="BV93" t="s">
        <v>79</v>
      </c>
      <c r="BY93">
        <v>14740.28</v>
      </c>
      <c r="BZ93" t="s">
        <v>202</v>
      </c>
      <c r="CA93" t="s">
        <v>365</v>
      </c>
      <c r="CC93" t="s">
        <v>362</v>
      </c>
      <c r="CD93">
        <v>2650</v>
      </c>
      <c r="CE93" t="s">
        <v>94</v>
      </c>
      <c r="CF93" s="2">
        <v>44351</v>
      </c>
      <c r="CI93">
        <v>4</v>
      </c>
      <c r="CJ93">
        <v>1</v>
      </c>
      <c r="CK93">
        <v>33</v>
      </c>
      <c r="CL93" t="s">
        <v>80</v>
      </c>
    </row>
    <row r="94" spans="1:90" x14ac:dyDescent="0.25">
      <c r="A94" t="s">
        <v>228</v>
      </c>
      <c r="B94" t="s">
        <v>229</v>
      </c>
      <c r="C94" t="s">
        <v>72</v>
      </c>
      <c r="E94" t="str">
        <f>"029908009925"</f>
        <v>029908009925</v>
      </c>
      <c r="F94" s="2">
        <v>44348</v>
      </c>
      <c r="G94">
        <v>202112</v>
      </c>
      <c r="H94" t="s">
        <v>97</v>
      </c>
      <c r="I94" t="s">
        <v>98</v>
      </c>
      <c r="J94" t="s">
        <v>234</v>
      </c>
      <c r="K94" t="s">
        <v>75</v>
      </c>
      <c r="L94" t="s">
        <v>99</v>
      </c>
      <c r="M94" t="s">
        <v>100</v>
      </c>
      <c r="N94" t="s">
        <v>234</v>
      </c>
      <c r="O94" t="s">
        <v>78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23.54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5</v>
      </c>
      <c r="BJ94">
        <v>1.8</v>
      </c>
      <c r="BK94">
        <v>5</v>
      </c>
      <c r="BL94">
        <v>128.16999999999999</v>
      </c>
      <c r="BM94">
        <v>19.23</v>
      </c>
      <c r="BN94">
        <v>147.4</v>
      </c>
      <c r="BO94">
        <v>147.4</v>
      </c>
      <c r="BQ94" t="s">
        <v>366</v>
      </c>
      <c r="BR94" t="s">
        <v>367</v>
      </c>
      <c r="BS94" s="2">
        <v>44349</v>
      </c>
      <c r="BT94" s="3">
        <v>0.31944444444444448</v>
      </c>
      <c r="BU94" t="s">
        <v>346</v>
      </c>
      <c r="BV94" t="s">
        <v>79</v>
      </c>
      <c r="BY94">
        <v>9000</v>
      </c>
      <c r="BZ94" t="s">
        <v>81</v>
      </c>
      <c r="CC94" t="s">
        <v>100</v>
      </c>
      <c r="CD94">
        <v>2013</v>
      </c>
      <c r="CE94" t="s">
        <v>94</v>
      </c>
      <c r="CF94" s="2">
        <v>44349</v>
      </c>
      <c r="CI94">
        <v>1</v>
      </c>
      <c r="CJ94">
        <v>1</v>
      </c>
      <c r="CK94">
        <v>21</v>
      </c>
      <c r="CL94" t="s">
        <v>80</v>
      </c>
    </row>
    <row r="95" spans="1:90" x14ac:dyDescent="0.25">
      <c r="A95" t="s">
        <v>228</v>
      </c>
      <c r="B95" t="s">
        <v>229</v>
      </c>
      <c r="C95" t="s">
        <v>72</v>
      </c>
      <c r="E95" t="str">
        <f>"009941477089"</f>
        <v>009941477089</v>
      </c>
      <c r="F95" s="2">
        <v>44348</v>
      </c>
      <c r="G95">
        <v>202112</v>
      </c>
      <c r="H95" t="s">
        <v>104</v>
      </c>
      <c r="I95" t="s">
        <v>105</v>
      </c>
      <c r="J95" t="s">
        <v>230</v>
      </c>
      <c r="K95" t="s">
        <v>75</v>
      </c>
      <c r="L95" t="s">
        <v>99</v>
      </c>
      <c r="M95" t="s">
        <v>100</v>
      </c>
      <c r="N95" t="s">
        <v>234</v>
      </c>
      <c r="O95" t="s">
        <v>78</v>
      </c>
      <c r="P95" t="str">
        <f>"..                            "</f>
        <v xml:space="preserve">..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7.36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40.07</v>
      </c>
      <c r="BM95">
        <v>6.01</v>
      </c>
      <c r="BN95">
        <v>46.08</v>
      </c>
      <c r="BO95">
        <v>46.08</v>
      </c>
      <c r="BQ95" t="s">
        <v>226</v>
      </c>
      <c r="BR95" t="s">
        <v>226</v>
      </c>
      <c r="BS95" s="2">
        <v>44349</v>
      </c>
      <c r="BT95" s="3">
        <v>0.31944444444444448</v>
      </c>
      <c r="BU95" t="s">
        <v>346</v>
      </c>
      <c r="BV95" t="s">
        <v>79</v>
      </c>
      <c r="BY95">
        <v>1200</v>
      </c>
      <c r="BZ95" t="s">
        <v>81</v>
      </c>
      <c r="CC95" t="s">
        <v>100</v>
      </c>
      <c r="CD95">
        <v>2013</v>
      </c>
      <c r="CE95" t="s">
        <v>94</v>
      </c>
      <c r="CF95" s="2">
        <v>44349</v>
      </c>
      <c r="CI95">
        <v>1</v>
      </c>
      <c r="CJ95">
        <v>1</v>
      </c>
      <c r="CK95">
        <v>22</v>
      </c>
      <c r="CL95" t="s">
        <v>80</v>
      </c>
    </row>
    <row r="96" spans="1:90" x14ac:dyDescent="0.25">
      <c r="A96" t="s">
        <v>228</v>
      </c>
      <c r="B96" t="s">
        <v>229</v>
      </c>
      <c r="C96" t="s">
        <v>72</v>
      </c>
      <c r="E96" t="str">
        <f>"009941170868"</f>
        <v>009941170868</v>
      </c>
      <c r="F96" s="2">
        <v>44349</v>
      </c>
      <c r="G96">
        <v>202112</v>
      </c>
      <c r="H96" t="s">
        <v>73</v>
      </c>
      <c r="I96" t="s">
        <v>74</v>
      </c>
      <c r="J96" t="s">
        <v>585</v>
      </c>
      <c r="K96" t="s">
        <v>75</v>
      </c>
      <c r="L96" t="s">
        <v>99</v>
      </c>
      <c r="M96" t="s">
        <v>100</v>
      </c>
      <c r="N96" t="s">
        <v>234</v>
      </c>
      <c r="O96" t="s">
        <v>78</v>
      </c>
      <c r="P96" t="str">
        <f>"NOREF                         "</f>
        <v xml:space="preserve">NOREF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9.6300000000000008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51.5</v>
      </c>
      <c r="BM96">
        <v>7.73</v>
      </c>
      <c r="BN96">
        <v>59.23</v>
      </c>
      <c r="BO96">
        <v>59.23</v>
      </c>
      <c r="BS96" s="2">
        <v>44350</v>
      </c>
      <c r="BT96" s="3">
        <v>0.30902777777777779</v>
      </c>
      <c r="BU96" t="s">
        <v>180</v>
      </c>
      <c r="BV96" t="s">
        <v>79</v>
      </c>
      <c r="BY96">
        <v>1200</v>
      </c>
      <c r="BZ96" t="s">
        <v>81</v>
      </c>
      <c r="CA96" t="s">
        <v>150</v>
      </c>
      <c r="CC96" t="s">
        <v>100</v>
      </c>
      <c r="CD96">
        <v>2000</v>
      </c>
      <c r="CE96" t="s">
        <v>94</v>
      </c>
      <c r="CF96" s="2">
        <v>44350</v>
      </c>
      <c r="CI96">
        <v>1</v>
      </c>
      <c r="CJ96">
        <v>1</v>
      </c>
      <c r="CK96">
        <v>21</v>
      </c>
      <c r="CL96" t="s">
        <v>80</v>
      </c>
    </row>
    <row r="97" spans="1:90" x14ac:dyDescent="0.25">
      <c r="A97" t="s">
        <v>228</v>
      </c>
      <c r="B97" t="s">
        <v>229</v>
      </c>
      <c r="C97" t="s">
        <v>72</v>
      </c>
      <c r="E97" t="str">
        <f>"009940687758"</f>
        <v>009940687758</v>
      </c>
      <c r="F97" s="2">
        <v>44350</v>
      </c>
      <c r="G97">
        <v>202112</v>
      </c>
      <c r="H97" t="s">
        <v>145</v>
      </c>
      <c r="I97" t="s">
        <v>146</v>
      </c>
      <c r="J97" t="s">
        <v>263</v>
      </c>
      <c r="K97" t="s">
        <v>75</v>
      </c>
      <c r="L97" t="s">
        <v>99</v>
      </c>
      <c r="M97" t="s">
        <v>100</v>
      </c>
      <c r="N97" t="s">
        <v>234</v>
      </c>
      <c r="O97" t="s">
        <v>78</v>
      </c>
      <c r="P97" t="str">
        <f>"..                            "</f>
        <v xml:space="preserve">..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7.52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0.5</v>
      </c>
      <c r="BJ97">
        <v>1.4</v>
      </c>
      <c r="BK97">
        <v>2</v>
      </c>
      <c r="BL97">
        <v>40.229999999999997</v>
      </c>
      <c r="BM97">
        <v>6.03</v>
      </c>
      <c r="BN97">
        <v>46.26</v>
      </c>
      <c r="BO97">
        <v>46.26</v>
      </c>
      <c r="BQ97" t="s">
        <v>264</v>
      </c>
      <c r="BR97" t="s">
        <v>368</v>
      </c>
      <c r="BS97" s="2">
        <v>44351</v>
      </c>
      <c r="BT97" s="3">
        <v>0.35000000000000003</v>
      </c>
      <c r="BU97" t="s">
        <v>134</v>
      </c>
      <c r="BV97" t="s">
        <v>79</v>
      </c>
      <c r="BY97">
        <v>6894.72</v>
      </c>
      <c r="BZ97" t="s">
        <v>81</v>
      </c>
      <c r="CA97" t="s">
        <v>204</v>
      </c>
      <c r="CC97" t="s">
        <v>100</v>
      </c>
      <c r="CD97">
        <v>2013</v>
      </c>
      <c r="CE97" t="s">
        <v>94</v>
      </c>
      <c r="CF97" s="2">
        <v>44352</v>
      </c>
      <c r="CI97">
        <v>1</v>
      </c>
      <c r="CJ97">
        <v>1</v>
      </c>
      <c r="CK97">
        <v>22</v>
      </c>
      <c r="CL97" t="s">
        <v>80</v>
      </c>
    </row>
    <row r="98" spans="1:90" x14ac:dyDescent="0.25">
      <c r="A98" t="s">
        <v>228</v>
      </c>
      <c r="B98" t="s">
        <v>229</v>
      </c>
      <c r="C98" t="s">
        <v>72</v>
      </c>
      <c r="E98" t="str">
        <f>"009941472063"</f>
        <v>009941472063</v>
      </c>
      <c r="F98" s="2">
        <v>44349</v>
      </c>
      <c r="G98">
        <v>202112</v>
      </c>
      <c r="H98" t="s">
        <v>99</v>
      </c>
      <c r="I98" t="s">
        <v>100</v>
      </c>
      <c r="J98" t="s">
        <v>266</v>
      </c>
      <c r="K98" t="s">
        <v>75</v>
      </c>
      <c r="L98" t="s">
        <v>99</v>
      </c>
      <c r="M98" t="s">
        <v>100</v>
      </c>
      <c r="N98" t="s">
        <v>234</v>
      </c>
      <c r="O98" t="s">
        <v>78</v>
      </c>
      <c r="P98" t="str">
        <f>"..                            "</f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7.52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40.229999999999997</v>
      </c>
      <c r="BM98">
        <v>6.03</v>
      </c>
      <c r="BN98">
        <v>46.26</v>
      </c>
      <c r="BO98">
        <v>46.26</v>
      </c>
      <c r="BQ98" t="s">
        <v>267</v>
      </c>
      <c r="BR98" t="s">
        <v>209</v>
      </c>
      <c r="BS98" s="2">
        <v>44350</v>
      </c>
      <c r="BT98" s="3">
        <v>0.30902777777777779</v>
      </c>
      <c r="BU98" t="s">
        <v>180</v>
      </c>
      <c r="BV98" t="s">
        <v>79</v>
      </c>
      <c r="BY98">
        <v>1200</v>
      </c>
      <c r="BZ98" t="s">
        <v>81</v>
      </c>
      <c r="CA98" t="s">
        <v>150</v>
      </c>
      <c r="CC98" t="s">
        <v>100</v>
      </c>
      <c r="CD98">
        <v>2013</v>
      </c>
      <c r="CE98" t="s">
        <v>94</v>
      </c>
      <c r="CF98" s="2">
        <v>44350</v>
      </c>
      <c r="CI98">
        <v>1</v>
      </c>
      <c r="CJ98">
        <v>1</v>
      </c>
      <c r="CK98">
        <v>22</v>
      </c>
      <c r="CL98" t="s">
        <v>80</v>
      </c>
    </row>
    <row r="99" spans="1:90" x14ac:dyDescent="0.25">
      <c r="A99" t="s">
        <v>228</v>
      </c>
      <c r="B99" t="s">
        <v>229</v>
      </c>
      <c r="C99" t="s">
        <v>72</v>
      </c>
      <c r="E99" t="str">
        <f>"009940432659"</f>
        <v>009940432659</v>
      </c>
      <c r="F99" s="2">
        <v>44348</v>
      </c>
      <c r="G99">
        <v>202112</v>
      </c>
      <c r="H99" t="s">
        <v>109</v>
      </c>
      <c r="I99" t="s">
        <v>110</v>
      </c>
      <c r="J99" t="s">
        <v>586</v>
      </c>
      <c r="K99" t="s">
        <v>75</v>
      </c>
      <c r="L99" t="s">
        <v>99</v>
      </c>
      <c r="M99" t="s">
        <v>100</v>
      </c>
      <c r="N99" t="s">
        <v>234</v>
      </c>
      <c r="O99" t="s">
        <v>78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9.42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1.4</v>
      </c>
      <c r="BK99">
        <v>1.5</v>
      </c>
      <c r="BL99">
        <v>51.29</v>
      </c>
      <c r="BM99">
        <v>7.69</v>
      </c>
      <c r="BN99">
        <v>58.98</v>
      </c>
      <c r="BO99">
        <v>58.98</v>
      </c>
      <c r="BR99" t="s">
        <v>209</v>
      </c>
      <c r="BS99" s="2">
        <v>44350</v>
      </c>
      <c r="BT99" s="3">
        <v>0.30902777777777779</v>
      </c>
      <c r="BU99" t="s">
        <v>180</v>
      </c>
      <c r="BV99" t="s">
        <v>80</v>
      </c>
      <c r="BW99" t="s">
        <v>131</v>
      </c>
      <c r="BX99" t="s">
        <v>107</v>
      </c>
      <c r="BY99">
        <v>7165.62</v>
      </c>
      <c r="BZ99" t="s">
        <v>81</v>
      </c>
      <c r="CA99" t="s">
        <v>150</v>
      </c>
      <c r="CC99" t="s">
        <v>100</v>
      </c>
      <c r="CD99">
        <v>2013</v>
      </c>
      <c r="CE99" t="s">
        <v>94</v>
      </c>
      <c r="CF99" s="2">
        <v>44350</v>
      </c>
      <c r="CI99">
        <v>1</v>
      </c>
      <c r="CJ99">
        <v>2</v>
      </c>
      <c r="CK99">
        <v>21</v>
      </c>
      <c r="CL99" t="s">
        <v>80</v>
      </c>
    </row>
    <row r="100" spans="1:90" x14ac:dyDescent="0.25">
      <c r="A100" t="s">
        <v>228</v>
      </c>
      <c r="B100" t="s">
        <v>229</v>
      </c>
      <c r="C100" t="s">
        <v>72</v>
      </c>
      <c r="E100" t="str">
        <f>"009941026542"</f>
        <v>009941026542</v>
      </c>
      <c r="F100" s="2">
        <v>44350</v>
      </c>
      <c r="G100">
        <v>202112</v>
      </c>
      <c r="H100" t="s">
        <v>99</v>
      </c>
      <c r="I100" t="s">
        <v>100</v>
      </c>
      <c r="J100" t="s">
        <v>230</v>
      </c>
      <c r="K100" t="s">
        <v>75</v>
      </c>
      <c r="L100" t="s">
        <v>89</v>
      </c>
      <c r="M100" t="s">
        <v>90</v>
      </c>
      <c r="N100" t="s">
        <v>369</v>
      </c>
      <c r="O100" t="s">
        <v>183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18.059999999999999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2.2000000000000002</v>
      </c>
      <c r="BK100">
        <v>3</v>
      </c>
      <c r="BL100">
        <v>96.56</v>
      </c>
      <c r="BM100">
        <v>14.48</v>
      </c>
      <c r="BN100">
        <v>111.04</v>
      </c>
      <c r="BO100">
        <v>111.04</v>
      </c>
      <c r="BQ100" t="s">
        <v>369</v>
      </c>
      <c r="BR100" t="s">
        <v>232</v>
      </c>
      <c r="BS100" s="2">
        <v>44351</v>
      </c>
      <c r="BT100" s="3">
        <v>0.3611111111111111</v>
      </c>
      <c r="BU100" t="s">
        <v>370</v>
      </c>
      <c r="BV100" t="s">
        <v>79</v>
      </c>
      <c r="BY100">
        <v>10755.72</v>
      </c>
      <c r="BZ100" t="s">
        <v>202</v>
      </c>
      <c r="CA100" t="s">
        <v>371</v>
      </c>
      <c r="CC100" t="s">
        <v>90</v>
      </c>
      <c r="CD100">
        <v>6000</v>
      </c>
      <c r="CE100" t="s">
        <v>94</v>
      </c>
      <c r="CF100" s="2">
        <v>44351</v>
      </c>
      <c r="CI100">
        <v>1</v>
      </c>
      <c r="CJ100">
        <v>1</v>
      </c>
      <c r="CK100">
        <v>31</v>
      </c>
      <c r="CL100" t="s">
        <v>80</v>
      </c>
    </row>
    <row r="101" spans="1:90" x14ac:dyDescent="0.25">
      <c r="A101" t="s">
        <v>228</v>
      </c>
      <c r="B101" t="s">
        <v>229</v>
      </c>
      <c r="C101" t="s">
        <v>72</v>
      </c>
      <c r="E101" t="str">
        <f>"009941364501"</f>
        <v>009941364501</v>
      </c>
      <c r="F101" s="2">
        <v>44350</v>
      </c>
      <c r="G101">
        <v>202112</v>
      </c>
      <c r="H101" t="s">
        <v>97</v>
      </c>
      <c r="I101" t="s">
        <v>98</v>
      </c>
      <c r="J101" t="s">
        <v>246</v>
      </c>
      <c r="K101" t="s">
        <v>75</v>
      </c>
      <c r="L101" t="s">
        <v>99</v>
      </c>
      <c r="M101" t="s">
        <v>100</v>
      </c>
      <c r="N101" t="s">
        <v>234</v>
      </c>
      <c r="O101" t="s">
        <v>78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9.6300000000000008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0.3</v>
      </c>
      <c r="BK101">
        <v>1</v>
      </c>
      <c r="BL101">
        <v>51.5</v>
      </c>
      <c r="BM101">
        <v>7.73</v>
      </c>
      <c r="BN101">
        <v>59.23</v>
      </c>
      <c r="BO101">
        <v>59.23</v>
      </c>
      <c r="BR101" t="s">
        <v>222</v>
      </c>
      <c r="BS101" s="2">
        <v>44351</v>
      </c>
      <c r="BT101" s="3">
        <v>0.35138888888888892</v>
      </c>
      <c r="BU101" t="s">
        <v>134</v>
      </c>
      <c r="BV101" t="s">
        <v>79</v>
      </c>
      <c r="BY101">
        <v>1560</v>
      </c>
      <c r="BZ101" t="s">
        <v>81</v>
      </c>
      <c r="CA101" t="s">
        <v>204</v>
      </c>
      <c r="CC101" t="s">
        <v>100</v>
      </c>
      <c r="CD101">
        <v>2013</v>
      </c>
      <c r="CE101" t="s">
        <v>94</v>
      </c>
      <c r="CF101" s="2">
        <v>44352</v>
      </c>
      <c r="CI101">
        <v>1</v>
      </c>
      <c r="CJ101">
        <v>1</v>
      </c>
      <c r="CK101">
        <v>21</v>
      </c>
      <c r="CL101" t="s">
        <v>80</v>
      </c>
    </row>
    <row r="102" spans="1:90" x14ac:dyDescent="0.25">
      <c r="A102" t="s">
        <v>228</v>
      </c>
      <c r="B102" t="s">
        <v>229</v>
      </c>
      <c r="C102" t="s">
        <v>72</v>
      </c>
      <c r="E102" t="str">
        <f>"009940746800"</f>
        <v>009940746800</v>
      </c>
      <c r="F102" s="2">
        <v>44350</v>
      </c>
      <c r="G102">
        <v>202112</v>
      </c>
      <c r="H102" t="s">
        <v>109</v>
      </c>
      <c r="I102" t="s">
        <v>110</v>
      </c>
      <c r="J102" t="s">
        <v>587</v>
      </c>
      <c r="K102" t="s">
        <v>75</v>
      </c>
      <c r="L102" t="s">
        <v>99</v>
      </c>
      <c r="M102" t="s">
        <v>100</v>
      </c>
      <c r="N102" t="s">
        <v>234</v>
      </c>
      <c r="O102" t="s">
        <v>78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9.6300000000000008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0.4</v>
      </c>
      <c r="BJ102">
        <v>1.4</v>
      </c>
      <c r="BK102">
        <v>1.5</v>
      </c>
      <c r="BL102">
        <v>51.5</v>
      </c>
      <c r="BM102">
        <v>7.73</v>
      </c>
      <c r="BN102">
        <v>59.23</v>
      </c>
      <c r="BO102">
        <v>59.23</v>
      </c>
      <c r="BQ102" t="s">
        <v>268</v>
      </c>
      <c r="BR102" t="s">
        <v>372</v>
      </c>
      <c r="BS102" s="2">
        <v>44351</v>
      </c>
      <c r="BT102" s="3">
        <v>0.35000000000000003</v>
      </c>
      <c r="BU102" t="s">
        <v>134</v>
      </c>
      <c r="BV102" t="s">
        <v>79</v>
      </c>
      <c r="BY102">
        <v>7111.52</v>
      </c>
      <c r="BZ102" t="s">
        <v>81</v>
      </c>
      <c r="CA102" t="s">
        <v>204</v>
      </c>
      <c r="CC102" t="s">
        <v>100</v>
      </c>
      <c r="CD102">
        <v>2016</v>
      </c>
      <c r="CE102" t="s">
        <v>94</v>
      </c>
      <c r="CF102" s="2">
        <v>44352</v>
      </c>
      <c r="CI102">
        <v>1</v>
      </c>
      <c r="CJ102">
        <v>1</v>
      </c>
      <c r="CK102">
        <v>21</v>
      </c>
      <c r="CL102" t="s">
        <v>80</v>
      </c>
    </row>
    <row r="103" spans="1:90" x14ac:dyDescent="0.25">
      <c r="A103" t="s">
        <v>228</v>
      </c>
      <c r="B103" t="s">
        <v>229</v>
      </c>
      <c r="C103" t="s">
        <v>72</v>
      </c>
      <c r="E103" t="str">
        <f>"009940792977"</f>
        <v>009940792977</v>
      </c>
      <c r="F103" s="2">
        <v>44350</v>
      </c>
      <c r="G103">
        <v>202112</v>
      </c>
      <c r="H103" t="s">
        <v>99</v>
      </c>
      <c r="I103" t="s">
        <v>100</v>
      </c>
      <c r="J103" t="s">
        <v>373</v>
      </c>
      <c r="K103" t="s">
        <v>75</v>
      </c>
      <c r="L103" t="s">
        <v>99</v>
      </c>
      <c r="M103" t="s">
        <v>100</v>
      </c>
      <c r="N103" t="s">
        <v>234</v>
      </c>
      <c r="O103" t="s">
        <v>78</v>
      </c>
      <c r="P103" t="str">
        <f>"..                            "</f>
        <v xml:space="preserve">..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7.52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40.229999999999997</v>
      </c>
      <c r="BM103">
        <v>6.03</v>
      </c>
      <c r="BN103">
        <v>46.26</v>
      </c>
      <c r="BO103">
        <v>46.26</v>
      </c>
      <c r="BQ103" t="s">
        <v>268</v>
      </c>
      <c r="BR103" t="s">
        <v>191</v>
      </c>
      <c r="BS103" s="2">
        <v>44351</v>
      </c>
      <c r="BT103" s="3">
        <v>0.35069444444444442</v>
      </c>
      <c r="BU103" t="s">
        <v>134</v>
      </c>
      <c r="BV103" t="s">
        <v>79</v>
      </c>
      <c r="BY103">
        <v>1200</v>
      </c>
      <c r="BZ103" t="s">
        <v>81</v>
      </c>
      <c r="CA103" t="s">
        <v>204</v>
      </c>
      <c r="CC103" t="s">
        <v>100</v>
      </c>
      <c r="CD103">
        <v>2000</v>
      </c>
      <c r="CE103" t="s">
        <v>94</v>
      </c>
      <c r="CF103" s="2">
        <v>44352</v>
      </c>
      <c r="CI103">
        <v>1</v>
      </c>
      <c r="CJ103">
        <v>1</v>
      </c>
      <c r="CK103">
        <v>22</v>
      </c>
      <c r="CL103" t="s">
        <v>80</v>
      </c>
    </row>
    <row r="104" spans="1:90" x14ac:dyDescent="0.25">
      <c r="A104" t="s">
        <v>228</v>
      </c>
      <c r="B104" t="s">
        <v>229</v>
      </c>
      <c r="C104" t="s">
        <v>72</v>
      </c>
      <c r="E104" t="str">
        <f>"009940714800"</f>
        <v>009940714800</v>
      </c>
      <c r="F104" s="2">
        <v>44354</v>
      </c>
      <c r="G104">
        <v>202112</v>
      </c>
      <c r="H104" t="s">
        <v>97</v>
      </c>
      <c r="I104" t="s">
        <v>98</v>
      </c>
      <c r="J104" t="s">
        <v>234</v>
      </c>
      <c r="K104" t="s">
        <v>75</v>
      </c>
      <c r="L104" t="s">
        <v>87</v>
      </c>
      <c r="M104" t="s">
        <v>88</v>
      </c>
      <c r="N104" t="s">
        <v>75</v>
      </c>
      <c r="O104" t="s">
        <v>157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13.54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2.4</v>
      </c>
      <c r="BK104">
        <v>3</v>
      </c>
      <c r="BL104">
        <v>77.42</v>
      </c>
      <c r="BM104">
        <v>11.61</v>
      </c>
      <c r="BN104">
        <v>89.03</v>
      </c>
      <c r="BO104">
        <v>89.03</v>
      </c>
      <c r="BQ104" t="s">
        <v>374</v>
      </c>
      <c r="BR104" t="s">
        <v>282</v>
      </c>
      <c r="BS104" s="2">
        <v>44356</v>
      </c>
      <c r="BT104" s="3">
        <v>0.46875</v>
      </c>
      <c r="BU104" t="s">
        <v>375</v>
      </c>
      <c r="BV104" t="s">
        <v>79</v>
      </c>
      <c r="BY104">
        <v>12000</v>
      </c>
      <c r="CA104" t="s">
        <v>376</v>
      </c>
      <c r="CC104" t="s">
        <v>88</v>
      </c>
      <c r="CD104">
        <v>5200</v>
      </c>
      <c r="CE104" t="s">
        <v>94</v>
      </c>
      <c r="CF104" s="2">
        <v>44356</v>
      </c>
      <c r="CI104">
        <v>2</v>
      </c>
      <c r="CJ104">
        <v>2</v>
      </c>
      <c r="CK104" t="s">
        <v>377</v>
      </c>
      <c r="CL104" t="s">
        <v>80</v>
      </c>
    </row>
    <row r="105" spans="1:90" x14ac:dyDescent="0.25">
      <c r="A105" t="s">
        <v>228</v>
      </c>
      <c r="B105" t="s">
        <v>229</v>
      </c>
      <c r="C105" t="s">
        <v>72</v>
      </c>
      <c r="E105" t="str">
        <f>"009941551813"</f>
        <v>009941551813</v>
      </c>
      <c r="F105" s="2">
        <v>44354</v>
      </c>
      <c r="G105">
        <v>202112</v>
      </c>
      <c r="H105" t="s">
        <v>99</v>
      </c>
      <c r="I105" t="s">
        <v>100</v>
      </c>
      <c r="J105" t="s">
        <v>246</v>
      </c>
      <c r="K105" t="s">
        <v>75</v>
      </c>
      <c r="L105" t="s">
        <v>99</v>
      </c>
      <c r="M105" t="s">
        <v>100</v>
      </c>
      <c r="N105" t="s">
        <v>234</v>
      </c>
      <c r="O105" t="s">
        <v>157</v>
      </c>
      <c r="P105" t="str">
        <f>"..                            "</f>
        <v xml:space="preserve">..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13.54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77.42</v>
      </c>
      <c r="BM105">
        <v>11.61</v>
      </c>
      <c r="BN105">
        <v>89.03</v>
      </c>
      <c r="BO105">
        <v>89.03</v>
      </c>
      <c r="BQ105" t="s">
        <v>226</v>
      </c>
      <c r="BR105" t="s">
        <v>209</v>
      </c>
      <c r="BS105" s="2">
        <v>44355</v>
      </c>
      <c r="BT105" s="3">
        <v>0.3263888888888889</v>
      </c>
      <c r="BU105" t="s">
        <v>180</v>
      </c>
      <c r="BV105" t="s">
        <v>79</v>
      </c>
      <c r="BY105">
        <v>1200</v>
      </c>
      <c r="CA105" t="s">
        <v>150</v>
      </c>
      <c r="CC105" t="s">
        <v>100</v>
      </c>
      <c r="CD105">
        <v>2013</v>
      </c>
      <c r="CE105" t="s">
        <v>94</v>
      </c>
      <c r="CF105" s="2">
        <v>44355</v>
      </c>
      <c r="CI105">
        <v>1</v>
      </c>
      <c r="CJ105">
        <v>1</v>
      </c>
      <c r="CK105" t="s">
        <v>160</v>
      </c>
      <c r="CL105" t="s">
        <v>80</v>
      </c>
    </row>
    <row r="106" spans="1:90" x14ac:dyDescent="0.25">
      <c r="A106" t="s">
        <v>228</v>
      </c>
      <c r="B106" t="s">
        <v>229</v>
      </c>
      <c r="C106" t="s">
        <v>72</v>
      </c>
      <c r="E106" t="str">
        <f>"009940662697"</f>
        <v>009940662697</v>
      </c>
      <c r="F106" s="2">
        <v>44350</v>
      </c>
      <c r="G106">
        <v>202112</v>
      </c>
      <c r="H106" t="s">
        <v>151</v>
      </c>
      <c r="I106" t="s">
        <v>152</v>
      </c>
      <c r="J106" t="s">
        <v>593</v>
      </c>
      <c r="K106" t="s">
        <v>75</v>
      </c>
      <c r="L106" t="s">
        <v>99</v>
      </c>
      <c r="M106" t="s">
        <v>100</v>
      </c>
      <c r="N106" t="s">
        <v>234</v>
      </c>
      <c r="O106" t="s">
        <v>157</v>
      </c>
      <c r="P106" t="str">
        <f>"....                          "</f>
        <v xml:space="preserve">....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13.54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77.42</v>
      </c>
      <c r="BM106">
        <v>11.61</v>
      </c>
      <c r="BN106">
        <v>89.03</v>
      </c>
      <c r="BO106">
        <v>89.03</v>
      </c>
      <c r="BQ106" t="s">
        <v>226</v>
      </c>
      <c r="BR106" t="s">
        <v>226</v>
      </c>
      <c r="BS106" s="2">
        <v>44355</v>
      </c>
      <c r="BT106" s="3">
        <v>0.3263888888888889</v>
      </c>
      <c r="BU106" t="s">
        <v>180</v>
      </c>
      <c r="BV106" t="s">
        <v>80</v>
      </c>
      <c r="BW106" t="s">
        <v>131</v>
      </c>
      <c r="BX106" t="s">
        <v>197</v>
      </c>
      <c r="BY106">
        <v>1200</v>
      </c>
      <c r="CA106" t="s">
        <v>150</v>
      </c>
      <c r="CC106" t="s">
        <v>100</v>
      </c>
      <c r="CD106">
        <v>2013</v>
      </c>
      <c r="CE106" t="s">
        <v>94</v>
      </c>
      <c r="CF106" s="2">
        <v>44355</v>
      </c>
      <c r="CI106">
        <v>1</v>
      </c>
      <c r="CJ106">
        <v>3</v>
      </c>
      <c r="CK106" t="s">
        <v>300</v>
      </c>
      <c r="CL106" t="s">
        <v>80</v>
      </c>
    </row>
    <row r="107" spans="1:90" x14ac:dyDescent="0.25">
      <c r="A107" t="s">
        <v>228</v>
      </c>
      <c r="B107" t="s">
        <v>229</v>
      </c>
      <c r="C107" t="s">
        <v>72</v>
      </c>
      <c r="E107" t="str">
        <f>"009941026549"</f>
        <v>009941026549</v>
      </c>
      <c r="F107" s="2">
        <v>44354</v>
      </c>
      <c r="G107">
        <v>202112</v>
      </c>
      <c r="H107" t="s">
        <v>99</v>
      </c>
      <c r="I107" t="s">
        <v>100</v>
      </c>
      <c r="J107" t="s">
        <v>230</v>
      </c>
      <c r="K107" t="s">
        <v>75</v>
      </c>
      <c r="L107" t="s">
        <v>378</v>
      </c>
      <c r="M107" t="s">
        <v>379</v>
      </c>
      <c r="N107" t="s">
        <v>380</v>
      </c>
      <c r="O107" t="s">
        <v>183</v>
      </c>
      <c r="P107" t="str">
        <f t="shared" ref="P107:P112" si="2">"..                            "</f>
        <v xml:space="preserve">..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18.66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1.9</v>
      </c>
      <c r="BK107">
        <v>2</v>
      </c>
      <c r="BL107">
        <v>99.78</v>
      </c>
      <c r="BM107">
        <v>14.97</v>
      </c>
      <c r="BN107">
        <v>114.75</v>
      </c>
      <c r="BO107">
        <v>114.75</v>
      </c>
      <c r="BR107" t="s">
        <v>232</v>
      </c>
      <c r="BS107" s="2">
        <v>44355</v>
      </c>
      <c r="BT107" s="3">
        <v>0.42291666666666666</v>
      </c>
      <c r="BU107" t="s">
        <v>381</v>
      </c>
      <c r="BV107" t="s">
        <v>79</v>
      </c>
      <c r="BY107">
        <v>9637.82</v>
      </c>
      <c r="BZ107" t="s">
        <v>202</v>
      </c>
      <c r="CA107" t="s">
        <v>382</v>
      </c>
      <c r="CC107" t="s">
        <v>379</v>
      </c>
      <c r="CD107">
        <v>480</v>
      </c>
      <c r="CE107" t="s">
        <v>94</v>
      </c>
      <c r="CF107" s="2">
        <v>44355</v>
      </c>
      <c r="CI107">
        <v>1</v>
      </c>
      <c r="CJ107">
        <v>1</v>
      </c>
      <c r="CK107">
        <v>33</v>
      </c>
      <c r="CL107" t="s">
        <v>80</v>
      </c>
    </row>
    <row r="108" spans="1:90" x14ac:dyDescent="0.25">
      <c r="A108" t="s">
        <v>228</v>
      </c>
      <c r="B108" t="s">
        <v>229</v>
      </c>
      <c r="C108" t="s">
        <v>72</v>
      </c>
      <c r="E108" t="str">
        <f>"009941026550"</f>
        <v>009941026550</v>
      </c>
      <c r="F108" s="2">
        <v>44354</v>
      </c>
      <c r="G108">
        <v>202112</v>
      </c>
      <c r="H108" t="s">
        <v>99</v>
      </c>
      <c r="I108" t="s">
        <v>100</v>
      </c>
      <c r="J108" t="s">
        <v>230</v>
      </c>
      <c r="K108" t="s">
        <v>75</v>
      </c>
      <c r="L108" t="s">
        <v>97</v>
      </c>
      <c r="M108" t="s">
        <v>98</v>
      </c>
      <c r="N108" t="s">
        <v>383</v>
      </c>
      <c r="O108" t="s">
        <v>183</v>
      </c>
      <c r="P108" t="str">
        <f t="shared" si="2"/>
        <v xml:space="preserve">..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18.059999999999999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1.3</v>
      </c>
      <c r="BK108">
        <v>2</v>
      </c>
      <c r="BL108">
        <v>96.56</v>
      </c>
      <c r="BM108">
        <v>14.48</v>
      </c>
      <c r="BN108">
        <v>111.04</v>
      </c>
      <c r="BO108">
        <v>111.04</v>
      </c>
      <c r="BR108" t="s">
        <v>232</v>
      </c>
      <c r="BS108" s="2">
        <v>44355</v>
      </c>
      <c r="BT108" s="3">
        <v>0.41666666666666669</v>
      </c>
      <c r="BU108" t="s">
        <v>384</v>
      </c>
      <c r="BV108" t="s">
        <v>79</v>
      </c>
      <c r="BY108">
        <v>6405.28</v>
      </c>
      <c r="BZ108" t="s">
        <v>202</v>
      </c>
      <c r="CA108" t="s">
        <v>124</v>
      </c>
      <c r="CC108" t="s">
        <v>98</v>
      </c>
      <c r="CD108">
        <v>4092</v>
      </c>
      <c r="CE108" t="s">
        <v>94</v>
      </c>
      <c r="CF108" s="2">
        <v>44356</v>
      </c>
      <c r="CI108">
        <v>1</v>
      </c>
      <c r="CJ108">
        <v>1</v>
      </c>
      <c r="CK108">
        <v>31</v>
      </c>
      <c r="CL108" t="s">
        <v>80</v>
      </c>
    </row>
    <row r="109" spans="1:90" x14ac:dyDescent="0.25">
      <c r="A109" t="s">
        <v>228</v>
      </c>
      <c r="B109" t="s">
        <v>229</v>
      </c>
      <c r="C109" t="s">
        <v>72</v>
      </c>
      <c r="E109" t="str">
        <f>"009941026546"</f>
        <v>009941026546</v>
      </c>
      <c r="F109" s="2">
        <v>44354</v>
      </c>
      <c r="G109">
        <v>202112</v>
      </c>
      <c r="H109" t="s">
        <v>99</v>
      </c>
      <c r="I109" t="s">
        <v>100</v>
      </c>
      <c r="J109" t="s">
        <v>230</v>
      </c>
      <c r="K109" t="s">
        <v>75</v>
      </c>
      <c r="L109" t="s">
        <v>109</v>
      </c>
      <c r="M109" t="s">
        <v>110</v>
      </c>
      <c r="N109" t="s">
        <v>385</v>
      </c>
      <c r="O109" t="s">
        <v>183</v>
      </c>
      <c r="P109" t="str">
        <f t="shared" si="2"/>
        <v xml:space="preserve">..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18.059999999999999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1.4</v>
      </c>
      <c r="BJ109">
        <v>2.1</v>
      </c>
      <c r="BK109">
        <v>3</v>
      </c>
      <c r="BL109">
        <v>96.56</v>
      </c>
      <c r="BM109">
        <v>14.48</v>
      </c>
      <c r="BN109">
        <v>111.04</v>
      </c>
      <c r="BO109">
        <v>111.04</v>
      </c>
      <c r="BQ109" t="s">
        <v>386</v>
      </c>
      <c r="BR109" t="s">
        <v>232</v>
      </c>
      <c r="BS109" s="2">
        <v>44355</v>
      </c>
      <c r="BT109" s="3">
        <v>0.4236111111111111</v>
      </c>
      <c r="BU109" t="s">
        <v>387</v>
      </c>
      <c r="BV109" t="s">
        <v>79</v>
      </c>
      <c r="BY109">
        <v>10533.89</v>
      </c>
      <c r="BZ109" t="s">
        <v>202</v>
      </c>
      <c r="CA109" t="s">
        <v>205</v>
      </c>
      <c r="CC109" t="s">
        <v>110</v>
      </c>
      <c r="CD109">
        <v>7800</v>
      </c>
      <c r="CE109" t="s">
        <v>94</v>
      </c>
      <c r="CF109" s="2">
        <v>44356</v>
      </c>
      <c r="CI109">
        <v>1</v>
      </c>
      <c r="CJ109">
        <v>1</v>
      </c>
      <c r="CK109">
        <v>31</v>
      </c>
      <c r="CL109" t="s">
        <v>80</v>
      </c>
    </row>
    <row r="110" spans="1:90" x14ac:dyDescent="0.25">
      <c r="A110" t="s">
        <v>228</v>
      </c>
      <c r="B110" t="s">
        <v>229</v>
      </c>
      <c r="C110" t="s">
        <v>72</v>
      </c>
      <c r="E110" t="str">
        <f>"009941026547"</f>
        <v>009941026547</v>
      </c>
      <c r="F110" s="2">
        <v>44354</v>
      </c>
      <c r="G110">
        <v>202112</v>
      </c>
      <c r="H110" t="s">
        <v>99</v>
      </c>
      <c r="I110" t="s">
        <v>100</v>
      </c>
      <c r="J110" t="s">
        <v>230</v>
      </c>
      <c r="K110" t="s">
        <v>75</v>
      </c>
      <c r="L110" t="s">
        <v>168</v>
      </c>
      <c r="M110" t="s">
        <v>169</v>
      </c>
      <c r="N110" t="s">
        <v>388</v>
      </c>
      <c r="O110" t="s">
        <v>183</v>
      </c>
      <c r="P110" t="str">
        <f t="shared" si="2"/>
        <v xml:space="preserve">..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7.52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1.9</v>
      </c>
      <c r="BK110">
        <v>2</v>
      </c>
      <c r="BL110">
        <v>40.229999999999997</v>
      </c>
      <c r="BM110">
        <v>6.03</v>
      </c>
      <c r="BN110">
        <v>46.26</v>
      </c>
      <c r="BO110">
        <v>46.26</v>
      </c>
      <c r="BR110" t="s">
        <v>232</v>
      </c>
      <c r="BS110" s="2">
        <v>44355</v>
      </c>
      <c r="BT110" s="3">
        <v>0.39305555555555555</v>
      </c>
      <c r="BU110" t="s">
        <v>389</v>
      </c>
      <c r="BV110" t="s">
        <v>79</v>
      </c>
      <c r="BY110">
        <v>9590.68</v>
      </c>
      <c r="BZ110" t="s">
        <v>202</v>
      </c>
      <c r="CA110" t="s">
        <v>217</v>
      </c>
      <c r="CC110" t="s">
        <v>169</v>
      </c>
      <c r="CD110">
        <v>1724</v>
      </c>
      <c r="CE110" t="s">
        <v>94</v>
      </c>
      <c r="CF110" s="2">
        <v>44356</v>
      </c>
      <c r="CI110">
        <v>1</v>
      </c>
      <c r="CJ110">
        <v>1</v>
      </c>
      <c r="CK110">
        <v>32</v>
      </c>
      <c r="CL110" t="s">
        <v>80</v>
      </c>
    </row>
    <row r="111" spans="1:90" x14ac:dyDescent="0.25">
      <c r="A111" t="s">
        <v>228</v>
      </c>
      <c r="B111" t="s">
        <v>229</v>
      </c>
      <c r="C111" t="s">
        <v>72</v>
      </c>
      <c r="E111" t="str">
        <f>"009941026548"</f>
        <v>009941026548</v>
      </c>
      <c r="F111" s="2">
        <v>44354</v>
      </c>
      <c r="G111">
        <v>202112</v>
      </c>
      <c r="H111" t="s">
        <v>99</v>
      </c>
      <c r="I111" t="s">
        <v>100</v>
      </c>
      <c r="J111" t="s">
        <v>230</v>
      </c>
      <c r="K111" t="s">
        <v>75</v>
      </c>
      <c r="L111" t="s">
        <v>73</v>
      </c>
      <c r="M111" t="s">
        <v>74</v>
      </c>
      <c r="N111" t="s">
        <v>390</v>
      </c>
      <c r="O111" t="s">
        <v>183</v>
      </c>
      <c r="P111" t="str">
        <f t="shared" si="2"/>
        <v xml:space="preserve">..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18.059999999999999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1.8</v>
      </c>
      <c r="BK111">
        <v>2</v>
      </c>
      <c r="BL111">
        <v>96.56</v>
      </c>
      <c r="BM111">
        <v>14.48</v>
      </c>
      <c r="BN111">
        <v>111.04</v>
      </c>
      <c r="BO111">
        <v>111.04</v>
      </c>
      <c r="BQ111" t="s">
        <v>267</v>
      </c>
      <c r="BR111" t="s">
        <v>232</v>
      </c>
      <c r="BS111" s="2">
        <v>44355</v>
      </c>
      <c r="BT111" s="3">
        <v>0.35416666666666669</v>
      </c>
      <c r="BU111" t="s">
        <v>391</v>
      </c>
      <c r="BV111" t="s">
        <v>79</v>
      </c>
      <c r="BY111">
        <v>9051.7900000000009</v>
      </c>
      <c r="BZ111" t="s">
        <v>202</v>
      </c>
      <c r="CA111" t="s">
        <v>155</v>
      </c>
      <c r="CC111" t="s">
        <v>74</v>
      </c>
      <c r="CD111">
        <v>1</v>
      </c>
      <c r="CE111" t="s">
        <v>94</v>
      </c>
      <c r="CF111" s="2">
        <v>44355</v>
      </c>
      <c r="CI111">
        <v>1</v>
      </c>
      <c r="CJ111">
        <v>1</v>
      </c>
      <c r="CK111">
        <v>31</v>
      </c>
      <c r="CL111" t="s">
        <v>80</v>
      </c>
    </row>
    <row r="112" spans="1:90" x14ac:dyDescent="0.25">
      <c r="A112" t="s">
        <v>228</v>
      </c>
      <c r="B112" t="s">
        <v>229</v>
      </c>
      <c r="C112" t="s">
        <v>72</v>
      </c>
      <c r="E112" t="str">
        <f>"009941483345"</f>
        <v>009941483345</v>
      </c>
      <c r="F112" s="2">
        <v>44354</v>
      </c>
      <c r="G112">
        <v>202112</v>
      </c>
      <c r="H112" t="s">
        <v>99</v>
      </c>
      <c r="I112" t="s">
        <v>100</v>
      </c>
      <c r="J112" t="s">
        <v>234</v>
      </c>
      <c r="K112" t="s">
        <v>75</v>
      </c>
      <c r="L112" t="s">
        <v>141</v>
      </c>
      <c r="M112" t="s">
        <v>142</v>
      </c>
      <c r="N112" t="s">
        <v>234</v>
      </c>
      <c r="O112" t="s">
        <v>78</v>
      </c>
      <c r="P112" t="str">
        <f t="shared" si="2"/>
        <v xml:space="preserve">..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18.66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99.78</v>
      </c>
      <c r="BM112">
        <v>14.97</v>
      </c>
      <c r="BN112">
        <v>114.75</v>
      </c>
      <c r="BO112">
        <v>114.75</v>
      </c>
      <c r="BQ112" t="s">
        <v>392</v>
      </c>
      <c r="BR112" t="s">
        <v>236</v>
      </c>
      <c r="BS112" s="2">
        <v>44356</v>
      </c>
      <c r="BT112" s="3">
        <v>0.62152777777777779</v>
      </c>
      <c r="BU112" t="s">
        <v>393</v>
      </c>
      <c r="BV112" t="s">
        <v>79</v>
      </c>
      <c r="BY112">
        <v>1200</v>
      </c>
      <c r="BZ112" t="s">
        <v>81</v>
      </c>
      <c r="CA112" t="s">
        <v>394</v>
      </c>
      <c r="CC112" t="s">
        <v>142</v>
      </c>
      <c r="CD112">
        <v>3370</v>
      </c>
      <c r="CE112" t="s">
        <v>94</v>
      </c>
      <c r="CF112" s="2">
        <v>44357</v>
      </c>
      <c r="CI112">
        <v>3</v>
      </c>
      <c r="CJ112">
        <v>2</v>
      </c>
      <c r="CK112">
        <v>23</v>
      </c>
      <c r="CL112" t="s">
        <v>80</v>
      </c>
    </row>
    <row r="113" spans="1:90" x14ac:dyDescent="0.25">
      <c r="A113" t="s">
        <v>228</v>
      </c>
      <c r="B113" t="s">
        <v>229</v>
      </c>
      <c r="C113" t="s">
        <v>72</v>
      </c>
      <c r="E113" t="str">
        <f>"009939926592"</f>
        <v>009939926592</v>
      </c>
      <c r="F113" s="2">
        <v>44354</v>
      </c>
      <c r="G113">
        <v>202112</v>
      </c>
      <c r="H113" t="s">
        <v>109</v>
      </c>
      <c r="I113" t="s">
        <v>110</v>
      </c>
      <c r="J113" t="s">
        <v>234</v>
      </c>
      <c r="K113" t="s">
        <v>75</v>
      </c>
      <c r="L113" t="s">
        <v>99</v>
      </c>
      <c r="M113" t="s">
        <v>100</v>
      </c>
      <c r="N113" t="s">
        <v>234</v>
      </c>
      <c r="O113" t="s">
        <v>78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9.6300000000000008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51.5</v>
      </c>
      <c r="BM113">
        <v>7.73</v>
      </c>
      <c r="BN113">
        <v>59.23</v>
      </c>
      <c r="BO113">
        <v>59.23</v>
      </c>
      <c r="BQ113" t="s">
        <v>161</v>
      </c>
      <c r="BR113" t="s">
        <v>254</v>
      </c>
      <c r="BS113" s="2">
        <v>44355</v>
      </c>
      <c r="BT113" s="3">
        <v>0.32708333333333334</v>
      </c>
      <c r="BU113" t="s">
        <v>180</v>
      </c>
      <c r="BV113" t="s">
        <v>79</v>
      </c>
      <c r="BY113">
        <v>1200</v>
      </c>
      <c r="BZ113" t="s">
        <v>81</v>
      </c>
      <c r="CA113" t="s">
        <v>150</v>
      </c>
      <c r="CC113" t="s">
        <v>100</v>
      </c>
      <c r="CD113">
        <v>2013</v>
      </c>
      <c r="CE113" t="s">
        <v>94</v>
      </c>
      <c r="CF113" s="2">
        <v>44355</v>
      </c>
      <c r="CI113">
        <v>1</v>
      </c>
      <c r="CJ113">
        <v>1</v>
      </c>
      <c r="CK113">
        <v>21</v>
      </c>
      <c r="CL113" t="s">
        <v>80</v>
      </c>
    </row>
    <row r="114" spans="1:90" x14ac:dyDescent="0.25">
      <c r="A114" t="s">
        <v>228</v>
      </c>
      <c r="B114" t="s">
        <v>229</v>
      </c>
      <c r="C114" t="s">
        <v>72</v>
      </c>
      <c r="E114" t="str">
        <f>"009941026551"</f>
        <v>009941026551</v>
      </c>
      <c r="F114" s="2">
        <v>44355</v>
      </c>
      <c r="G114">
        <v>202112</v>
      </c>
      <c r="H114" t="s">
        <v>99</v>
      </c>
      <c r="I114" t="s">
        <v>100</v>
      </c>
      <c r="J114" t="s">
        <v>230</v>
      </c>
      <c r="K114" t="s">
        <v>75</v>
      </c>
      <c r="L114" t="s">
        <v>99</v>
      </c>
      <c r="M114" t="s">
        <v>100</v>
      </c>
      <c r="N114" t="s">
        <v>395</v>
      </c>
      <c r="O114" t="s">
        <v>183</v>
      </c>
      <c r="P114" t="str">
        <f>"..                            "</f>
        <v xml:space="preserve">..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7.52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40.229999999999997</v>
      </c>
      <c r="BM114">
        <v>6.03</v>
      </c>
      <c r="BN114">
        <v>46.26</v>
      </c>
      <c r="BO114">
        <v>46.26</v>
      </c>
      <c r="BR114" t="s">
        <v>232</v>
      </c>
      <c r="BS114" s="2">
        <v>44356</v>
      </c>
      <c r="BT114" s="3">
        <v>0.37777777777777777</v>
      </c>
      <c r="BU114" t="s">
        <v>396</v>
      </c>
      <c r="BV114" t="s">
        <v>79</v>
      </c>
      <c r="BY114">
        <v>1200</v>
      </c>
      <c r="BZ114" t="s">
        <v>202</v>
      </c>
      <c r="CA114" t="s">
        <v>397</v>
      </c>
      <c r="CC114" t="s">
        <v>100</v>
      </c>
      <c r="CD114">
        <v>2196</v>
      </c>
      <c r="CE114" t="s">
        <v>94</v>
      </c>
      <c r="CF114" s="2">
        <v>44356</v>
      </c>
      <c r="CI114">
        <v>1</v>
      </c>
      <c r="CJ114">
        <v>1</v>
      </c>
      <c r="CK114">
        <v>32</v>
      </c>
      <c r="CL114" t="s">
        <v>80</v>
      </c>
    </row>
    <row r="115" spans="1:90" x14ac:dyDescent="0.25">
      <c r="A115" t="s">
        <v>228</v>
      </c>
      <c r="B115" t="s">
        <v>229</v>
      </c>
      <c r="C115" t="s">
        <v>72</v>
      </c>
      <c r="E115" t="str">
        <f>"009941431547"</f>
        <v>009941431547</v>
      </c>
      <c r="F115" s="2">
        <v>44355</v>
      </c>
      <c r="G115">
        <v>202112</v>
      </c>
      <c r="H115" t="s">
        <v>89</v>
      </c>
      <c r="I115" t="s">
        <v>90</v>
      </c>
      <c r="J115" t="s">
        <v>296</v>
      </c>
      <c r="K115" t="s">
        <v>75</v>
      </c>
      <c r="L115" t="s">
        <v>99</v>
      </c>
      <c r="M115" t="s">
        <v>100</v>
      </c>
      <c r="N115" t="s">
        <v>234</v>
      </c>
      <c r="O115" t="s">
        <v>78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9.6300000000000008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51.5</v>
      </c>
      <c r="BM115">
        <v>7.73</v>
      </c>
      <c r="BN115">
        <v>59.23</v>
      </c>
      <c r="BO115">
        <v>59.23</v>
      </c>
      <c r="BQ115" t="s">
        <v>297</v>
      </c>
      <c r="BR115" t="s">
        <v>314</v>
      </c>
      <c r="BS115" s="2">
        <v>44356</v>
      </c>
      <c r="BT115" s="3">
        <v>0.3263888888888889</v>
      </c>
      <c r="BU115" t="s">
        <v>180</v>
      </c>
      <c r="BV115" t="s">
        <v>79</v>
      </c>
      <c r="BY115">
        <v>1200</v>
      </c>
      <c r="BZ115" t="s">
        <v>81</v>
      </c>
      <c r="CA115" t="s">
        <v>150</v>
      </c>
      <c r="CC115" t="s">
        <v>100</v>
      </c>
      <c r="CD115">
        <v>2013</v>
      </c>
      <c r="CE115" t="s">
        <v>94</v>
      </c>
      <c r="CF115" s="2">
        <v>44356</v>
      </c>
      <c r="CI115">
        <v>1</v>
      </c>
      <c r="CJ115">
        <v>1</v>
      </c>
      <c r="CK115">
        <v>21</v>
      </c>
      <c r="CL115" t="s">
        <v>80</v>
      </c>
    </row>
    <row r="116" spans="1:90" x14ac:dyDescent="0.25">
      <c r="A116" t="s">
        <v>228</v>
      </c>
      <c r="B116" t="s">
        <v>229</v>
      </c>
      <c r="C116" t="s">
        <v>72</v>
      </c>
      <c r="E116" t="str">
        <f>"009941472072"</f>
        <v>009941472072</v>
      </c>
      <c r="F116" s="2">
        <v>44355</v>
      </c>
      <c r="G116">
        <v>202112</v>
      </c>
      <c r="H116" t="s">
        <v>99</v>
      </c>
      <c r="I116" t="s">
        <v>100</v>
      </c>
      <c r="J116" t="s">
        <v>588</v>
      </c>
      <c r="K116" t="s">
        <v>75</v>
      </c>
      <c r="L116" t="s">
        <v>99</v>
      </c>
      <c r="M116" t="s">
        <v>100</v>
      </c>
      <c r="N116" t="s">
        <v>234</v>
      </c>
      <c r="O116" t="s">
        <v>78</v>
      </c>
      <c r="P116" t="str">
        <f>"..                            "</f>
        <v xml:space="preserve">..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7.52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40.229999999999997</v>
      </c>
      <c r="BM116">
        <v>6.03</v>
      </c>
      <c r="BN116">
        <v>46.26</v>
      </c>
      <c r="BO116">
        <v>46.26</v>
      </c>
      <c r="BQ116" t="s">
        <v>267</v>
      </c>
      <c r="BR116" t="s">
        <v>209</v>
      </c>
      <c r="BS116" s="2">
        <v>44356</v>
      </c>
      <c r="BT116" s="3">
        <v>0.32361111111111113</v>
      </c>
      <c r="BU116" t="s">
        <v>180</v>
      </c>
      <c r="BV116" t="s">
        <v>79</v>
      </c>
      <c r="BY116">
        <v>1200</v>
      </c>
      <c r="BZ116" t="s">
        <v>81</v>
      </c>
      <c r="CA116" t="s">
        <v>150</v>
      </c>
      <c r="CC116" t="s">
        <v>100</v>
      </c>
      <c r="CD116">
        <v>2013</v>
      </c>
      <c r="CE116" t="s">
        <v>94</v>
      </c>
      <c r="CF116" s="2">
        <v>44356</v>
      </c>
      <c r="CI116">
        <v>1</v>
      </c>
      <c r="CJ116">
        <v>1</v>
      </c>
      <c r="CK116">
        <v>22</v>
      </c>
      <c r="CL116" t="s">
        <v>80</v>
      </c>
    </row>
    <row r="117" spans="1:90" x14ac:dyDescent="0.25">
      <c r="A117" t="s">
        <v>228</v>
      </c>
      <c r="B117" t="s">
        <v>229</v>
      </c>
      <c r="C117" t="s">
        <v>72</v>
      </c>
      <c r="E117" t="str">
        <f>"029908251061"</f>
        <v>029908251061</v>
      </c>
      <c r="F117" s="2">
        <v>44355</v>
      </c>
      <c r="G117">
        <v>202112</v>
      </c>
      <c r="H117" t="s">
        <v>97</v>
      </c>
      <c r="I117" t="s">
        <v>98</v>
      </c>
      <c r="J117" t="s">
        <v>234</v>
      </c>
      <c r="K117" t="s">
        <v>75</v>
      </c>
      <c r="L117" t="s">
        <v>99</v>
      </c>
      <c r="M117" t="s">
        <v>100</v>
      </c>
      <c r="N117" t="s">
        <v>234</v>
      </c>
      <c r="O117" t="s">
        <v>78</v>
      </c>
      <c r="P117" t="str">
        <f>"PATIENCE MUNGWE               "</f>
        <v xml:space="preserve">PATIENCE MUNGWE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40.909999999999997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8.1</v>
      </c>
      <c r="BK117">
        <v>8.5</v>
      </c>
      <c r="BL117">
        <v>218.76</v>
      </c>
      <c r="BM117">
        <v>32.81</v>
      </c>
      <c r="BN117">
        <v>251.57</v>
      </c>
      <c r="BO117">
        <v>251.57</v>
      </c>
      <c r="BQ117" t="s">
        <v>354</v>
      </c>
      <c r="BR117" t="s">
        <v>282</v>
      </c>
      <c r="BS117" s="2">
        <v>44356</v>
      </c>
      <c r="BT117" s="3">
        <v>0.32291666666666669</v>
      </c>
      <c r="BU117" t="s">
        <v>180</v>
      </c>
      <c r="BV117" t="s">
        <v>79</v>
      </c>
      <c r="BY117">
        <v>40320</v>
      </c>
      <c r="BZ117" t="s">
        <v>81</v>
      </c>
      <c r="CA117" t="s">
        <v>150</v>
      </c>
      <c r="CC117" t="s">
        <v>100</v>
      </c>
      <c r="CD117">
        <v>2013</v>
      </c>
      <c r="CE117" t="s">
        <v>94</v>
      </c>
      <c r="CF117" s="2">
        <v>44356</v>
      </c>
      <c r="CI117">
        <v>1</v>
      </c>
      <c r="CJ117">
        <v>1</v>
      </c>
      <c r="CK117">
        <v>21</v>
      </c>
      <c r="CL117" t="s">
        <v>80</v>
      </c>
    </row>
    <row r="118" spans="1:90" x14ac:dyDescent="0.25">
      <c r="A118" t="s">
        <v>228</v>
      </c>
      <c r="B118" t="s">
        <v>229</v>
      </c>
      <c r="C118" t="s">
        <v>72</v>
      </c>
      <c r="E118" t="str">
        <f>"009940926473"</f>
        <v>009940926473</v>
      </c>
      <c r="F118" s="2">
        <v>44355</v>
      </c>
      <c r="G118">
        <v>202112</v>
      </c>
      <c r="H118" t="s">
        <v>73</v>
      </c>
      <c r="I118" t="s">
        <v>74</v>
      </c>
      <c r="J118" t="s">
        <v>246</v>
      </c>
      <c r="K118" t="s">
        <v>75</v>
      </c>
      <c r="L118" t="s">
        <v>99</v>
      </c>
      <c r="M118" t="s">
        <v>100</v>
      </c>
      <c r="N118" t="s">
        <v>317</v>
      </c>
      <c r="O118" t="s">
        <v>78</v>
      </c>
      <c r="P118" t="str">
        <f>"NOREF                         "</f>
        <v xml:space="preserve">NOREF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9.6300000000000008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51.5</v>
      </c>
      <c r="BM118">
        <v>7.73</v>
      </c>
      <c r="BN118">
        <v>59.23</v>
      </c>
      <c r="BO118">
        <v>59.23</v>
      </c>
      <c r="BQ118" t="s">
        <v>398</v>
      </c>
      <c r="BR118" t="s">
        <v>161</v>
      </c>
      <c r="BS118" s="2">
        <v>44356</v>
      </c>
      <c r="BT118" s="3">
        <v>0.32708333333333334</v>
      </c>
      <c r="BU118" t="s">
        <v>180</v>
      </c>
      <c r="BV118" t="s">
        <v>79</v>
      </c>
      <c r="BY118">
        <v>1200</v>
      </c>
      <c r="BZ118" t="s">
        <v>81</v>
      </c>
      <c r="CA118" t="s">
        <v>150</v>
      </c>
      <c r="CC118" t="s">
        <v>100</v>
      </c>
      <c r="CD118">
        <v>2000</v>
      </c>
      <c r="CE118" t="s">
        <v>94</v>
      </c>
      <c r="CF118" s="2">
        <v>44356</v>
      </c>
      <c r="CI118">
        <v>1</v>
      </c>
      <c r="CJ118">
        <v>1</v>
      </c>
      <c r="CK118">
        <v>21</v>
      </c>
      <c r="CL118" t="s">
        <v>80</v>
      </c>
    </row>
    <row r="119" spans="1:90" x14ac:dyDescent="0.25">
      <c r="A119" t="s">
        <v>228</v>
      </c>
      <c r="B119" t="s">
        <v>229</v>
      </c>
      <c r="C119" t="s">
        <v>72</v>
      </c>
      <c r="E119" t="str">
        <f>"009940799342"</f>
        <v>009940799342</v>
      </c>
      <c r="F119" s="2">
        <v>44355</v>
      </c>
      <c r="G119">
        <v>202112</v>
      </c>
      <c r="H119" t="s">
        <v>170</v>
      </c>
      <c r="I119" t="s">
        <v>171</v>
      </c>
      <c r="J119" t="s">
        <v>246</v>
      </c>
      <c r="K119" t="s">
        <v>75</v>
      </c>
      <c r="L119" t="s">
        <v>99</v>
      </c>
      <c r="M119" t="s">
        <v>100</v>
      </c>
      <c r="N119" t="s">
        <v>234</v>
      </c>
      <c r="O119" t="s">
        <v>183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18.059999999999999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96.56</v>
      </c>
      <c r="BM119">
        <v>14.48</v>
      </c>
      <c r="BN119">
        <v>111.04</v>
      </c>
      <c r="BO119">
        <v>111.04</v>
      </c>
      <c r="BS119" s="2">
        <v>44356</v>
      </c>
      <c r="BT119" s="3">
        <v>0.32569444444444445</v>
      </c>
      <c r="BU119" t="s">
        <v>180</v>
      </c>
      <c r="BV119" t="s">
        <v>79</v>
      </c>
      <c r="BY119">
        <v>1200</v>
      </c>
      <c r="BZ119" t="s">
        <v>202</v>
      </c>
      <c r="CA119" t="s">
        <v>150</v>
      </c>
      <c r="CC119" t="s">
        <v>100</v>
      </c>
      <c r="CD119">
        <v>2013</v>
      </c>
      <c r="CE119" t="s">
        <v>94</v>
      </c>
      <c r="CF119" s="2">
        <v>44356</v>
      </c>
      <c r="CI119">
        <v>1</v>
      </c>
      <c r="CJ119">
        <v>1</v>
      </c>
      <c r="CK119">
        <v>31</v>
      </c>
      <c r="CL119" t="s">
        <v>80</v>
      </c>
    </row>
    <row r="120" spans="1:90" x14ac:dyDescent="0.25">
      <c r="A120" t="s">
        <v>228</v>
      </c>
      <c r="B120" t="s">
        <v>229</v>
      </c>
      <c r="C120" t="s">
        <v>72</v>
      </c>
      <c r="E120" t="str">
        <f>"009940714814"</f>
        <v>009940714814</v>
      </c>
      <c r="F120" s="2">
        <v>44355</v>
      </c>
      <c r="G120">
        <v>202112</v>
      </c>
      <c r="H120" t="s">
        <v>97</v>
      </c>
      <c r="I120" t="s">
        <v>98</v>
      </c>
      <c r="J120" t="s">
        <v>234</v>
      </c>
      <c r="K120" t="s">
        <v>75</v>
      </c>
      <c r="L120" t="s">
        <v>109</v>
      </c>
      <c r="M120" t="s">
        <v>110</v>
      </c>
      <c r="N120" t="s">
        <v>399</v>
      </c>
      <c r="O120" t="s">
        <v>78</v>
      </c>
      <c r="P120" t="str">
        <f>"YOLANDA                       "</f>
        <v xml:space="preserve">YOLANDA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9.6300000000000008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51.5</v>
      </c>
      <c r="BM120">
        <v>7.73</v>
      </c>
      <c r="BN120">
        <v>59.23</v>
      </c>
      <c r="BO120">
        <v>59.23</v>
      </c>
      <c r="BQ120" t="s">
        <v>400</v>
      </c>
      <c r="BR120" t="s">
        <v>401</v>
      </c>
      <c r="BS120" s="2">
        <v>44357</v>
      </c>
      <c r="BT120" s="3">
        <v>0.43124999999999997</v>
      </c>
      <c r="BU120" t="s">
        <v>402</v>
      </c>
      <c r="BV120" t="s">
        <v>80</v>
      </c>
      <c r="BW120" t="s">
        <v>118</v>
      </c>
      <c r="BX120" t="s">
        <v>119</v>
      </c>
      <c r="BY120">
        <v>1200</v>
      </c>
      <c r="BZ120" t="s">
        <v>81</v>
      </c>
      <c r="CA120" t="s">
        <v>177</v>
      </c>
      <c r="CC120" t="s">
        <v>110</v>
      </c>
      <c r="CD120">
        <v>8000</v>
      </c>
      <c r="CE120" t="s">
        <v>94</v>
      </c>
      <c r="CF120" s="2">
        <v>44358</v>
      </c>
      <c r="CI120">
        <v>1</v>
      </c>
      <c r="CJ120">
        <v>2</v>
      </c>
      <c r="CK120">
        <v>21</v>
      </c>
      <c r="CL120" t="s">
        <v>80</v>
      </c>
    </row>
    <row r="121" spans="1:90" x14ac:dyDescent="0.25">
      <c r="A121" t="s">
        <v>228</v>
      </c>
      <c r="B121" t="s">
        <v>229</v>
      </c>
      <c r="C121" t="s">
        <v>72</v>
      </c>
      <c r="E121" t="str">
        <f>"009941342419"</f>
        <v>009941342419</v>
      </c>
      <c r="F121" s="2">
        <v>44355</v>
      </c>
      <c r="G121">
        <v>202112</v>
      </c>
      <c r="H121" t="s">
        <v>73</v>
      </c>
      <c r="I121" t="s">
        <v>74</v>
      </c>
      <c r="J121" t="s">
        <v>589</v>
      </c>
      <c r="K121" t="s">
        <v>75</v>
      </c>
      <c r="L121" t="s">
        <v>99</v>
      </c>
      <c r="M121" t="s">
        <v>100</v>
      </c>
      <c r="N121" t="s">
        <v>234</v>
      </c>
      <c r="O121" t="s">
        <v>183</v>
      </c>
      <c r="P121" t="str">
        <f>"NOREF                         "</f>
        <v xml:space="preserve">NOREF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18.059999999999999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96.56</v>
      </c>
      <c r="BM121">
        <v>14.48</v>
      </c>
      <c r="BN121">
        <v>111.04</v>
      </c>
      <c r="BO121">
        <v>111.04</v>
      </c>
      <c r="BQ121" t="s">
        <v>161</v>
      </c>
      <c r="BR121" t="s">
        <v>312</v>
      </c>
      <c r="BS121" s="2">
        <v>44356</v>
      </c>
      <c r="BT121" s="3">
        <v>0.32500000000000001</v>
      </c>
      <c r="BU121" t="s">
        <v>180</v>
      </c>
      <c r="BV121" t="s">
        <v>79</v>
      </c>
      <c r="BY121">
        <v>1200</v>
      </c>
      <c r="BZ121" t="s">
        <v>202</v>
      </c>
      <c r="CA121" t="s">
        <v>150</v>
      </c>
      <c r="CC121" t="s">
        <v>100</v>
      </c>
      <c r="CD121">
        <v>2000</v>
      </c>
      <c r="CE121" t="s">
        <v>94</v>
      </c>
      <c r="CF121" s="2">
        <v>44356</v>
      </c>
      <c r="CI121">
        <v>1</v>
      </c>
      <c r="CJ121">
        <v>1</v>
      </c>
      <c r="CK121">
        <v>31</v>
      </c>
      <c r="CL121" t="s">
        <v>80</v>
      </c>
    </row>
    <row r="122" spans="1:90" x14ac:dyDescent="0.25">
      <c r="A122" t="s">
        <v>228</v>
      </c>
      <c r="B122" t="s">
        <v>229</v>
      </c>
      <c r="C122" t="s">
        <v>72</v>
      </c>
      <c r="E122" t="str">
        <f>"009941342417"</f>
        <v>009941342417</v>
      </c>
      <c r="F122" s="2">
        <v>44355</v>
      </c>
      <c r="G122">
        <v>202112</v>
      </c>
      <c r="H122" t="s">
        <v>73</v>
      </c>
      <c r="I122" t="s">
        <v>74</v>
      </c>
      <c r="J122" t="s">
        <v>246</v>
      </c>
      <c r="K122" t="s">
        <v>75</v>
      </c>
      <c r="L122" t="s">
        <v>99</v>
      </c>
      <c r="M122" t="s">
        <v>100</v>
      </c>
      <c r="N122" t="s">
        <v>234</v>
      </c>
      <c r="O122" t="s">
        <v>183</v>
      </c>
      <c r="P122" t="str">
        <f>"NOREF                         "</f>
        <v xml:space="preserve">NOREF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18.059999999999999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96.56</v>
      </c>
      <c r="BM122">
        <v>14.48</v>
      </c>
      <c r="BN122">
        <v>111.04</v>
      </c>
      <c r="BO122">
        <v>111.04</v>
      </c>
      <c r="BQ122" t="s">
        <v>161</v>
      </c>
      <c r="BR122" t="s">
        <v>301</v>
      </c>
      <c r="BS122" s="2">
        <v>44356</v>
      </c>
      <c r="BT122" s="3">
        <v>0.32777777777777778</v>
      </c>
      <c r="BU122" t="s">
        <v>180</v>
      </c>
      <c r="BV122" t="s">
        <v>79</v>
      </c>
      <c r="BY122">
        <v>1200</v>
      </c>
      <c r="BZ122" t="s">
        <v>202</v>
      </c>
      <c r="CA122" t="s">
        <v>150</v>
      </c>
      <c r="CC122" t="s">
        <v>100</v>
      </c>
      <c r="CD122">
        <v>2000</v>
      </c>
      <c r="CE122" t="s">
        <v>94</v>
      </c>
      <c r="CF122" s="2">
        <v>44356</v>
      </c>
      <c r="CI122">
        <v>1</v>
      </c>
      <c r="CJ122">
        <v>1</v>
      </c>
      <c r="CK122">
        <v>31</v>
      </c>
      <c r="CL122" t="s">
        <v>80</v>
      </c>
    </row>
    <row r="123" spans="1:90" x14ac:dyDescent="0.25">
      <c r="A123" t="s">
        <v>228</v>
      </c>
      <c r="B123" t="s">
        <v>229</v>
      </c>
      <c r="C123" t="s">
        <v>72</v>
      </c>
      <c r="E123" t="str">
        <f>"009940942811"</f>
        <v>009940942811</v>
      </c>
      <c r="F123" s="2">
        <v>44355</v>
      </c>
      <c r="G123">
        <v>202112</v>
      </c>
      <c r="H123" t="s">
        <v>95</v>
      </c>
      <c r="I123" t="s">
        <v>96</v>
      </c>
      <c r="J123" t="s">
        <v>590</v>
      </c>
      <c r="K123" t="s">
        <v>75</v>
      </c>
      <c r="L123" t="s">
        <v>403</v>
      </c>
      <c r="M123" t="s">
        <v>404</v>
      </c>
      <c r="N123" t="s">
        <v>405</v>
      </c>
      <c r="O123" t="s">
        <v>78</v>
      </c>
      <c r="P123" t="str">
        <f>"KIA                           "</f>
        <v xml:space="preserve">KIA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22.87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2.4</v>
      </c>
      <c r="BK123">
        <v>2.5</v>
      </c>
      <c r="BL123">
        <v>122.31</v>
      </c>
      <c r="BM123">
        <v>18.350000000000001</v>
      </c>
      <c r="BN123">
        <v>140.66</v>
      </c>
      <c r="BO123">
        <v>140.66</v>
      </c>
      <c r="BQ123" t="s">
        <v>405</v>
      </c>
      <c r="BR123" t="s">
        <v>406</v>
      </c>
      <c r="BS123" s="2">
        <v>44356</v>
      </c>
      <c r="BT123" s="3">
        <v>0.47222222222222227</v>
      </c>
      <c r="BU123" t="s">
        <v>407</v>
      </c>
      <c r="BV123" t="s">
        <v>80</v>
      </c>
      <c r="BW123" t="s">
        <v>131</v>
      </c>
      <c r="BX123" t="s">
        <v>179</v>
      </c>
      <c r="BY123">
        <v>12000</v>
      </c>
      <c r="BZ123" t="s">
        <v>81</v>
      </c>
      <c r="CA123" t="s">
        <v>408</v>
      </c>
      <c r="CC123" t="s">
        <v>404</v>
      </c>
      <c r="CD123">
        <v>3900</v>
      </c>
      <c r="CE123" t="s">
        <v>94</v>
      </c>
      <c r="CF123" s="2">
        <v>44356</v>
      </c>
      <c r="CI123">
        <v>1</v>
      </c>
      <c r="CJ123">
        <v>1</v>
      </c>
      <c r="CK123">
        <v>23</v>
      </c>
      <c r="CL123" t="s">
        <v>80</v>
      </c>
    </row>
    <row r="124" spans="1:90" x14ac:dyDescent="0.25">
      <c r="A124" t="s">
        <v>228</v>
      </c>
      <c r="B124" t="s">
        <v>229</v>
      </c>
      <c r="C124" t="s">
        <v>72</v>
      </c>
      <c r="E124" t="str">
        <f>"009940941868"</f>
        <v>009940941868</v>
      </c>
      <c r="F124" s="2">
        <v>44348</v>
      </c>
      <c r="G124">
        <v>202112</v>
      </c>
      <c r="H124" t="s">
        <v>315</v>
      </c>
      <c r="I124" t="s">
        <v>316</v>
      </c>
      <c r="J124" t="s">
        <v>246</v>
      </c>
      <c r="K124" t="s">
        <v>75</v>
      </c>
      <c r="L124" t="s">
        <v>99</v>
      </c>
      <c r="M124" t="s">
        <v>100</v>
      </c>
      <c r="N124" t="s">
        <v>317</v>
      </c>
      <c r="O124" t="s">
        <v>157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26.5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149.26</v>
      </c>
      <c r="BM124">
        <v>22.39</v>
      </c>
      <c r="BN124">
        <v>171.65</v>
      </c>
      <c r="BO124">
        <v>171.65</v>
      </c>
      <c r="BQ124" t="s">
        <v>297</v>
      </c>
      <c r="BR124" t="s">
        <v>319</v>
      </c>
      <c r="BS124" s="2">
        <v>44349</v>
      </c>
      <c r="BT124" s="3">
        <v>0.31944444444444448</v>
      </c>
      <c r="BU124" t="s">
        <v>346</v>
      </c>
      <c r="BV124" t="s">
        <v>79</v>
      </c>
      <c r="BY124">
        <v>1200</v>
      </c>
      <c r="CC124" t="s">
        <v>100</v>
      </c>
      <c r="CD124">
        <v>2013</v>
      </c>
      <c r="CE124" t="s">
        <v>94</v>
      </c>
      <c r="CF124" s="2">
        <v>44349</v>
      </c>
      <c r="CI124">
        <v>1</v>
      </c>
      <c r="CJ124">
        <v>1</v>
      </c>
      <c r="CK124" t="s">
        <v>320</v>
      </c>
      <c r="CL124" t="s">
        <v>80</v>
      </c>
    </row>
    <row r="125" spans="1:90" x14ac:dyDescent="0.25">
      <c r="A125" t="s">
        <v>228</v>
      </c>
      <c r="B125" t="s">
        <v>229</v>
      </c>
      <c r="C125" t="s">
        <v>72</v>
      </c>
      <c r="E125" t="str">
        <f>"009941477203"</f>
        <v>009941477203</v>
      </c>
      <c r="F125" s="2">
        <v>44348</v>
      </c>
      <c r="G125">
        <v>202112</v>
      </c>
      <c r="H125" t="s">
        <v>99</v>
      </c>
      <c r="I125" t="s">
        <v>100</v>
      </c>
      <c r="J125" t="s">
        <v>409</v>
      </c>
      <c r="K125" t="s">
        <v>75</v>
      </c>
      <c r="L125" t="s">
        <v>99</v>
      </c>
      <c r="M125" t="s">
        <v>100</v>
      </c>
      <c r="N125" t="s">
        <v>234</v>
      </c>
      <c r="O125" t="s">
        <v>157</v>
      </c>
      <c r="P125" t="str">
        <f>"..                            "</f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13.25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77.13</v>
      </c>
      <c r="BM125">
        <v>11.57</v>
      </c>
      <c r="BN125">
        <v>88.7</v>
      </c>
      <c r="BO125">
        <v>88.7</v>
      </c>
      <c r="BQ125" t="s">
        <v>226</v>
      </c>
      <c r="BR125" t="s">
        <v>410</v>
      </c>
      <c r="BS125" s="2">
        <v>44349</v>
      </c>
      <c r="BT125" s="3">
        <v>0.31944444444444448</v>
      </c>
      <c r="BU125" t="s">
        <v>346</v>
      </c>
      <c r="BV125" t="s">
        <v>79</v>
      </c>
      <c r="BY125">
        <v>1200</v>
      </c>
      <c r="CC125" t="s">
        <v>100</v>
      </c>
      <c r="CD125">
        <v>2000</v>
      </c>
      <c r="CE125" t="s">
        <v>94</v>
      </c>
      <c r="CF125" s="2">
        <v>44349</v>
      </c>
      <c r="CI125">
        <v>1</v>
      </c>
      <c r="CJ125">
        <v>1</v>
      </c>
      <c r="CK125" t="s">
        <v>160</v>
      </c>
      <c r="CL125" t="s">
        <v>80</v>
      </c>
    </row>
    <row r="126" spans="1:90" x14ac:dyDescent="0.25">
      <c r="A126" t="s">
        <v>228</v>
      </c>
      <c r="B126" t="s">
        <v>229</v>
      </c>
      <c r="C126" t="s">
        <v>72</v>
      </c>
      <c r="E126" t="str">
        <f>"009941057300"</f>
        <v>009941057300</v>
      </c>
      <c r="F126" s="2">
        <v>44348</v>
      </c>
      <c r="G126">
        <v>202112</v>
      </c>
      <c r="H126" t="s">
        <v>170</v>
      </c>
      <c r="I126" t="s">
        <v>171</v>
      </c>
      <c r="J126" t="s">
        <v>246</v>
      </c>
      <c r="K126" t="s">
        <v>75</v>
      </c>
      <c r="L126" t="s">
        <v>99</v>
      </c>
      <c r="M126" t="s">
        <v>100</v>
      </c>
      <c r="N126" t="s">
        <v>234</v>
      </c>
      <c r="O126" t="s">
        <v>157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17.66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101.16</v>
      </c>
      <c r="BM126">
        <v>15.17</v>
      </c>
      <c r="BN126">
        <v>116.33</v>
      </c>
      <c r="BO126">
        <v>116.33</v>
      </c>
      <c r="BR126" t="s">
        <v>302</v>
      </c>
      <c r="BS126" s="2">
        <v>44349</v>
      </c>
      <c r="BT126" s="3">
        <v>0.31944444444444448</v>
      </c>
      <c r="BU126" t="s">
        <v>346</v>
      </c>
      <c r="BV126" t="s">
        <v>79</v>
      </c>
      <c r="BY126">
        <v>1200</v>
      </c>
      <c r="CC126" t="s">
        <v>100</v>
      </c>
      <c r="CD126">
        <v>2013</v>
      </c>
      <c r="CE126" t="s">
        <v>94</v>
      </c>
      <c r="CF126" s="2">
        <v>44349</v>
      </c>
      <c r="CI126">
        <v>1</v>
      </c>
      <c r="CJ126">
        <v>1</v>
      </c>
      <c r="CK126" t="s">
        <v>187</v>
      </c>
      <c r="CL126" t="s">
        <v>80</v>
      </c>
    </row>
    <row r="127" spans="1:90" x14ac:dyDescent="0.25">
      <c r="A127" t="s">
        <v>228</v>
      </c>
      <c r="B127" t="s">
        <v>229</v>
      </c>
      <c r="C127" t="s">
        <v>72</v>
      </c>
      <c r="E127" t="str">
        <f>"009940568044"</f>
        <v>009940568044</v>
      </c>
      <c r="F127" s="2">
        <v>44348</v>
      </c>
      <c r="G127">
        <v>202112</v>
      </c>
      <c r="H127" t="s">
        <v>109</v>
      </c>
      <c r="I127" t="s">
        <v>110</v>
      </c>
      <c r="J127" t="s">
        <v>246</v>
      </c>
      <c r="K127" t="s">
        <v>75</v>
      </c>
      <c r="L127" t="s">
        <v>99</v>
      </c>
      <c r="M127" t="s">
        <v>100</v>
      </c>
      <c r="N127" t="s">
        <v>234</v>
      </c>
      <c r="O127" t="s">
        <v>157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19.28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0.4</v>
      </c>
      <c r="BJ127">
        <v>1.8</v>
      </c>
      <c r="BK127">
        <v>2</v>
      </c>
      <c r="BL127">
        <v>109.99</v>
      </c>
      <c r="BM127">
        <v>16.5</v>
      </c>
      <c r="BN127">
        <v>126.49</v>
      </c>
      <c r="BO127">
        <v>126.49</v>
      </c>
      <c r="BQ127" t="s">
        <v>318</v>
      </c>
      <c r="BR127" t="s">
        <v>161</v>
      </c>
      <c r="BS127" s="2">
        <v>44350</v>
      </c>
      <c r="BT127" s="3">
        <v>0.30902777777777779</v>
      </c>
      <c r="BU127" t="s">
        <v>180</v>
      </c>
      <c r="BV127" t="s">
        <v>79</v>
      </c>
      <c r="BY127">
        <v>9071.2000000000007</v>
      </c>
      <c r="CA127" t="s">
        <v>150</v>
      </c>
      <c r="CC127" t="s">
        <v>100</v>
      </c>
      <c r="CD127">
        <v>2013</v>
      </c>
      <c r="CE127" t="s">
        <v>94</v>
      </c>
      <c r="CF127" s="2">
        <v>44350</v>
      </c>
      <c r="CI127">
        <v>2</v>
      </c>
      <c r="CJ127">
        <v>2</v>
      </c>
      <c r="CK127" t="s">
        <v>162</v>
      </c>
      <c r="CL127" t="s">
        <v>80</v>
      </c>
    </row>
    <row r="128" spans="1:90" x14ac:dyDescent="0.25">
      <c r="A128" t="s">
        <v>228</v>
      </c>
      <c r="B128" t="s">
        <v>229</v>
      </c>
      <c r="C128" t="s">
        <v>72</v>
      </c>
      <c r="E128" t="str">
        <f>"009941173720"</f>
        <v>009941173720</v>
      </c>
      <c r="F128" s="2">
        <v>44348</v>
      </c>
      <c r="G128">
        <v>202112</v>
      </c>
      <c r="H128" t="s">
        <v>73</v>
      </c>
      <c r="I128" t="s">
        <v>74</v>
      </c>
      <c r="J128" t="s">
        <v>246</v>
      </c>
      <c r="K128" t="s">
        <v>75</v>
      </c>
      <c r="L128" t="s">
        <v>99</v>
      </c>
      <c r="M128" t="s">
        <v>100</v>
      </c>
      <c r="N128" t="s">
        <v>234</v>
      </c>
      <c r="O128" t="s">
        <v>157</v>
      </c>
      <c r="P128" t="str">
        <f>"NOREF                         "</f>
        <v xml:space="preserve">NOREF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13.25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77.13</v>
      </c>
      <c r="BM128">
        <v>11.57</v>
      </c>
      <c r="BN128">
        <v>88.7</v>
      </c>
      <c r="BO128">
        <v>88.7</v>
      </c>
      <c r="BQ128" t="s">
        <v>161</v>
      </c>
      <c r="BR128" t="s">
        <v>301</v>
      </c>
      <c r="BS128" s="2">
        <v>44349</v>
      </c>
      <c r="BT128" s="3">
        <v>0.4375</v>
      </c>
      <c r="BU128" t="s">
        <v>346</v>
      </c>
      <c r="BV128" t="s">
        <v>79</v>
      </c>
      <c r="BY128">
        <v>1200</v>
      </c>
      <c r="CC128" t="s">
        <v>100</v>
      </c>
      <c r="CD128">
        <v>2000</v>
      </c>
      <c r="CE128" t="s">
        <v>94</v>
      </c>
      <c r="CF128" s="2">
        <v>44349</v>
      </c>
      <c r="CI128">
        <v>0</v>
      </c>
      <c r="CJ128">
        <v>0</v>
      </c>
      <c r="CK128" t="s">
        <v>300</v>
      </c>
      <c r="CL128" t="s">
        <v>80</v>
      </c>
    </row>
    <row r="129" spans="1:90" x14ac:dyDescent="0.25">
      <c r="A129" t="s">
        <v>228</v>
      </c>
      <c r="B129" t="s">
        <v>229</v>
      </c>
      <c r="C129" t="s">
        <v>72</v>
      </c>
      <c r="E129" t="str">
        <f>"009941434399"</f>
        <v>009941434399</v>
      </c>
      <c r="F129" s="2">
        <v>44355</v>
      </c>
      <c r="G129">
        <v>202112</v>
      </c>
      <c r="H129" t="s">
        <v>99</v>
      </c>
      <c r="I129" t="s">
        <v>100</v>
      </c>
      <c r="J129" t="s">
        <v>313</v>
      </c>
      <c r="K129" t="s">
        <v>75</v>
      </c>
      <c r="L129" t="s">
        <v>99</v>
      </c>
      <c r="M129" t="s">
        <v>100</v>
      </c>
      <c r="N129" t="s">
        <v>234</v>
      </c>
      <c r="O129" t="s">
        <v>157</v>
      </c>
      <c r="P129" t="str">
        <f>"..                            "</f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13.54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77.42</v>
      </c>
      <c r="BM129">
        <v>11.61</v>
      </c>
      <c r="BN129">
        <v>89.03</v>
      </c>
      <c r="BO129">
        <v>89.03</v>
      </c>
      <c r="BQ129" t="s">
        <v>226</v>
      </c>
      <c r="BR129" t="s">
        <v>410</v>
      </c>
      <c r="BS129" s="2">
        <v>44356</v>
      </c>
      <c r="BT129" s="3">
        <v>0.3263888888888889</v>
      </c>
      <c r="BU129" t="s">
        <v>180</v>
      </c>
      <c r="BV129" t="s">
        <v>79</v>
      </c>
      <c r="BY129">
        <v>1200</v>
      </c>
      <c r="CA129" t="s">
        <v>150</v>
      </c>
      <c r="CC129" t="s">
        <v>100</v>
      </c>
      <c r="CD129">
        <v>2000</v>
      </c>
      <c r="CE129" t="s">
        <v>94</v>
      </c>
      <c r="CF129" s="2">
        <v>44356</v>
      </c>
      <c r="CI129">
        <v>1</v>
      </c>
      <c r="CJ129">
        <v>1</v>
      </c>
      <c r="CK129" t="s">
        <v>160</v>
      </c>
      <c r="CL129" t="s">
        <v>80</v>
      </c>
    </row>
    <row r="130" spans="1:90" x14ac:dyDescent="0.25">
      <c r="A130" t="s">
        <v>228</v>
      </c>
      <c r="B130" t="s">
        <v>229</v>
      </c>
      <c r="C130" t="s">
        <v>72</v>
      </c>
      <c r="E130" t="str">
        <f>"080010138980"</f>
        <v>080010138980</v>
      </c>
      <c r="F130" s="2">
        <v>44356</v>
      </c>
      <c r="G130">
        <v>202112</v>
      </c>
      <c r="H130" t="s">
        <v>76</v>
      </c>
      <c r="I130" t="s">
        <v>77</v>
      </c>
      <c r="J130" t="s">
        <v>411</v>
      </c>
      <c r="K130" t="s">
        <v>75</v>
      </c>
      <c r="L130" t="s">
        <v>164</v>
      </c>
      <c r="M130" t="s">
        <v>110</v>
      </c>
      <c r="N130" t="s">
        <v>412</v>
      </c>
      <c r="O130" t="s">
        <v>157</v>
      </c>
      <c r="P130" t="str">
        <f t="shared" ref="P130:P135" si="3">"-                             "</f>
        <v xml:space="preserve">-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22.25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6.8</v>
      </c>
      <c r="BJ130">
        <v>17.399999999999999</v>
      </c>
      <c r="BK130">
        <v>18</v>
      </c>
      <c r="BL130">
        <v>123.97</v>
      </c>
      <c r="BM130">
        <v>18.600000000000001</v>
      </c>
      <c r="BN130">
        <v>142.57</v>
      </c>
      <c r="BO130">
        <v>142.57</v>
      </c>
      <c r="BP130" t="s">
        <v>154</v>
      </c>
      <c r="BQ130" t="s">
        <v>209</v>
      </c>
      <c r="BR130" t="s">
        <v>413</v>
      </c>
      <c r="BS130" s="2">
        <v>44358</v>
      </c>
      <c r="BT130" s="3">
        <v>0.64444444444444449</v>
      </c>
      <c r="BU130" t="s">
        <v>414</v>
      </c>
      <c r="BV130" t="s">
        <v>79</v>
      </c>
      <c r="BY130">
        <v>86929.01</v>
      </c>
      <c r="CA130" t="s">
        <v>115</v>
      </c>
      <c r="CC130" t="s">
        <v>110</v>
      </c>
      <c r="CD130">
        <v>7441</v>
      </c>
      <c r="CE130" t="s">
        <v>196</v>
      </c>
      <c r="CF130" s="2">
        <v>44361</v>
      </c>
      <c r="CI130">
        <v>2</v>
      </c>
      <c r="CJ130">
        <v>2</v>
      </c>
      <c r="CK130" t="s">
        <v>162</v>
      </c>
      <c r="CL130" t="s">
        <v>80</v>
      </c>
    </row>
    <row r="131" spans="1:90" x14ac:dyDescent="0.25">
      <c r="A131" t="s">
        <v>228</v>
      </c>
      <c r="B131" t="s">
        <v>229</v>
      </c>
      <c r="C131" t="s">
        <v>72</v>
      </c>
      <c r="E131" t="str">
        <f>"080010139050"</f>
        <v>080010139050</v>
      </c>
      <c r="F131" s="2">
        <v>44356</v>
      </c>
      <c r="G131">
        <v>202112</v>
      </c>
      <c r="H131" t="s">
        <v>76</v>
      </c>
      <c r="I131" t="s">
        <v>77</v>
      </c>
      <c r="J131" t="s">
        <v>411</v>
      </c>
      <c r="K131" t="s">
        <v>75</v>
      </c>
      <c r="L131" t="s">
        <v>99</v>
      </c>
      <c r="M131" t="s">
        <v>100</v>
      </c>
      <c r="N131" t="s">
        <v>415</v>
      </c>
      <c r="O131" t="s">
        <v>157</v>
      </c>
      <c r="P131" t="str">
        <f t="shared" si="3"/>
        <v xml:space="preserve">-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22.6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18.399999999999999</v>
      </c>
      <c r="BJ131">
        <v>34.4</v>
      </c>
      <c r="BK131">
        <v>35</v>
      </c>
      <c r="BL131">
        <v>125.88</v>
      </c>
      <c r="BM131">
        <v>18.88</v>
      </c>
      <c r="BN131">
        <v>144.76</v>
      </c>
      <c r="BO131">
        <v>144.76</v>
      </c>
      <c r="BP131" t="s">
        <v>154</v>
      </c>
      <c r="BQ131" t="s">
        <v>209</v>
      </c>
      <c r="BR131" t="s">
        <v>413</v>
      </c>
      <c r="BS131" s="2">
        <v>44357</v>
      </c>
      <c r="BT131" s="3">
        <v>0.41666666666666669</v>
      </c>
      <c r="BU131" t="s">
        <v>416</v>
      </c>
      <c r="BV131" t="s">
        <v>79</v>
      </c>
      <c r="BY131">
        <v>171893.28</v>
      </c>
      <c r="CA131" t="s">
        <v>417</v>
      </c>
      <c r="CC131" t="s">
        <v>100</v>
      </c>
      <c r="CD131">
        <v>2196</v>
      </c>
      <c r="CE131" t="s">
        <v>196</v>
      </c>
      <c r="CF131" s="2">
        <v>44357</v>
      </c>
      <c r="CI131">
        <v>1</v>
      </c>
      <c r="CJ131">
        <v>1</v>
      </c>
      <c r="CK131" t="s">
        <v>160</v>
      </c>
      <c r="CL131" t="s">
        <v>80</v>
      </c>
    </row>
    <row r="132" spans="1:90" x14ac:dyDescent="0.25">
      <c r="A132" t="s">
        <v>228</v>
      </c>
      <c r="B132" t="s">
        <v>229</v>
      </c>
      <c r="C132" t="s">
        <v>72</v>
      </c>
      <c r="E132" t="str">
        <f>"080010139031"</f>
        <v>080010139031</v>
      </c>
      <c r="F132" s="2">
        <v>44356</v>
      </c>
      <c r="G132">
        <v>202112</v>
      </c>
      <c r="H132" t="s">
        <v>76</v>
      </c>
      <c r="I132" t="s">
        <v>77</v>
      </c>
      <c r="J132" t="s">
        <v>411</v>
      </c>
      <c r="K132" t="s">
        <v>75</v>
      </c>
      <c r="L132" t="s">
        <v>145</v>
      </c>
      <c r="M132" t="s">
        <v>146</v>
      </c>
      <c r="N132" t="s">
        <v>263</v>
      </c>
      <c r="O132" t="s">
        <v>157</v>
      </c>
      <c r="P132" t="str">
        <f t="shared" si="3"/>
        <v xml:space="preserve">-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18.98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13</v>
      </c>
      <c r="BJ132">
        <v>26.5</v>
      </c>
      <c r="BK132">
        <v>27</v>
      </c>
      <c r="BL132">
        <v>106.5</v>
      </c>
      <c r="BM132">
        <v>15.98</v>
      </c>
      <c r="BN132">
        <v>122.48</v>
      </c>
      <c r="BO132">
        <v>122.48</v>
      </c>
      <c r="BP132" t="s">
        <v>154</v>
      </c>
      <c r="BQ132" t="s">
        <v>209</v>
      </c>
      <c r="BR132" t="s">
        <v>413</v>
      </c>
      <c r="BS132" s="2">
        <v>44357</v>
      </c>
      <c r="BT132" s="3">
        <v>0.52430555555555558</v>
      </c>
      <c r="BU132" t="s">
        <v>181</v>
      </c>
      <c r="BV132" t="s">
        <v>79</v>
      </c>
      <c r="BY132">
        <v>132738.04</v>
      </c>
      <c r="CA132" t="s">
        <v>418</v>
      </c>
      <c r="CC132" t="s">
        <v>146</v>
      </c>
      <c r="CD132">
        <v>1682</v>
      </c>
      <c r="CE132" t="s">
        <v>196</v>
      </c>
      <c r="CF132" s="2">
        <v>44358</v>
      </c>
      <c r="CI132">
        <v>1</v>
      </c>
      <c r="CJ132">
        <v>1</v>
      </c>
      <c r="CK132" t="s">
        <v>160</v>
      </c>
      <c r="CL132" t="s">
        <v>80</v>
      </c>
    </row>
    <row r="133" spans="1:90" x14ac:dyDescent="0.25">
      <c r="A133" t="s">
        <v>228</v>
      </c>
      <c r="B133" t="s">
        <v>229</v>
      </c>
      <c r="C133" t="s">
        <v>72</v>
      </c>
      <c r="E133" t="str">
        <f>"080010139024"</f>
        <v>080010139024</v>
      </c>
      <c r="F133" s="2">
        <v>44356</v>
      </c>
      <c r="G133">
        <v>202112</v>
      </c>
      <c r="H133" t="s">
        <v>76</v>
      </c>
      <c r="I133" t="s">
        <v>77</v>
      </c>
      <c r="J133" t="s">
        <v>411</v>
      </c>
      <c r="K133" t="s">
        <v>75</v>
      </c>
      <c r="L133" t="s">
        <v>99</v>
      </c>
      <c r="M133" t="s">
        <v>100</v>
      </c>
      <c r="N133" t="s">
        <v>419</v>
      </c>
      <c r="O133" t="s">
        <v>157</v>
      </c>
      <c r="P133" t="str">
        <f t="shared" si="3"/>
        <v xml:space="preserve">-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19.89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13.1</v>
      </c>
      <c r="BJ133">
        <v>28.3</v>
      </c>
      <c r="BK133">
        <v>29</v>
      </c>
      <c r="BL133">
        <v>111.35</v>
      </c>
      <c r="BM133">
        <v>16.7</v>
      </c>
      <c r="BN133">
        <v>128.05000000000001</v>
      </c>
      <c r="BO133">
        <v>128.05000000000001</v>
      </c>
      <c r="BP133" t="s">
        <v>154</v>
      </c>
      <c r="BQ133" t="s">
        <v>209</v>
      </c>
      <c r="BR133" t="s">
        <v>413</v>
      </c>
      <c r="BS133" s="2">
        <v>44357</v>
      </c>
      <c r="BT133" s="3">
        <v>0.4465277777777778</v>
      </c>
      <c r="BU133" t="s">
        <v>420</v>
      </c>
      <c r="BV133" t="s">
        <v>79</v>
      </c>
      <c r="BY133">
        <v>141603.23000000001</v>
      </c>
      <c r="CA133" t="s">
        <v>190</v>
      </c>
      <c r="CC133" t="s">
        <v>100</v>
      </c>
      <c r="CD133">
        <v>2007</v>
      </c>
      <c r="CE133" t="s">
        <v>196</v>
      </c>
      <c r="CF133" s="2">
        <v>44357</v>
      </c>
      <c r="CI133">
        <v>1</v>
      </c>
      <c r="CJ133">
        <v>1</v>
      </c>
      <c r="CK133" t="s">
        <v>160</v>
      </c>
      <c r="CL133" t="s">
        <v>80</v>
      </c>
    </row>
    <row r="134" spans="1:90" x14ac:dyDescent="0.25">
      <c r="A134" t="s">
        <v>228</v>
      </c>
      <c r="B134" t="s">
        <v>229</v>
      </c>
      <c r="C134" t="s">
        <v>72</v>
      </c>
      <c r="E134" t="str">
        <f>"080010138962"</f>
        <v>080010138962</v>
      </c>
      <c r="F134" s="2">
        <v>44356</v>
      </c>
      <c r="G134">
        <v>202112</v>
      </c>
      <c r="H134" t="s">
        <v>76</v>
      </c>
      <c r="I134" t="s">
        <v>77</v>
      </c>
      <c r="J134" t="s">
        <v>411</v>
      </c>
      <c r="K134" t="s">
        <v>75</v>
      </c>
      <c r="L134" t="s">
        <v>193</v>
      </c>
      <c r="M134" t="s">
        <v>194</v>
      </c>
      <c r="N134" t="s">
        <v>340</v>
      </c>
      <c r="O134" t="s">
        <v>157</v>
      </c>
      <c r="P134" t="str">
        <f t="shared" si="3"/>
        <v xml:space="preserve">-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37.44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17.3</v>
      </c>
      <c r="BJ134">
        <v>35.299999999999997</v>
      </c>
      <c r="BK134">
        <v>36</v>
      </c>
      <c r="BL134">
        <v>205.22</v>
      </c>
      <c r="BM134">
        <v>30.78</v>
      </c>
      <c r="BN134">
        <v>236</v>
      </c>
      <c r="BO134">
        <v>236</v>
      </c>
      <c r="BP134" t="s">
        <v>154</v>
      </c>
      <c r="BQ134" t="s">
        <v>209</v>
      </c>
      <c r="BR134" t="s">
        <v>413</v>
      </c>
      <c r="BS134" s="2">
        <v>44357</v>
      </c>
      <c r="BT134" s="3">
        <v>0.59722222222222221</v>
      </c>
      <c r="BU134" t="s">
        <v>421</v>
      </c>
      <c r="BV134" t="s">
        <v>79</v>
      </c>
      <c r="BY134">
        <v>176657.52</v>
      </c>
      <c r="CA134" t="s">
        <v>132</v>
      </c>
      <c r="CC134" t="s">
        <v>194</v>
      </c>
      <c r="CD134">
        <v>4420</v>
      </c>
      <c r="CE134" t="s">
        <v>422</v>
      </c>
      <c r="CF134" s="2">
        <v>44358</v>
      </c>
      <c r="CI134">
        <v>1</v>
      </c>
      <c r="CJ134">
        <v>1</v>
      </c>
      <c r="CK134" t="s">
        <v>165</v>
      </c>
      <c r="CL134" t="s">
        <v>80</v>
      </c>
    </row>
    <row r="135" spans="1:90" x14ac:dyDescent="0.25">
      <c r="A135" t="s">
        <v>228</v>
      </c>
      <c r="B135" t="s">
        <v>229</v>
      </c>
      <c r="C135" t="s">
        <v>72</v>
      </c>
      <c r="E135" t="str">
        <f>"080010138990"</f>
        <v>080010138990</v>
      </c>
      <c r="F135" s="2">
        <v>44356</v>
      </c>
      <c r="G135">
        <v>202112</v>
      </c>
      <c r="H135" t="s">
        <v>76</v>
      </c>
      <c r="I135" t="s">
        <v>77</v>
      </c>
      <c r="J135" t="s">
        <v>411</v>
      </c>
      <c r="K135" t="s">
        <v>75</v>
      </c>
      <c r="L135" t="s">
        <v>89</v>
      </c>
      <c r="M135" t="s">
        <v>90</v>
      </c>
      <c r="N135" t="s">
        <v>600</v>
      </c>
      <c r="O135" t="s">
        <v>157</v>
      </c>
      <c r="P135" t="str">
        <f t="shared" si="3"/>
        <v xml:space="preserve">-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19.71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5.3</v>
      </c>
      <c r="BJ135">
        <v>12.5</v>
      </c>
      <c r="BK135">
        <v>13</v>
      </c>
      <c r="BL135">
        <v>110.42</v>
      </c>
      <c r="BM135">
        <v>16.559999999999999</v>
      </c>
      <c r="BN135">
        <v>126.98</v>
      </c>
      <c r="BO135">
        <v>126.98</v>
      </c>
      <c r="BP135" t="s">
        <v>154</v>
      </c>
      <c r="BQ135" t="s">
        <v>209</v>
      </c>
      <c r="BR135" t="s">
        <v>413</v>
      </c>
      <c r="BS135" s="2">
        <v>44358</v>
      </c>
      <c r="BT135" s="3">
        <v>0.50694444444444442</v>
      </c>
      <c r="BU135" t="s">
        <v>423</v>
      </c>
      <c r="BV135" t="s">
        <v>79</v>
      </c>
      <c r="BY135">
        <v>62659.31</v>
      </c>
      <c r="CA135" t="s">
        <v>172</v>
      </c>
      <c r="CC135" t="s">
        <v>90</v>
      </c>
      <c r="CD135">
        <v>6000</v>
      </c>
      <c r="CE135" t="s">
        <v>196</v>
      </c>
      <c r="CF135" s="2">
        <v>44358</v>
      </c>
      <c r="CI135">
        <v>2</v>
      </c>
      <c r="CJ135">
        <v>2</v>
      </c>
      <c r="CK135" t="s">
        <v>162</v>
      </c>
      <c r="CL135" t="s">
        <v>80</v>
      </c>
    </row>
    <row r="136" spans="1:90" x14ac:dyDescent="0.25">
      <c r="A136" t="s">
        <v>228</v>
      </c>
      <c r="B136" t="s">
        <v>229</v>
      </c>
      <c r="C136" t="s">
        <v>72</v>
      </c>
      <c r="E136" t="str">
        <f>"009940568045"</f>
        <v>009940568045</v>
      </c>
      <c r="F136" s="2">
        <v>44355</v>
      </c>
      <c r="G136">
        <v>202112</v>
      </c>
      <c r="H136" t="s">
        <v>109</v>
      </c>
      <c r="I136" t="s">
        <v>110</v>
      </c>
      <c r="J136" t="s">
        <v>246</v>
      </c>
      <c r="K136" t="s">
        <v>75</v>
      </c>
      <c r="L136" t="s">
        <v>99</v>
      </c>
      <c r="M136" t="s">
        <v>100</v>
      </c>
      <c r="N136" t="s">
        <v>234</v>
      </c>
      <c r="O136" t="s">
        <v>157</v>
      </c>
      <c r="P136" t="str">
        <f>"NA                            "</f>
        <v xml:space="preserve">NA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19.71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0.4</v>
      </c>
      <c r="BJ136">
        <v>2.2999999999999998</v>
      </c>
      <c r="BK136">
        <v>3</v>
      </c>
      <c r="BL136">
        <v>110.42</v>
      </c>
      <c r="BM136">
        <v>16.559999999999999</v>
      </c>
      <c r="BN136">
        <v>126.98</v>
      </c>
      <c r="BO136">
        <v>126.98</v>
      </c>
      <c r="BQ136" t="s">
        <v>318</v>
      </c>
      <c r="BS136" s="2">
        <v>44356</v>
      </c>
      <c r="BT136" s="3">
        <v>0.3215277777777778</v>
      </c>
      <c r="BU136" t="s">
        <v>180</v>
      </c>
      <c r="BV136" t="s">
        <v>79</v>
      </c>
      <c r="BY136">
        <v>11295.38</v>
      </c>
      <c r="CA136" t="s">
        <v>150</v>
      </c>
      <c r="CC136" t="s">
        <v>100</v>
      </c>
      <c r="CD136">
        <v>2013</v>
      </c>
      <c r="CE136" t="s">
        <v>94</v>
      </c>
      <c r="CF136" s="2">
        <v>44356</v>
      </c>
      <c r="CI136">
        <v>2</v>
      </c>
      <c r="CJ136">
        <v>1</v>
      </c>
      <c r="CK136" t="s">
        <v>162</v>
      </c>
      <c r="CL136" t="s">
        <v>80</v>
      </c>
    </row>
    <row r="137" spans="1:90" x14ac:dyDescent="0.25">
      <c r="A137" t="s">
        <v>228</v>
      </c>
      <c r="B137" t="s">
        <v>229</v>
      </c>
      <c r="C137" t="s">
        <v>72</v>
      </c>
      <c r="E137" t="str">
        <f>"009940923956"</f>
        <v>009940923956</v>
      </c>
      <c r="F137" s="2">
        <v>44358</v>
      </c>
      <c r="G137">
        <v>202112</v>
      </c>
      <c r="H137" t="s">
        <v>76</v>
      </c>
      <c r="I137" t="s">
        <v>77</v>
      </c>
      <c r="J137" t="s">
        <v>411</v>
      </c>
      <c r="K137" t="s">
        <v>75</v>
      </c>
      <c r="L137" t="s">
        <v>95</v>
      </c>
      <c r="M137" t="s">
        <v>96</v>
      </c>
      <c r="N137" t="s">
        <v>602</v>
      </c>
      <c r="O137" t="s">
        <v>173</v>
      </c>
      <c r="P137" t="str">
        <f>"PAQ16151401                   "</f>
        <v xml:space="preserve">PAQ16151401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437.5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141.54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</v>
      </c>
      <c r="BJ137">
        <v>8.1</v>
      </c>
      <c r="BK137">
        <v>8.5</v>
      </c>
      <c r="BL137">
        <v>756.89</v>
      </c>
      <c r="BM137">
        <v>113.53</v>
      </c>
      <c r="BN137">
        <v>870.42</v>
      </c>
      <c r="BO137">
        <v>870.42</v>
      </c>
      <c r="BP137" t="s">
        <v>424</v>
      </c>
      <c r="BR137" t="s">
        <v>425</v>
      </c>
      <c r="BS137" s="2">
        <v>44358</v>
      </c>
      <c r="BT137" s="3">
        <v>0.27083333333333331</v>
      </c>
      <c r="BU137" t="s">
        <v>426</v>
      </c>
      <c r="BV137" t="s">
        <v>79</v>
      </c>
      <c r="BY137">
        <v>40500</v>
      </c>
      <c r="BZ137" t="s">
        <v>174</v>
      </c>
      <c r="CA137" t="s">
        <v>82</v>
      </c>
      <c r="CC137" t="s">
        <v>96</v>
      </c>
      <c r="CD137">
        <v>3610</v>
      </c>
      <c r="CE137" t="s">
        <v>94</v>
      </c>
      <c r="CF137" s="2">
        <v>44361</v>
      </c>
      <c r="CI137">
        <v>0</v>
      </c>
      <c r="CJ137">
        <v>0</v>
      </c>
      <c r="CK137">
        <v>21</v>
      </c>
      <c r="CL137" t="s">
        <v>80</v>
      </c>
    </row>
    <row r="138" spans="1:90" x14ac:dyDescent="0.25">
      <c r="A138" t="s">
        <v>228</v>
      </c>
      <c r="B138" t="s">
        <v>229</v>
      </c>
      <c r="C138" t="s">
        <v>72</v>
      </c>
      <c r="E138" t="str">
        <f>"009941516551"</f>
        <v>009941516551</v>
      </c>
      <c r="F138" s="2">
        <v>44357</v>
      </c>
      <c r="G138">
        <v>202112</v>
      </c>
      <c r="H138" t="s">
        <v>145</v>
      </c>
      <c r="I138" t="s">
        <v>146</v>
      </c>
      <c r="J138" t="s">
        <v>263</v>
      </c>
      <c r="K138" t="s">
        <v>75</v>
      </c>
      <c r="L138" t="s">
        <v>99</v>
      </c>
      <c r="M138" t="s">
        <v>100</v>
      </c>
      <c r="N138" t="s">
        <v>234</v>
      </c>
      <c r="O138" t="s">
        <v>78</v>
      </c>
      <c r="P138" t="str">
        <f>"..                            "</f>
        <v xml:space="preserve">..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7.52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40.229999999999997</v>
      </c>
      <c r="BM138">
        <v>6.03</v>
      </c>
      <c r="BN138">
        <v>46.26</v>
      </c>
      <c r="BO138">
        <v>46.26</v>
      </c>
      <c r="BQ138" t="s">
        <v>264</v>
      </c>
      <c r="BR138" t="s">
        <v>368</v>
      </c>
      <c r="BS138" s="2">
        <v>44358</v>
      </c>
      <c r="BT138" s="3">
        <v>0.31180555555555556</v>
      </c>
      <c r="BU138" t="s">
        <v>180</v>
      </c>
      <c r="BV138" t="s">
        <v>79</v>
      </c>
      <c r="BY138">
        <v>1200</v>
      </c>
      <c r="BZ138" t="s">
        <v>81</v>
      </c>
      <c r="CA138" t="s">
        <v>150</v>
      </c>
      <c r="CC138" t="s">
        <v>100</v>
      </c>
      <c r="CD138">
        <v>2000</v>
      </c>
      <c r="CE138" t="s">
        <v>94</v>
      </c>
      <c r="CF138" s="2">
        <v>44358</v>
      </c>
      <c r="CI138">
        <v>1</v>
      </c>
      <c r="CJ138">
        <v>1</v>
      </c>
      <c r="CK138">
        <v>22</v>
      </c>
      <c r="CL138" t="s">
        <v>80</v>
      </c>
    </row>
    <row r="139" spans="1:90" x14ac:dyDescent="0.25">
      <c r="A139" t="s">
        <v>228</v>
      </c>
      <c r="B139" t="s">
        <v>229</v>
      </c>
      <c r="C139" t="s">
        <v>72</v>
      </c>
      <c r="E139" t="str">
        <f>"009941497973"</f>
        <v>009941497973</v>
      </c>
      <c r="F139" s="2">
        <v>44357</v>
      </c>
      <c r="G139">
        <v>202112</v>
      </c>
      <c r="H139" t="s">
        <v>97</v>
      </c>
      <c r="I139" t="s">
        <v>98</v>
      </c>
      <c r="J139" t="s">
        <v>246</v>
      </c>
      <c r="K139" t="s">
        <v>75</v>
      </c>
      <c r="L139" t="s">
        <v>99</v>
      </c>
      <c r="M139" t="s">
        <v>100</v>
      </c>
      <c r="N139" t="s">
        <v>234</v>
      </c>
      <c r="O139" t="s">
        <v>78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9.6300000000000008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51.5</v>
      </c>
      <c r="BM139">
        <v>7.73</v>
      </c>
      <c r="BN139">
        <v>59.23</v>
      </c>
      <c r="BO139">
        <v>59.23</v>
      </c>
      <c r="BR139" t="s">
        <v>209</v>
      </c>
      <c r="BS139" s="2">
        <v>44358</v>
      </c>
      <c r="BT139" s="3">
        <v>0.31388888888888888</v>
      </c>
      <c r="BU139" t="s">
        <v>180</v>
      </c>
      <c r="BV139" t="s">
        <v>79</v>
      </c>
      <c r="BY139">
        <v>1200</v>
      </c>
      <c r="BZ139" t="s">
        <v>81</v>
      </c>
      <c r="CA139" t="s">
        <v>150</v>
      </c>
      <c r="CC139" t="s">
        <v>100</v>
      </c>
      <c r="CD139">
        <v>2013</v>
      </c>
      <c r="CE139" t="s">
        <v>94</v>
      </c>
      <c r="CF139" s="2">
        <v>44358</v>
      </c>
      <c r="CI139">
        <v>1</v>
      </c>
      <c r="CJ139">
        <v>1</v>
      </c>
      <c r="CK139">
        <v>21</v>
      </c>
      <c r="CL139" t="s">
        <v>80</v>
      </c>
    </row>
    <row r="140" spans="1:90" x14ac:dyDescent="0.25">
      <c r="A140" t="s">
        <v>228</v>
      </c>
      <c r="B140" t="s">
        <v>229</v>
      </c>
      <c r="C140" t="s">
        <v>72</v>
      </c>
      <c r="E140" t="str">
        <f>"009941026555"</f>
        <v>009941026555</v>
      </c>
      <c r="F140" s="2">
        <v>44358</v>
      </c>
      <c r="G140">
        <v>202112</v>
      </c>
      <c r="H140" t="s">
        <v>99</v>
      </c>
      <c r="I140" t="s">
        <v>100</v>
      </c>
      <c r="J140" t="s">
        <v>230</v>
      </c>
      <c r="K140" t="s">
        <v>75</v>
      </c>
      <c r="L140" t="s">
        <v>145</v>
      </c>
      <c r="M140" t="s">
        <v>146</v>
      </c>
      <c r="N140" t="s">
        <v>427</v>
      </c>
      <c r="O140" t="s">
        <v>183</v>
      </c>
      <c r="P140" t="str">
        <f>"..                            "</f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7.52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1.3</v>
      </c>
      <c r="BK140">
        <v>2</v>
      </c>
      <c r="BL140">
        <v>40.229999999999997</v>
      </c>
      <c r="BM140">
        <v>6.03</v>
      </c>
      <c r="BN140">
        <v>46.26</v>
      </c>
      <c r="BO140">
        <v>46.26</v>
      </c>
      <c r="BQ140" t="s">
        <v>428</v>
      </c>
      <c r="BR140" t="s">
        <v>232</v>
      </c>
      <c r="BS140" s="2">
        <v>44361</v>
      </c>
      <c r="BT140" s="3">
        <v>0.52569444444444446</v>
      </c>
      <c r="BU140" t="s">
        <v>429</v>
      </c>
      <c r="BV140" t="s">
        <v>79</v>
      </c>
      <c r="BY140">
        <v>6352.99</v>
      </c>
      <c r="BZ140" t="s">
        <v>202</v>
      </c>
      <c r="CA140" t="s">
        <v>208</v>
      </c>
      <c r="CC140" t="s">
        <v>146</v>
      </c>
      <c r="CD140">
        <v>1682</v>
      </c>
      <c r="CE140" t="s">
        <v>94</v>
      </c>
      <c r="CF140" s="2">
        <v>44361</v>
      </c>
      <c r="CI140">
        <v>1</v>
      </c>
      <c r="CJ140">
        <v>1</v>
      </c>
      <c r="CK140">
        <v>32</v>
      </c>
      <c r="CL140" t="s">
        <v>80</v>
      </c>
    </row>
    <row r="141" spans="1:90" x14ac:dyDescent="0.25">
      <c r="A141" t="s">
        <v>228</v>
      </c>
      <c r="B141" t="s">
        <v>229</v>
      </c>
      <c r="C141" t="s">
        <v>72</v>
      </c>
      <c r="E141" t="str">
        <f>"009941548396"</f>
        <v>009941548396</v>
      </c>
      <c r="F141" s="2">
        <v>44358</v>
      </c>
      <c r="G141">
        <v>202112</v>
      </c>
      <c r="H141" t="s">
        <v>99</v>
      </c>
      <c r="I141" t="s">
        <v>100</v>
      </c>
      <c r="J141" t="s">
        <v>234</v>
      </c>
      <c r="K141" t="s">
        <v>75</v>
      </c>
      <c r="L141" t="s">
        <v>97</v>
      </c>
      <c r="M141" t="s">
        <v>98</v>
      </c>
      <c r="N141" t="s">
        <v>234</v>
      </c>
      <c r="O141" t="s">
        <v>78</v>
      </c>
      <c r="P141" t="str">
        <f>"..                            "</f>
        <v xml:space="preserve">..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9.6300000000000008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51.5</v>
      </c>
      <c r="BM141">
        <v>7.73</v>
      </c>
      <c r="BN141">
        <v>59.23</v>
      </c>
      <c r="BO141">
        <v>59.23</v>
      </c>
      <c r="BQ141" t="s">
        <v>430</v>
      </c>
      <c r="BR141" t="s">
        <v>236</v>
      </c>
      <c r="BS141" s="2">
        <v>44361</v>
      </c>
      <c r="BT141" s="3">
        <v>0.32083333333333336</v>
      </c>
      <c r="BU141" t="s">
        <v>431</v>
      </c>
      <c r="BV141" t="s">
        <v>79</v>
      </c>
      <c r="BY141">
        <v>1200</v>
      </c>
      <c r="BZ141" t="s">
        <v>81</v>
      </c>
      <c r="CA141" t="s">
        <v>211</v>
      </c>
      <c r="CC141" t="s">
        <v>98</v>
      </c>
      <c r="CD141">
        <v>3629</v>
      </c>
      <c r="CE141" t="s">
        <v>94</v>
      </c>
      <c r="CF141" s="2">
        <v>44361</v>
      </c>
      <c r="CI141">
        <v>1</v>
      </c>
      <c r="CJ141">
        <v>1</v>
      </c>
      <c r="CK141">
        <v>21</v>
      </c>
      <c r="CL141" t="s">
        <v>80</v>
      </c>
    </row>
    <row r="142" spans="1:90" x14ac:dyDescent="0.25">
      <c r="A142" t="s">
        <v>228</v>
      </c>
      <c r="B142" t="s">
        <v>229</v>
      </c>
      <c r="C142" t="s">
        <v>72</v>
      </c>
      <c r="E142" t="str">
        <f>"080010139066"</f>
        <v>080010139066</v>
      </c>
      <c r="F142" s="2">
        <v>44356</v>
      </c>
      <c r="G142">
        <v>202112</v>
      </c>
      <c r="H142" t="s">
        <v>76</v>
      </c>
      <c r="I142" t="s">
        <v>77</v>
      </c>
      <c r="J142" t="s">
        <v>411</v>
      </c>
      <c r="K142" t="s">
        <v>75</v>
      </c>
      <c r="L142" t="s">
        <v>89</v>
      </c>
      <c r="M142" t="s">
        <v>90</v>
      </c>
      <c r="N142" t="s">
        <v>294</v>
      </c>
      <c r="O142" t="s">
        <v>157</v>
      </c>
      <c r="P142" t="str">
        <f>"-                             "</f>
        <v xml:space="preserve">-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22.25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9.5</v>
      </c>
      <c r="BJ142">
        <v>17.5</v>
      </c>
      <c r="BK142">
        <v>18</v>
      </c>
      <c r="BL142">
        <v>123.97</v>
      </c>
      <c r="BM142">
        <v>18.600000000000001</v>
      </c>
      <c r="BN142">
        <v>142.57</v>
      </c>
      <c r="BO142">
        <v>142.57</v>
      </c>
      <c r="BP142" t="s">
        <v>154</v>
      </c>
      <c r="BQ142" t="s">
        <v>209</v>
      </c>
      <c r="BR142" t="s">
        <v>413</v>
      </c>
      <c r="BS142" s="2">
        <v>44358</v>
      </c>
      <c r="BT142" s="3">
        <v>0.41875000000000001</v>
      </c>
      <c r="BU142" t="s">
        <v>432</v>
      </c>
      <c r="BV142" t="s">
        <v>79</v>
      </c>
      <c r="BY142">
        <v>87356.88</v>
      </c>
      <c r="CA142" t="s">
        <v>433</v>
      </c>
      <c r="CC142" t="s">
        <v>90</v>
      </c>
      <c r="CD142">
        <v>6070</v>
      </c>
      <c r="CE142" t="s">
        <v>196</v>
      </c>
      <c r="CF142" s="2">
        <v>44358</v>
      </c>
      <c r="CI142">
        <v>2</v>
      </c>
      <c r="CJ142">
        <v>2</v>
      </c>
      <c r="CK142" t="s">
        <v>162</v>
      </c>
      <c r="CL142" t="s">
        <v>80</v>
      </c>
    </row>
    <row r="143" spans="1:90" x14ac:dyDescent="0.25">
      <c r="A143" t="s">
        <v>228</v>
      </c>
      <c r="B143" t="s">
        <v>229</v>
      </c>
      <c r="C143" t="s">
        <v>72</v>
      </c>
      <c r="E143" t="str">
        <f>"080010139062"</f>
        <v>080010139062</v>
      </c>
      <c r="F143" s="2">
        <v>44356</v>
      </c>
      <c r="G143">
        <v>202112</v>
      </c>
      <c r="H143" t="s">
        <v>76</v>
      </c>
      <c r="I143" t="s">
        <v>77</v>
      </c>
      <c r="J143" t="s">
        <v>411</v>
      </c>
      <c r="K143" t="s">
        <v>75</v>
      </c>
      <c r="L143" t="s">
        <v>151</v>
      </c>
      <c r="M143" t="s">
        <v>152</v>
      </c>
      <c r="N143" t="s">
        <v>274</v>
      </c>
      <c r="O143" t="s">
        <v>157</v>
      </c>
      <c r="P143" t="str">
        <f>"-                             "</f>
        <v xml:space="preserve">-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16.55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5.0999999999999996</v>
      </c>
      <c r="BJ143">
        <v>12.3</v>
      </c>
      <c r="BK143">
        <v>13</v>
      </c>
      <c r="BL143">
        <v>93.51</v>
      </c>
      <c r="BM143">
        <v>14.03</v>
      </c>
      <c r="BN143">
        <v>107.54</v>
      </c>
      <c r="BO143">
        <v>107.54</v>
      </c>
      <c r="BP143" t="s">
        <v>154</v>
      </c>
      <c r="BQ143" t="s">
        <v>209</v>
      </c>
      <c r="BR143" t="s">
        <v>413</v>
      </c>
      <c r="BS143" s="2">
        <v>44357</v>
      </c>
      <c r="BT143" s="3">
        <v>0.4368055555555555</v>
      </c>
      <c r="BU143" t="s">
        <v>434</v>
      </c>
      <c r="BV143" t="s">
        <v>79</v>
      </c>
      <c r="BY143">
        <v>61540.35</v>
      </c>
      <c r="CA143" t="s">
        <v>153</v>
      </c>
      <c r="CC143" t="s">
        <v>152</v>
      </c>
      <c r="CD143">
        <v>1900</v>
      </c>
      <c r="CE143" t="s">
        <v>196</v>
      </c>
      <c r="CF143" s="2">
        <v>44358</v>
      </c>
      <c r="CI143">
        <v>1</v>
      </c>
      <c r="CJ143">
        <v>1</v>
      </c>
      <c r="CK143" t="s">
        <v>186</v>
      </c>
      <c r="CL143" t="s">
        <v>80</v>
      </c>
    </row>
    <row r="144" spans="1:90" x14ac:dyDescent="0.25">
      <c r="A144" t="s">
        <v>228</v>
      </c>
      <c r="B144" t="s">
        <v>229</v>
      </c>
      <c r="C144" t="s">
        <v>72</v>
      </c>
      <c r="E144" t="str">
        <f>"080010139092"</f>
        <v>080010139092</v>
      </c>
      <c r="F144" s="2">
        <v>44356</v>
      </c>
      <c r="G144">
        <v>202112</v>
      </c>
      <c r="H144" t="s">
        <v>76</v>
      </c>
      <c r="I144" t="s">
        <v>77</v>
      </c>
      <c r="J144" t="s">
        <v>411</v>
      </c>
      <c r="K144" t="s">
        <v>75</v>
      </c>
      <c r="L144" t="s">
        <v>170</v>
      </c>
      <c r="M144" t="s">
        <v>171</v>
      </c>
      <c r="N144" t="s">
        <v>435</v>
      </c>
      <c r="O144" t="s">
        <v>157</v>
      </c>
      <c r="P144" t="str">
        <f>".                             "</f>
        <v xml:space="preserve">.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15.25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6.7</v>
      </c>
      <c r="BJ144">
        <v>17.8</v>
      </c>
      <c r="BK144">
        <v>18</v>
      </c>
      <c r="BL144">
        <v>86.57</v>
      </c>
      <c r="BM144">
        <v>12.99</v>
      </c>
      <c r="BN144">
        <v>99.56</v>
      </c>
      <c r="BO144">
        <v>99.56</v>
      </c>
      <c r="BP144" t="s">
        <v>154</v>
      </c>
      <c r="BQ144" t="s">
        <v>436</v>
      </c>
      <c r="BR144" t="s">
        <v>413</v>
      </c>
      <c r="BS144" s="2">
        <v>44357</v>
      </c>
      <c r="BT144" s="3">
        <v>0.42708333333333331</v>
      </c>
      <c r="BU144" t="s">
        <v>212</v>
      </c>
      <c r="BV144" t="s">
        <v>79</v>
      </c>
      <c r="BY144">
        <v>88997.43</v>
      </c>
      <c r="CA144" t="s">
        <v>437</v>
      </c>
      <c r="CC144" t="s">
        <v>171</v>
      </c>
      <c r="CD144">
        <v>700</v>
      </c>
      <c r="CE144" t="s">
        <v>196</v>
      </c>
      <c r="CF144" s="2">
        <v>44357</v>
      </c>
      <c r="CI144">
        <v>1</v>
      </c>
      <c r="CJ144">
        <v>1</v>
      </c>
      <c r="CK144" t="s">
        <v>377</v>
      </c>
      <c r="CL144" t="s">
        <v>80</v>
      </c>
    </row>
    <row r="145" spans="1:90" x14ac:dyDescent="0.25">
      <c r="A145" t="s">
        <v>228</v>
      </c>
      <c r="B145" t="s">
        <v>229</v>
      </c>
      <c r="C145" t="s">
        <v>72</v>
      </c>
      <c r="E145" t="str">
        <f>"080010139087"</f>
        <v>080010139087</v>
      </c>
      <c r="F145" s="2">
        <v>44356</v>
      </c>
      <c r="G145">
        <v>202112</v>
      </c>
      <c r="H145" t="s">
        <v>76</v>
      </c>
      <c r="I145" t="s">
        <v>77</v>
      </c>
      <c r="J145" t="s">
        <v>411</v>
      </c>
      <c r="K145" t="s">
        <v>75</v>
      </c>
      <c r="L145" t="s">
        <v>73</v>
      </c>
      <c r="M145" t="s">
        <v>74</v>
      </c>
      <c r="N145" t="s">
        <v>438</v>
      </c>
      <c r="O145" t="s">
        <v>157</v>
      </c>
      <c r="P145" t="str">
        <f>".                             "</f>
        <v xml:space="preserve">.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19.12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5.2</v>
      </c>
      <c r="BJ145">
        <v>19.100000000000001</v>
      </c>
      <c r="BK145">
        <v>20</v>
      </c>
      <c r="BL145">
        <v>107.23</v>
      </c>
      <c r="BM145">
        <v>16.079999999999998</v>
      </c>
      <c r="BN145">
        <v>123.31</v>
      </c>
      <c r="BO145">
        <v>123.31</v>
      </c>
      <c r="BP145" t="s">
        <v>154</v>
      </c>
      <c r="BQ145" t="s">
        <v>436</v>
      </c>
      <c r="BR145" t="s">
        <v>413</v>
      </c>
      <c r="BS145" s="2">
        <v>44357</v>
      </c>
      <c r="BT145" s="3">
        <v>0.54722222222222217</v>
      </c>
      <c r="BU145" t="s">
        <v>439</v>
      </c>
      <c r="BV145" t="s">
        <v>79</v>
      </c>
      <c r="BY145">
        <v>95524.78</v>
      </c>
      <c r="CA145" t="s">
        <v>184</v>
      </c>
      <c r="CC145" t="s">
        <v>74</v>
      </c>
      <c r="CD145">
        <v>181</v>
      </c>
      <c r="CE145" t="s">
        <v>196</v>
      </c>
      <c r="CF145" s="2">
        <v>44357</v>
      </c>
      <c r="CI145">
        <v>1</v>
      </c>
      <c r="CJ145">
        <v>1</v>
      </c>
      <c r="CK145" t="s">
        <v>186</v>
      </c>
      <c r="CL145" t="s">
        <v>80</v>
      </c>
    </row>
    <row r="146" spans="1:90" x14ac:dyDescent="0.25">
      <c r="A146" t="s">
        <v>228</v>
      </c>
      <c r="B146" t="s">
        <v>229</v>
      </c>
      <c r="C146" t="s">
        <v>72</v>
      </c>
      <c r="E146" t="str">
        <f>"080010139014"</f>
        <v>080010139014</v>
      </c>
      <c r="F146" s="2">
        <v>44356</v>
      </c>
      <c r="G146">
        <v>202112</v>
      </c>
      <c r="H146" t="s">
        <v>76</v>
      </c>
      <c r="I146" t="s">
        <v>77</v>
      </c>
      <c r="J146" t="s">
        <v>411</v>
      </c>
      <c r="K146" t="s">
        <v>75</v>
      </c>
      <c r="L146" t="s">
        <v>168</v>
      </c>
      <c r="M146" t="s">
        <v>169</v>
      </c>
      <c r="N146" t="s">
        <v>440</v>
      </c>
      <c r="O146" t="s">
        <v>157</v>
      </c>
      <c r="P146" t="str">
        <f>"-                             "</f>
        <v xml:space="preserve">-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14.9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9.9</v>
      </c>
      <c r="BJ146">
        <v>17.7</v>
      </c>
      <c r="BK146">
        <v>18</v>
      </c>
      <c r="BL146">
        <v>84.69</v>
      </c>
      <c r="BM146">
        <v>12.7</v>
      </c>
      <c r="BN146">
        <v>97.39</v>
      </c>
      <c r="BO146">
        <v>97.39</v>
      </c>
      <c r="BP146" t="s">
        <v>154</v>
      </c>
      <c r="BQ146" t="s">
        <v>209</v>
      </c>
      <c r="BR146" t="s">
        <v>413</v>
      </c>
      <c r="BS146" s="2">
        <v>44357</v>
      </c>
      <c r="BT146" s="3">
        <v>0.52916666666666667</v>
      </c>
      <c r="BU146" t="s">
        <v>441</v>
      </c>
      <c r="BV146" t="s">
        <v>79</v>
      </c>
      <c r="BY146">
        <v>88465.82</v>
      </c>
      <c r="CA146" t="s">
        <v>227</v>
      </c>
      <c r="CC146" t="s">
        <v>169</v>
      </c>
      <c r="CD146">
        <v>1724</v>
      </c>
      <c r="CE146" t="s">
        <v>196</v>
      </c>
      <c r="CF146" s="2">
        <v>44357</v>
      </c>
      <c r="CI146">
        <v>1</v>
      </c>
      <c r="CJ146">
        <v>1</v>
      </c>
      <c r="CK146" t="s">
        <v>160</v>
      </c>
      <c r="CL146" t="s">
        <v>80</v>
      </c>
    </row>
    <row r="147" spans="1:90" x14ac:dyDescent="0.25">
      <c r="A147" t="s">
        <v>228</v>
      </c>
      <c r="B147" t="s">
        <v>229</v>
      </c>
      <c r="C147" t="s">
        <v>72</v>
      </c>
      <c r="E147" t="str">
        <f>"080010139038"</f>
        <v>080010139038</v>
      </c>
      <c r="F147" s="2">
        <v>44356</v>
      </c>
      <c r="G147">
        <v>202112</v>
      </c>
      <c r="H147" t="s">
        <v>76</v>
      </c>
      <c r="I147" t="s">
        <v>77</v>
      </c>
      <c r="J147" t="s">
        <v>411</v>
      </c>
      <c r="K147" t="s">
        <v>75</v>
      </c>
      <c r="L147" t="s">
        <v>97</v>
      </c>
      <c r="M147" t="s">
        <v>98</v>
      </c>
      <c r="N147" t="s">
        <v>442</v>
      </c>
      <c r="O147" t="s">
        <v>157</v>
      </c>
      <c r="P147" t="str">
        <f>"-                             "</f>
        <v xml:space="preserve">-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22.67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2</v>
      </c>
      <c r="BI147">
        <v>16.8</v>
      </c>
      <c r="BJ147">
        <v>30.1</v>
      </c>
      <c r="BK147">
        <v>31</v>
      </c>
      <c r="BL147">
        <v>126.23</v>
      </c>
      <c r="BM147">
        <v>18.93</v>
      </c>
      <c r="BN147">
        <v>145.16</v>
      </c>
      <c r="BO147">
        <v>145.16</v>
      </c>
      <c r="BP147" t="s">
        <v>154</v>
      </c>
      <c r="BQ147" t="s">
        <v>209</v>
      </c>
      <c r="BR147" t="s">
        <v>413</v>
      </c>
      <c r="BS147" s="2">
        <v>44357</v>
      </c>
      <c r="BT147" s="3">
        <v>0.41666666666666669</v>
      </c>
      <c r="BU147" t="s">
        <v>443</v>
      </c>
      <c r="BV147" t="s">
        <v>79</v>
      </c>
      <c r="BY147">
        <v>150513.43</v>
      </c>
      <c r="CA147" t="s">
        <v>192</v>
      </c>
      <c r="CC147" t="s">
        <v>98</v>
      </c>
      <c r="CD147">
        <v>4001</v>
      </c>
      <c r="CE147" t="s">
        <v>196</v>
      </c>
      <c r="CF147" s="2">
        <v>44357</v>
      </c>
      <c r="CI147">
        <v>1</v>
      </c>
      <c r="CJ147">
        <v>1</v>
      </c>
      <c r="CK147" t="s">
        <v>159</v>
      </c>
      <c r="CL147" t="s">
        <v>80</v>
      </c>
    </row>
    <row r="148" spans="1:90" x14ac:dyDescent="0.25">
      <c r="A148" t="s">
        <v>228</v>
      </c>
      <c r="B148" t="s">
        <v>229</v>
      </c>
      <c r="C148" t="s">
        <v>72</v>
      </c>
      <c r="E148" t="str">
        <f>"080010139006"</f>
        <v>080010139006</v>
      </c>
      <c r="F148" s="2">
        <v>44356</v>
      </c>
      <c r="G148">
        <v>202112</v>
      </c>
      <c r="H148" t="s">
        <v>76</v>
      </c>
      <c r="I148" t="s">
        <v>77</v>
      </c>
      <c r="J148" t="s">
        <v>411</v>
      </c>
      <c r="K148" t="s">
        <v>75</v>
      </c>
      <c r="L148" t="s">
        <v>164</v>
      </c>
      <c r="M148" t="s">
        <v>110</v>
      </c>
      <c r="N148" t="s">
        <v>444</v>
      </c>
      <c r="O148" t="s">
        <v>157</v>
      </c>
      <c r="P148" t="str">
        <f>"-                             "</f>
        <v xml:space="preserve">-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29.84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12.7</v>
      </c>
      <c r="BJ148">
        <v>26.2</v>
      </c>
      <c r="BK148">
        <v>27</v>
      </c>
      <c r="BL148">
        <v>164.59</v>
      </c>
      <c r="BM148">
        <v>24.69</v>
      </c>
      <c r="BN148">
        <v>189.28</v>
      </c>
      <c r="BO148">
        <v>189.28</v>
      </c>
      <c r="BP148" t="s">
        <v>154</v>
      </c>
      <c r="BQ148" t="s">
        <v>209</v>
      </c>
      <c r="BR148" t="s">
        <v>413</v>
      </c>
      <c r="BS148" s="2">
        <v>44358</v>
      </c>
      <c r="BT148" s="3">
        <v>0.47569444444444442</v>
      </c>
      <c r="BU148" t="s">
        <v>445</v>
      </c>
      <c r="BV148" t="s">
        <v>79</v>
      </c>
      <c r="BY148">
        <v>130821.69</v>
      </c>
      <c r="CA148" t="s">
        <v>216</v>
      </c>
      <c r="CC148" t="s">
        <v>110</v>
      </c>
      <c r="CD148">
        <v>7441</v>
      </c>
      <c r="CE148" t="s">
        <v>196</v>
      </c>
      <c r="CF148" s="2">
        <v>44361</v>
      </c>
      <c r="CI148">
        <v>2</v>
      </c>
      <c r="CJ148">
        <v>2</v>
      </c>
      <c r="CK148" t="s">
        <v>162</v>
      </c>
      <c r="CL148" t="s">
        <v>80</v>
      </c>
    </row>
    <row r="149" spans="1:90" x14ac:dyDescent="0.25">
      <c r="A149" t="s">
        <v>228</v>
      </c>
      <c r="B149" t="s">
        <v>229</v>
      </c>
      <c r="C149" t="s">
        <v>72</v>
      </c>
      <c r="E149" t="str">
        <f>"080010139027"</f>
        <v>080010139027</v>
      </c>
      <c r="F149" s="2">
        <v>44356</v>
      </c>
      <c r="G149">
        <v>202112</v>
      </c>
      <c r="H149" t="s">
        <v>76</v>
      </c>
      <c r="I149" t="s">
        <v>77</v>
      </c>
      <c r="J149" t="s">
        <v>411</v>
      </c>
      <c r="K149" t="s">
        <v>75</v>
      </c>
      <c r="L149" t="s">
        <v>104</v>
      </c>
      <c r="M149" t="s">
        <v>105</v>
      </c>
      <c r="N149" t="s">
        <v>446</v>
      </c>
      <c r="O149" t="s">
        <v>157</v>
      </c>
      <c r="P149" t="str">
        <f>"-                             "</f>
        <v xml:space="preserve">-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14.9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9.3000000000000007</v>
      </c>
      <c r="BJ149">
        <v>17.5</v>
      </c>
      <c r="BK149">
        <v>18</v>
      </c>
      <c r="BL149">
        <v>84.69</v>
      </c>
      <c r="BM149">
        <v>12.7</v>
      </c>
      <c r="BN149">
        <v>97.39</v>
      </c>
      <c r="BO149">
        <v>97.39</v>
      </c>
      <c r="BP149" t="s">
        <v>154</v>
      </c>
      <c r="BQ149" t="s">
        <v>209</v>
      </c>
      <c r="BR149" t="s">
        <v>413</v>
      </c>
      <c r="BS149" s="2">
        <v>44357</v>
      </c>
      <c r="BT149" s="3">
        <v>0.45763888888888887</v>
      </c>
      <c r="BU149" t="s">
        <v>447</v>
      </c>
      <c r="BV149" t="s">
        <v>79</v>
      </c>
      <c r="BY149">
        <v>87295.1</v>
      </c>
      <c r="CA149" t="s">
        <v>121</v>
      </c>
      <c r="CC149" t="s">
        <v>105</v>
      </c>
      <c r="CD149">
        <v>1459</v>
      </c>
      <c r="CE149" t="s">
        <v>196</v>
      </c>
      <c r="CF149" s="2">
        <v>44357</v>
      </c>
      <c r="CI149">
        <v>1</v>
      </c>
      <c r="CJ149">
        <v>1</v>
      </c>
      <c r="CK149" t="s">
        <v>160</v>
      </c>
      <c r="CL149" t="s">
        <v>80</v>
      </c>
    </row>
    <row r="150" spans="1:90" x14ac:dyDescent="0.25">
      <c r="A150" t="s">
        <v>228</v>
      </c>
      <c r="B150" t="s">
        <v>229</v>
      </c>
      <c r="C150" t="s">
        <v>72</v>
      </c>
      <c r="E150" t="str">
        <f>"080010139010"</f>
        <v>080010139010</v>
      </c>
      <c r="F150" s="2">
        <v>44356</v>
      </c>
      <c r="G150">
        <v>202112</v>
      </c>
      <c r="H150" t="s">
        <v>76</v>
      </c>
      <c r="I150" t="s">
        <v>77</v>
      </c>
      <c r="J150" t="s">
        <v>411</v>
      </c>
      <c r="K150" t="s">
        <v>75</v>
      </c>
      <c r="L150" t="s">
        <v>164</v>
      </c>
      <c r="M150" t="s">
        <v>110</v>
      </c>
      <c r="N150" t="s">
        <v>448</v>
      </c>
      <c r="O150" t="s">
        <v>157</v>
      </c>
      <c r="P150" t="str">
        <f>"-                             "</f>
        <v xml:space="preserve">-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23.09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9.9</v>
      </c>
      <c r="BJ150">
        <v>19</v>
      </c>
      <c r="BK150">
        <v>19</v>
      </c>
      <c r="BL150">
        <v>128.47999999999999</v>
      </c>
      <c r="BM150">
        <v>19.27</v>
      </c>
      <c r="BN150">
        <v>147.75</v>
      </c>
      <c r="BO150">
        <v>147.75</v>
      </c>
      <c r="BP150" t="s">
        <v>154</v>
      </c>
      <c r="BQ150" t="s">
        <v>209</v>
      </c>
      <c r="BR150" t="s">
        <v>413</v>
      </c>
      <c r="BS150" s="2">
        <v>44358</v>
      </c>
      <c r="BT150" s="3">
        <v>0.69444444444444453</v>
      </c>
      <c r="BU150" t="s">
        <v>449</v>
      </c>
      <c r="BV150" t="s">
        <v>79</v>
      </c>
      <c r="BY150">
        <v>94751.3</v>
      </c>
      <c r="CA150" t="s">
        <v>123</v>
      </c>
      <c r="CC150" t="s">
        <v>110</v>
      </c>
      <c r="CD150">
        <v>7560</v>
      </c>
      <c r="CE150" t="s">
        <v>196</v>
      </c>
      <c r="CF150" s="2">
        <v>44361</v>
      </c>
      <c r="CI150">
        <v>2</v>
      </c>
      <c r="CJ150">
        <v>2</v>
      </c>
      <c r="CK150" t="s">
        <v>162</v>
      </c>
      <c r="CL150" t="s">
        <v>80</v>
      </c>
    </row>
    <row r="151" spans="1:90" x14ac:dyDescent="0.25">
      <c r="A151" t="s">
        <v>228</v>
      </c>
      <c r="B151" t="s">
        <v>229</v>
      </c>
      <c r="C151" t="s">
        <v>72</v>
      </c>
      <c r="E151" t="str">
        <f>"029908381334"</f>
        <v>029908381334</v>
      </c>
      <c r="F151" s="2">
        <v>44356</v>
      </c>
      <c r="G151">
        <v>202112</v>
      </c>
      <c r="H151" t="s">
        <v>97</v>
      </c>
      <c r="I151" t="s">
        <v>98</v>
      </c>
      <c r="J151" t="s">
        <v>234</v>
      </c>
      <c r="K151" t="s">
        <v>75</v>
      </c>
      <c r="L151" t="s">
        <v>99</v>
      </c>
      <c r="M151" t="s">
        <v>100</v>
      </c>
      <c r="N151" t="s">
        <v>234</v>
      </c>
      <c r="O151" t="s">
        <v>157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18.059999999999999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101.56</v>
      </c>
      <c r="BM151">
        <v>15.23</v>
      </c>
      <c r="BN151">
        <v>116.79</v>
      </c>
      <c r="BO151">
        <v>116.79</v>
      </c>
      <c r="BQ151" t="s">
        <v>253</v>
      </c>
      <c r="BR151" t="s">
        <v>450</v>
      </c>
      <c r="BS151" s="2">
        <v>44357</v>
      </c>
      <c r="BT151" s="3">
        <v>0.30208333333333331</v>
      </c>
      <c r="BU151" t="s">
        <v>180</v>
      </c>
      <c r="BV151" t="s">
        <v>79</v>
      </c>
      <c r="BY151">
        <v>1200</v>
      </c>
      <c r="CA151" t="s">
        <v>150</v>
      </c>
      <c r="CC151" t="s">
        <v>100</v>
      </c>
      <c r="CD151">
        <v>2000</v>
      </c>
      <c r="CE151" t="s">
        <v>94</v>
      </c>
      <c r="CF151" s="2">
        <v>44357</v>
      </c>
      <c r="CI151">
        <v>1</v>
      </c>
      <c r="CJ151">
        <v>1</v>
      </c>
      <c r="CK151" t="s">
        <v>198</v>
      </c>
      <c r="CL151" t="s">
        <v>80</v>
      </c>
    </row>
    <row r="152" spans="1:90" x14ac:dyDescent="0.25">
      <c r="A152" t="s">
        <v>228</v>
      </c>
      <c r="B152" t="s">
        <v>229</v>
      </c>
      <c r="C152" t="s">
        <v>72</v>
      </c>
      <c r="E152" t="str">
        <f>"080010138998"</f>
        <v>080010138998</v>
      </c>
      <c r="F152" s="2">
        <v>44356</v>
      </c>
      <c r="G152">
        <v>202112</v>
      </c>
      <c r="H152" t="s">
        <v>76</v>
      </c>
      <c r="I152" t="s">
        <v>77</v>
      </c>
      <c r="J152" t="s">
        <v>411</v>
      </c>
      <c r="K152" t="s">
        <v>75</v>
      </c>
      <c r="L152" t="s">
        <v>99</v>
      </c>
      <c r="M152" t="s">
        <v>100</v>
      </c>
      <c r="N152" t="s">
        <v>266</v>
      </c>
      <c r="O152" t="s">
        <v>157</v>
      </c>
      <c r="P152" t="str">
        <f>"-                             "</f>
        <v xml:space="preserve">-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15.35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9.8000000000000007</v>
      </c>
      <c r="BJ152">
        <v>18.8</v>
      </c>
      <c r="BK152">
        <v>19</v>
      </c>
      <c r="BL152">
        <v>87.11</v>
      </c>
      <c r="BM152">
        <v>13.07</v>
      </c>
      <c r="BN152">
        <v>100.18</v>
      </c>
      <c r="BO152">
        <v>100.18</v>
      </c>
      <c r="BP152" t="s">
        <v>154</v>
      </c>
      <c r="BQ152" t="s">
        <v>209</v>
      </c>
      <c r="BR152" t="s">
        <v>413</v>
      </c>
      <c r="BS152" s="2">
        <v>44357</v>
      </c>
      <c r="BT152" s="3">
        <v>0.48194444444444445</v>
      </c>
      <c r="BU152" t="s">
        <v>451</v>
      </c>
      <c r="BV152" t="s">
        <v>79</v>
      </c>
      <c r="BY152">
        <v>94205.28</v>
      </c>
      <c r="CA152" t="s">
        <v>190</v>
      </c>
      <c r="CC152" t="s">
        <v>100</v>
      </c>
      <c r="CD152">
        <v>2007</v>
      </c>
      <c r="CE152" t="s">
        <v>196</v>
      </c>
      <c r="CF152" s="2">
        <v>44357</v>
      </c>
      <c r="CI152">
        <v>1</v>
      </c>
      <c r="CJ152">
        <v>1</v>
      </c>
      <c r="CK152" t="s">
        <v>160</v>
      </c>
      <c r="CL152" t="s">
        <v>80</v>
      </c>
    </row>
    <row r="153" spans="1:90" x14ac:dyDescent="0.25">
      <c r="A153" t="s">
        <v>228</v>
      </c>
      <c r="B153" t="s">
        <v>229</v>
      </c>
      <c r="C153" t="s">
        <v>72</v>
      </c>
      <c r="E153" t="str">
        <f>"080010139020"</f>
        <v>080010139020</v>
      </c>
      <c r="F153" s="2">
        <v>44356</v>
      </c>
      <c r="G153">
        <v>202112</v>
      </c>
      <c r="H153" t="s">
        <v>76</v>
      </c>
      <c r="I153" t="s">
        <v>77</v>
      </c>
      <c r="J153" t="s">
        <v>411</v>
      </c>
      <c r="K153" t="s">
        <v>75</v>
      </c>
      <c r="L153" t="s">
        <v>91</v>
      </c>
      <c r="M153" t="s">
        <v>92</v>
      </c>
      <c r="N153" t="s">
        <v>452</v>
      </c>
      <c r="O153" t="s">
        <v>157</v>
      </c>
      <c r="P153" t="str">
        <f>"-                             "</f>
        <v xml:space="preserve">-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15.35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6.8</v>
      </c>
      <c r="BJ153">
        <v>18.2</v>
      </c>
      <c r="BK153">
        <v>19</v>
      </c>
      <c r="BL153">
        <v>87.11</v>
      </c>
      <c r="BM153">
        <v>13.07</v>
      </c>
      <c r="BN153">
        <v>100.18</v>
      </c>
      <c r="BO153">
        <v>100.18</v>
      </c>
      <c r="BP153" t="s">
        <v>154</v>
      </c>
      <c r="BQ153" t="s">
        <v>209</v>
      </c>
      <c r="BR153" t="s">
        <v>413</v>
      </c>
      <c r="BS153" s="2">
        <v>44357</v>
      </c>
      <c r="BT153" s="3">
        <v>0.37291666666666662</v>
      </c>
      <c r="BU153" t="s">
        <v>453</v>
      </c>
      <c r="BV153" t="s">
        <v>79</v>
      </c>
      <c r="BY153">
        <v>91043.99</v>
      </c>
      <c r="CA153" t="s">
        <v>454</v>
      </c>
      <c r="CC153" t="s">
        <v>92</v>
      </c>
      <c r="CD153">
        <v>2194</v>
      </c>
      <c r="CE153" t="s">
        <v>196</v>
      </c>
      <c r="CF153" s="2">
        <v>44358</v>
      </c>
      <c r="CI153">
        <v>1</v>
      </c>
      <c r="CJ153">
        <v>1</v>
      </c>
      <c r="CK153" t="s">
        <v>160</v>
      </c>
      <c r="CL153" t="s">
        <v>80</v>
      </c>
    </row>
    <row r="154" spans="1:90" x14ac:dyDescent="0.25">
      <c r="A154" t="s">
        <v>228</v>
      </c>
      <c r="B154" t="s">
        <v>229</v>
      </c>
      <c r="C154" t="s">
        <v>72</v>
      </c>
      <c r="E154" t="str">
        <f>"080010139101"</f>
        <v>080010139101</v>
      </c>
      <c r="F154" s="2">
        <v>44356</v>
      </c>
      <c r="G154">
        <v>202112</v>
      </c>
      <c r="H154" t="s">
        <v>76</v>
      </c>
      <c r="I154" t="s">
        <v>77</v>
      </c>
      <c r="J154" t="s">
        <v>411</v>
      </c>
      <c r="K154" t="s">
        <v>75</v>
      </c>
      <c r="L154" t="s">
        <v>188</v>
      </c>
      <c r="M154" t="s">
        <v>189</v>
      </c>
      <c r="N154" t="s">
        <v>455</v>
      </c>
      <c r="O154" t="s">
        <v>157</v>
      </c>
      <c r="P154" t="str">
        <f>".                             "</f>
        <v xml:space="preserve">.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18.09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6.7</v>
      </c>
      <c r="BJ154">
        <v>17.399999999999999</v>
      </c>
      <c r="BK154">
        <v>18</v>
      </c>
      <c r="BL154">
        <v>101.74</v>
      </c>
      <c r="BM154">
        <v>15.26</v>
      </c>
      <c r="BN154">
        <v>117</v>
      </c>
      <c r="BO154">
        <v>117</v>
      </c>
      <c r="BP154" t="s">
        <v>154</v>
      </c>
      <c r="BQ154" t="s">
        <v>436</v>
      </c>
      <c r="BR154" t="s">
        <v>413</v>
      </c>
      <c r="BS154" s="2">
        <v>44357</v>
      </c>
      <c r="BT154" s="3">
        <v>0.45</v>
      </c>
      <c r="BU154" t="s">
        <v>456</v>
      </c>
      <c r="BV154" t="s">
        <v>79</v>
      </c>
      <c r="BY154">
        <v>87104.16</v>
      </c>
      <c r="CA154" t="s">
        <v>139</v>
      </c>
      <c r="CC154" t="s">
        <v>189</v>
      </c>
      <c r="CD154">
        <v>157</v>
      </c>
      <c r="CE154" t="s">
        <v>106</v>
      </c>
      <c r="CF154" s="2">
        <v>44357</v>
      </c>
      <c r="CI154">
        <v>0</v>
      </c>
      <c r="CJ154">
        <v>0</v>
      </c>
      <c r="CK154" t="s">
        <v>186</v>
      </c>
      <c r="CL154" t="s">
        <v>80</v>
      </c>
    </row>
    <row r="155" spans="1:90" x14ac:dyDescent="0.25">
      <c r="A155" t="s">
        <v>228</v>
      </c>
      <c r="B155" t="s">
        <v>229</v>
      </c>
      <c r="C155" t="s">
        <v>72</v>
      </c>
      <c r="E155" t="str">
        <f>"080010139047"</f>
        <v>080010139047</v>
      </c>
      <c r="F155" s="2">
        <v>44356</v>
      </c>
      <c r="G155">
        <v>202112</v>
      </c>
      <c r="H155" t="s">
        <v>76</v>
      </c>
      <c r="I155" t="s">
        <v>77</v>
      </c>
      <c r="J155" t="s">
        <v>411</v>
      </c>
      <c r="K155" t="s">
        <v>75</v>
      </c>
      <c r="L155" t="s">
        <v>99</v>
      </c>
      <c r="M155" t="s">
        <v>100</v>
      </c>
      <c r="N155" t="s">
        <v>457</v>
      </c>
      <c r="O155" t="s">
        <v>157</v>
      </c>
      <c r="P155" t="str">
        <f>"-                             "</f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14.9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6.9</v>
      </c>
      <c r="BJ155">
        <v>18.100000000000001</v>
      </c>
      <c r="BK155">
        <v>18</v>
      </c>
      <c r="BL155">
        <v>84.69</v>
      </c>
      <c r="BM155">
        <v>12.7</v>
      </c>
      <c r="BN155">
        <v>97.39</v>
      </c>
      <c r="BO155">
        <v>97.39</v>
      </c>
      <c r="BP155" t="s">
        <v>154</v>
      </c>
      <c r="BQ155" t="s">
        <v>209</v>
      </c>
      <c r="BR155" t="s">
        <v>413</v>
      </c>
      <c r="BS155" s="2">
        <v>44357</v>
      </c>
      <c r="BT155" s="3">
        <v>0.40972222222222227</v>
      </c>
      <c r="BU155" t="s">
        <v>458</v>
      </c>
      <c r="BV155" t="s">
        <v>79</v>
      </c>
      <c r="BY155">
        <v>90264.17</v>
      </c>
      <c r="CA155" t="s">
        <v>459</v>
      </c>
      <c r="CC155" t="s">
        <v>100</v>
      </c>
      <c r="CD155">
        <v>2196</v>
      </c>
      <c r="CE155" t="s">
        <v>196</v>
      </c>
      <c r="CF155" s="2">
        <v>44358</v>
      </c>
      <c r="CI155">
        <v>1</v>
      </c>
      <c r="CJ155">
        <v>1</v>
      </c>
      <c r="CK155" t="s">
        <v>160</v>
      </c>
      <c r="CL155" t="s">
        <v>80</v>
      </c>
    </row>
    <row r="156" spans="1:90" x14ac:dyDescent="0.25">
      <c r="A156" t="s">
        <v>228</v>
      </c>
      <c r="B156" t="s">
        <v>229</v>
      </c>
      <c r="C156" t="s">
        <v>72</v>
      </c>
      <c r="E156" t="str">
        <f>"080010139033"</f>
        <v>080010139033</v>
      </c>
      <c r="F156" s="2">
        <v>44356</v>
      </c>
      <c r="G156">
        <v>202112</v>
      </c>
      <c r="H156" t="s">
        <v>76</v>
      </c>
      <c r="I156" t="s">
        <v>77</v>
      </c>
      <c r="J156" t="s">
        <v>411</v>
      </c>
      <c r="K156" t="s">
        <v>75</v>
      </c>
      <c r="L156" t="s">
        <v>99</v>
      </c>
      <c r="M156" t="s">
        <v>100</v>
      </c>
      <c r="N156" t="s">
        <v>313</v>
      </c>
      <c r="O156" t="s">
        <v>157</v>
      </c>
      <c r="P156" t="str">
        <f>"-                             "</f>
        <v xml:space="preserve">-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16.260000000000002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9.1</v>
      </c>
      <c r="BJ156">
        <v>20.3</v>
      </c>
      <c r="BK156">
        <v>21</v>
      </c>
      <c r="BL156">
        <v>91.96</v>
      </c>
      <c r="BM156">
        <v>13.79</v>
      </c>
      <c r="BN156">
        <v>105.75</v>
      </c>
      <c r="BO156">
        <v>105.75</v>
      </c>
      <c r="BP156" t="s">
        <v>154</v>
      </c>
      <c r="BQ156" t="s">
        <v>209</v>
      </c>
      <c r="BR156" t="s">
        <v>413</v>
      </c>
      <c r="BS156" s="2">
        <v>44357</v>
      </c>
      <c r="BT156" s="3">
        <v>0.5229166666666667</v>
      </c>
      <c r="BU156" t="s">
        <v>460</v>
      </c>
      <c r="BV156" t="s">
        <v>79</v>
      </c>
      <c r="BY156">
        <v>101611.18</v>
      </c>
      <c r="CA156" t="s">
        <v>207</v>
      </c>
      <c r="CC156" t="s">
        <v>100</v>
      </c>
      <c r="CD156">
        <v>2059</v>
      </c>
      <c r="CE156" t="s">
        <v>196</v>
      </c>
      <c r="CF156" s="2">
        <v>44357</v>
      </c>
      <c r="CI156">
        <v>1</v>
      </c>
      <c r="CJ156">
        <v>1</v>
      </c>
      <c r="CK156" t="s">
        <v>160</v>
      </c>
      <c r="CL156" t="s">
        <v>80</v>
      </c>
    </row>
    <row r="157" spans="1:90" x14ac:dyDescent="0.25">
      <c r="A157" t="s">
        <v>228</v>
      </c>
      <c r="B157" t="s">
        <v>229</v>
      </c>
      <c r="C157" t="s">
        <v>72</v>
      </c>
      <c r="E157" t="str">
        <f>"080010139089"</f>
        <v>080010139089</v>
      </c>
      <c r="F157" s="2">
        <v>44356</v>
      </c>
      <c r="G157">
        <v>202112</v>
      </c>
      <c r="H157" t="s">
        <v>76</v>
      </c>
      <c r="I157" t="s">
        <v>77</v>
      </c>
      <c r="J157" t="s">
        <v>411</v>
      </c>
      <c r="K157" t="s">
        <v>75</v>
      </c>
      <c r="L157" t="s">
        <v>185</v>
      </c>
      <c r="M157" t="s">
        <v>74</v>
      </c>
      <c r="N157" t="s">
        <v>461</v>
      </c>
      <c r="O157" t="s">
        <v>157</v>
      </c>
      <c r="P157" t="str">
        <f>".                             "</f>
        <v xml:space="preserve">.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18.09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9.4</v>
      </c>
      <c r="BJ157">
        <v>17.5</v>
      </c>
      <c r="BK157">
        <v>18</v>
      </c>
      <c r="BL157">
        <v>101.74</v>
      </c>
      <c r="BM157">
        <v>15.26</v>
      </c>
      <c r="BN157">
        <v>117</v>
      </c>
      <c r="BO157">
        <v>117</v>
      </c>
      <c r="BP157" t="s">
        <v>154</v>
      </c>
      <c r="BQ157" t="s">
        <v>436</v>
      </c>
      <c r="BR157" t="s">
        <v>413</v>
      </c>
      <c r="BS157" s="2">
        <v>44357</v>
      </c>
      <c r="BT157" s="3">
        <v>0.46458333333333335</v>
      </c>
      <c r="BU157" t="s">
        <v>462</v>
      </c>
      <c r="BV157" t="s">
        <v>79</v>
      </c>
      <c r="BY157">
        <v>87345.65</v>
      </c>
      <c r="CA157" t="s">
        <v>463</v>
      </c>
      <c r="CC157" t="s">
        <v>74</v>
      </c>
      <c r="CD157">
        <v>81</v>
      </c>
      <c r="CE157" t="s">
        <v>196</v>
      </c>
      <c r="CF157" s="2">
        <v>44357</v>
      </c>
      <c r="CI157">
        <v>0</v>
      </c>
      <c r="CJ157">
        <v>0</v>
      </c>
      <c r="CK157" t="s">
        <v>186</v>
      </c>
      <c r="CL157" t="s">
        <v>80</v>
      </c>
    </row>
    <row r="158" spans="1:90" x14ac:dyDescent="0.25">
      <c r="A158" t="s">
        <v>228</v>
      </c>
      <c r="B158" t="s">
        <v>229</v>
      </c>
      <c r="C158" t="s">
        <v>72</v>
      </c>
      <c r="E158" t="str">
        <f>"080010139072"</f>
        <v>080010139072</v>
      </c>
      <c r="F158" s="2">
        <v>44356</v>
      </c>
      <c r="G158">
        <v>202112</v>
      </c>
      <c r="H158" t="s">
        <v>76</v>
      </c>
      <c r="I158" t="s">
        <v>77</v>
      </c>
      <c r="J158" t="s">
        <v>411</v>
      </c>
      <c r="K158" t="s">
        <v>75</v>
      </c>
      <c r="L158" t="s">
        <v>99</v>
      </c>
      <c r="M158" t="s">
        <v>100</v>
      </c>
      <c r="N158" t="s">
        <v>603</v>
      </c>
      <c r="O158" t="s">
        <v>157</v>
      </c>
      <c r="P158" t="str">
        <f>"-                             "</f>
        <v xml:space="preserve">-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22.6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3</v>
      </c>
      <c r="BI158">
        <v>16.5</v>
      </c>
      <c r="BJ158">
        <v>34.9</v>
      </c>
      <c r="BK158">
        <v>35</v>
      </c>
      <c r="BL158">
        <v>125.88</v>
      </c>
      <c r="BM158">
        <v>18.88</v>
      </c>
      <c r="BN158">
        <v>144.76</v>
      </c>
      <c r="BO158">
        <v>144.76</v>
      </c>
      <c r="BP158" t="s">
        <v>154</v>
      </c>
      <c r="BQ158" t="s">
        <v>464</v>
      </c>
      <c r="BR158" t="s">
        <v>413</v>
      </c>
      <c r="BS158" s="2">
        <v>44357</v>
      </c>
      <c r="BT158" s="3">
        <v>0.30208333333333331</v>
      </c>
      <c r="BU158" t="s">
        <v>180</v>
      </c>
      <c r="BV158" t="s">
        <v>79</v>
      </c>
      <c r="BY158">
        <v>174579.32</v>
      </c>
      <c r="CA158" t="s">
        <v>150</v>
      </c>
      <c r="CC158" t="s">
        <v>100</v>
      </c>
      <c r="CD158">
        <v>2013</v>
      </c>
      <c r="CE158" t="s">
        <v>196</v>
      </c>
      <c r="CF158" s="2">
        <v>44357</v>
      </c>
      <c r="CI158">
        <v>1</v>
      </c>
      <c r="CJ158">
        <v>1</v>
      </c>
      <c r="CK158" t="s">
        <v>160</v>
      </c>
      <c r="CL158" t="s">
        <v>80</v>
      </c>
    </row>
    <row r="159" spans="1:90" x14ac:dyDescent="0.25">
      <c r="A159" t="s">
        <v>228</v>
      </c>
      <c r="B159" t="s">
        <v>229</v>
      </c>
      <c r="C159" t="s">
        <v>72</v>
      </c>
      <c r="E159" t="str">
        <f>"080010139059"</f>
        <v>080010139059</v>
      </c>
      <c r="F159" s="2">
        <v>44356</v>
      </c>
      <c r="G159">
        <v>202112</v>
      </c>
      <c r="H159" t="s">
        <v>76</v>
      </c>
      <c r="I159" t="s">
        <v>77</v>
      </c>
      <c r="J159" t="s">
        <v>411</v>
      </c>
      <c r="K159" t="s">
        <v>75</v>
      </c>
      <c r="L159" t="s">
        <v>164</v>
      </c>
      <c r="M159" t="s">
        <v>110</v>
      </c>
      <c r="N159" t="s">
        <v>465</v>
      </c>
      <c r="O159" t="s">
        <v>157</v>
      </c>
      <c r="P159" t="str">
        <f>"-                             "</f>
        <v xml:space="preserve">-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37.44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18.5</v>
      </c>
      <c r="BJ159">
        <v>35.6</v>
      </c>
      <c r="BK159">
        <v>36</v>
      </c>
      <c r="BL159">
        <v>205.22</v>
      </c>
      <c r="BM159">
        <v>30.78</v>
      </c>
      <c r="BN159">
        <v>236</v>
      </c>
      <c r="BO159">
        <v>236</v>
      </c>
      <c r="BP159" t="s">
        <v>154</v>
      </c>
      <c r="BQ159" t="s">
        <v>209</v>
      </c>
      <c r="BR159" t="s">
        <v>413</v>
      </c>
      <c r="BS159" s="2">
        <v>44358</v>
      </c>
      <c r="BT159" s="3">
        <v>0.55277777777777781</v>
      </c>
      <c r="BU159" t="s">
        <v>466</v>
      </c>
      <c r="BV159" t="s">
        <v>79</v>
      </c>
      <c r="BY159">
        <v>178139.42</v>
      </c>
      <c r="CA159" t="s">
        <v>123</v>
      </c>
      <c r="CC159" t="s">
        <v>110</v>
      </c>
      <c r="CD159">
        <v>7530</v>
      </c>
      <c r="CE159" t="s">
        <v>196</v>
      </c>
      <c r="CF159" s="2">
        <v>44361</v>
      </c>
      <c r="CI159">
        <v>2</v>
      </c>
      <c r="CJ159">
        <v>2</v>
      </c>
      <c r="CK159" t="s">
        <v>162</v>
      </c>
      <c r="CL159" t="s">
        <v>80</v>
      </c>
    </row>
    <row r="160" spans="1:90" x14ac:dyDescent="0.25">
      <c r="A160" t="s">
        <v>228</v>
      </c>
      <c r="B160" t="s">
        <v>229</v>
      </c>
      <c r="C160" t="s">
        <v>72</v>
      </c>
      <c r="E160" t="str">
        <f>"080010139057"</f>
        <v>080010139057</v>
      </c>
      <c r="F160" s="2">
        <v>44356</v>
      </c>
      <c r="G160">
        <v>202112</v>
      </c>
      <c r="H160" t="s">
        <v>76</v>
      </c>
      <c r="I160" t="s">
        <v>77</v>
      </c>
      <c r="J160" t="s">
        <v>411</v>
      </c>
      <c r="K160" t="s">
        <v>75</v>
      </c>
      <c r="L160" t="s">
        <v>97</v>
      </c>
      <c r="M160" t="s">
        <v>98</v>
      </c>
      <c r="N160" t="s">
        <v>467</v>
      </c>
      <c r="O160" t="s">
        <v>157</v>
      </c>
      <c r="P160" t="str">
        <f>"-                             "</f>
        <v xml:space="preserve">-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31.8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3</v>
      </c>
      <c r="BI160">
        <v>24.2</v>
      </c>
      <c r="BJ160">
        <v>46.4</v>
      </c>
      <c r="BK160">
        <v>47</v>
      </c>
      <c r="BL160">
        <v>175.04</v>
      </c>
      <c r="BM160">
        <v>26.26</v>
      </c>
      <c r="BN160">
        <v>201.3</v>
      </c>
      <c r="BO160">
        <v>201.3</v>
      </c>
      <c r="BP160" t="s">
        <v>154</v>
      </c>
      <c r="BQ160" t="s">
        <v>209</v>
      </c>
      <c r="BR160" t="s">
        <v>413</v>
      </c>
      <c r="BS160" s="2">
        <v>44357</v>
      </c>
      <c r="BT160" s="3">
        <v>0.48055555555555557</v>
      </c>
      <c r="BU160" t="s">
        <v>468</v>
      </c>
      <c r="BV160" t="s">
        <v>79</v>
      </c>
      <c r="BY160">
        <v>232120.77</v>
      </c>
      <c r="CA160" t="s">
        <v>469</v>
      </c>
      <c r="CC160" t="s">
        <v>98</v>
      </c>
      <c r="CD160">
        <v>3630</v>
      </c>
      <c r="CE160" t="s">
        <v>196</v>
      </c>
      <c r="CF160" s="2">
        <v>44358</v>
      </c>
      <c r="CI160">
        <v>1</v>
      </c>
      <c r="CJ160">
        <v>1</v>
      </c>
      <c r="CK160" t="s">
        <v>159</v>
      </c>
      <c r="CL160" t="s">
        <v>80</v>
      </c>
    </row>
    <row r="161" spans="1:90" x14ac:dyDescent="0.25">
      <c r="A161" t="s">
        <v>228</v>
      </c>
      <c r="B161" t="s">
        <v>229</v>
      </c>
      <c r="C161" t="s">
        <v>72</v>
      </c>
      <c r="E161" t="str">
        <f>"080010139044"</f>
        <v>080010139044</v>
      </c>
      <c r="F161" s="2">
        <v>44356</v>
      </c>
      <c r="G161">
        <v>202112</v>
      </c>
      <c r="H161" t="s">
        <v>76</v>
      </c>
      <c r="I161" t="s">
        <v>77</v>
      </c>
      <c r="J161" t="s">
        <v>411</v>
      </c>
      <c r="K161" t="s">
        <v>75</v>
      </c>
      <c r="L161" t="s">
        <v>99</v>
      </c>
      <c r="M161" t="s">
        <v>100</v>
      </c>
      <c r="N161" t="s">
        <v>470</v>
      </c>
      <c r="O161" t="s">
        <v>157</v>
      </c>
      <c r="P161" t="str">
        <f>"-                             "</f>
        <v xml:space="preserve">-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19.43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13</v>
      </c>
      <c r="BJ161">
        <v>27.4</v>
      </c>
      <c r="BK161">
        <v>28</v>
      </c>
      <c r="BL161">
        <v>108.92</v>
      </c>
      <c r="BM161">
        <v>16.34</v>
      </c>
      <c r="BN161">
        <v>125.26</v>
      </c>
      <c r="BO161">
        <v>125.26</v>
      </c>
      <c r="BP161" t="s">
        <v>154</v>
      </c>
      <c r="BQ161" t="s">
        <v>209</v>
      </c>
      <c r="BR161" t="s">
        <v>413</v>
      </c>
      <c r="BS161" s="2">
        <v>44357</v>
      </c>
      <c r="BT161" s="3">
        <v>0.38611111111111113</v>
      </c>
      <c r="BU161" t="s">
        <v>471</v>
      </c>
      <c r="BV161" t="s">
        <v>79</v>
      </c>
      <c r="BY161">
        <v>137134.20000000001</v>
      </c>
      <c r="CA161" t="s">
        <v>472</v>
      </c>
      <c r="CC161" t="s">
        <v>100</v>
      </c>
      <c r="CD161">
        <v>2021</v>
      </c>
      <c r="CE161" t="s">
        <v>196</v>
      </c>
      <c r="CF161" s="2">
        <v>44358</v>
      </c>
      <c r="CI161">
        <v>1</v>
      </c>
      <c r="CJ161">
        <v>1</v>
      </c>
      <c r="CK161" t="s">
        <v>160</v>
      </c>
      <c r="CL161" t="s">
        <v>80</v>
      </c>
    </row>
    <row r="162" spans="1:90" x14ac:dyDescent="0.25">
      <c r="A162" t="s">
        <v>228</v>
      </c>
      <c r="B162" t="s">
        <v>229</v>
      </c>
      <c r="C162" t="s">
        <v>72</v>
      </c>
      <c r="E162" t="str">
        <f>"009940942783"</f>
        <v>009940942783</v>
      </c>
      <c r="F162" s="2">
        <v>44356</v>
      </c>
      <c r="G162">
        <v>202112</v>
      </c>
      <c r="H162" t="s">
        <v>95</v>
      </c>
      <c r="I162" t="s">
        <v>96</v>
      </c>
      <c r="J162" t="s">
        <v>591</v>
      </c>
      <c r="K162" t="s">
        <v>75</v>
      </c>
      <c r="L162" t="s">
        <v>315</v>
      </c>
      <c r="M162" t="s">
        <v>316</v>
      </c>
      <c r="N162" t="s">
        <v>473</v>
      </c>
      <c r="O162" t="s">
        <v>157</v>
      </c>
      <c r="P162" t="str">
        <f>"KIA                           "</f>
        <v xml:space="preserve">KIA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18.059999999999999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</v>
      </c>
      <c r="BJ162">
        <v>4.8</v>
      </c>
      <c r="BK162">
        <v>5</v>
      </c>
      <c r="BL162">
        <v>101.56</v>
      </c>
      <c r="BM162">
        <v>15.23</v>
      </c>
      <c r="BN162">
        <v>116.79</v>
      </c>
      <c r="BO162">
        <v>116.79</v>
      </c>
      <c r="BQ162" t="s">
        <v>474</v>
      </c>
      <c r="BR162" t="s">
        <v>406</v>
      </c>
      <c r="BS162" s="2">
        <v>44357</v>
      </c>
      <c r="BT162" s="3">
        <v>0.65208333333333335</v>
      </c>
      <c r="BU162" t="s">
        <v>475</v>
      </c>
      <c r="BV162" t="s">
        <v>79</v>
      </c>
      <c r="BY162">
        <v>24000</v>
      </c>
      <c r="CA162" t="s">
        <v>140</v>
      </c>
      <c r="CC162" t="s">
        <v>316</v>
      </c>
      <c r="CD162">
        <v>4265</v>
      </c>
      <c r="CE162" t="s">
        <v>94</v>
      </c>
      <c r="CF162" s="2">
        <v>44358</v>
      </c>
      <c r="CI162">
        <v>2</v>
      </c>
      <c r="CJ162">
        <v>1</v>
      </c>
      <c r="CK162" t="s">
        <v>187</v>
      </c>
      <c r="CL162" t="s">
        <v>80</v>
      </c>
    </row>
    <row r="163" spans="1:90" x14ac:dyDescent="0.25">
      <c r="A163" t="s">
        <v>228</v>
      </c>
      <c r="B163" t="s">
        <v>229</v>
      </c>
      <c r="C163" t="s">
        <v>72</v>
      </c>
      <c r="E163" t="str">
        <f>"009940942784"</f>
        <v>009940942784</v>
      </c>
      <c r="F163" s="2">
        <v>44356</v>
      </c>
      <c r="G163">
        <v>202112</v>
      </c>
      <c r="H163" t="s">
        <v>95</v>
      </c>
      <c r="I163" t="s">
        <v>96</v>
      </c>
      <c r="J163" t="s">
        <v>591</v>
      </c>
      <c r="K163" t="s">
        <v>75</v>
      </c>
      <c r="L163" t="s">
        <v>136</v>
      </c>
      <c r="M163" t="s">
        <v>137</v>
      </c>
      <c r="N163" t="s">
        <v>476</v>
      </c>
      <c r="O163" t="s">
        <v>157</v>
      </c>
      <c r="P163" t="str">
        <f>"KIA                           "</f>
        <v xml:space="preserve">KIA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13.54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4</v>
      </c>
      <c r="BJ163">
        <v>4.8</v>
      </c>
      <c r="BK163">
        <v>5</v>
      </c>
      <c r="BL163">
        <v>77.42</v>
      </c>
      <c r="BM163">
        <v>11.61</v>
      </c>
      <c r="BN163">
        <v>89.03</v>
      </c>
      <c r="BO163">
        <v>89.03</v>
      </c>
      <c r="BQ163" t="s">
        <v>477</v>
      </c>
      <c r="BR163" t="s">
        <v>406</v>
      </c>
      <c r="BS163" s="2">
        <v>44357</v>
      </c>
      <c r="BT163" s="3">
        <v>0.42430555555555555</v>
      </c>
      <c r="BU163" t="s">
        <v>478</v>
      </c>
      <c r="BV163" t="s">
        <v>79</v>
      </c>
      <c r="BY163">
        <v>24000</v>
      </c>
      <c r="CA163" t="s">
        <v>479</v>
      </c>
      <c r="CC163" t="s">
        <v>137</v>
      </c>
      <c r="CD163">
        <v>4320</v>
      </c>
      <c r="CE163" t="s">
        <v>94</v>
      </c>
      <c r="CF163" s="2">
        <v>44358</v>
      </c>
      <c r="CI163">
        <v>1</v>
      </c>
      <c r="CJ163">
        <v>1</v>
      </c>
      <c r="CK163" t="s">
        <v>160</v>
      </c>
      <c r="CL163" t="s">
        <v>80</v>
      </c>
    </row>
    <row r="164" spans="1:90" x14ac:dyDescent="0.25">
      <c r="A164" t="s">
        <v>228</v>
      </c>
      <c r="B164" t="s">
        <v>229</v>
      </c>
      <c r="C164" t="s">
        <v>72</v>
      </c>
      <c r="E164" t="str">
        <f>"080010139053"</f>
        <v>080010139053</v>
      </c>
      <c r="F164" s="2">
        <v>44356</v>
      </c>
      <c r="G164">
        <v>202112</v>
      </c>
      <c r="H164" t="s">
        <v>76</v>
      </c>
      <c r="I164" t="s">
        <v>77</v>
      </c>
      <c r="J164" t="s">
        <v>411</v>
      </c>
      <c r="K164" t="s">
        <v>75</v>
      </c>
      <c r="L164" t="s">
        <v>315</v>
      </c>
      <c r="M164" t="s">
        <v>316</v>
      </c>
      <c r="N164" t="s">
        <v>473</v>
      </c>
      <c r="O164" t="s">
        <v>157</v>
      </c>
      <c r="P164" t="str">
        <f>"-                             "</f>
        <v xml:space="preserve">-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45.63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16.7</v>
      </c>
      <c r="BJ164">
        <v>30.6</v>
      </c>
      <c r="BK164">
        <v>31</v>
      </c>
      <c r="BL164">
        <v>249.01</v>
      </c>
      <c r="BM164">
        <v>37.35</v>
      </c>
      <c r="BN164">
        <v>286.36</v>
      </c>
      <c r="BO164">
        <v>286.36</v>
      </c>
      <c r="BP164" t="s">
        <v>154</v>
      </c>
      <c r="BQ164" t="s">
        <v>209</v>
      </c>
      <c r="BR164" t="s">
        <v>413</v>
      </c>
      <c r="BS164" s="2">
        <v>44357</v>
      </c>
      <c r="BT164" s="3">
        <v>0.65069444444444446</v>
      </c>
      <c r="BU164" t="s">
        <v>475</v>
      </c>
      <c r="BV164" t="s">
        <v>79</v>
      </c>
      <c r="BY164">
        <v>152922.68</v>
      </c>
      <c r="CA164" t="s">
        <v>140</v>
      </c>
      <c r="CC164" t="s">
        <v>316</v>
      </c>
      <c r="CD164">
        <v>4265</v>
      </c>
      <c r="CE164" t="s">
        <v>196</v>
      </c>
      <c r="CF164" s="2">
        <v>44358</v>
      </c>
      <c r="CI164">
        <v>2</v>
      </c>
      <c r="CJ164">
        <v>1</v>
      </c>
      <c r="CK164" t="s">
        <v>166</v>
      </c>
      <c r="CL164" t="s">
        <v>80</v>
      </c>
    </row>
    <row r="165" spans="1:90" x14ac:dyDescent="0.25">
      <c r="A165" t="s">
        <v>228</v>
      </c>
      <c r="B165" t="s">
        <v>229</v>
      </c>
      <c r="C165" t="s">
        <v>72</v>
      </c>
      <c r="E165" t="str">
        <f>"009940942785"</f>
        <v>009940942785</v>
      </c>
      <c r="F165" s="2">
        <v>44356</v>
      </c>
      <c r="G165">
        <v>202112</v>
      </c>
      <c r="H165" t="s">
        <v>95</v>
      </c>
      <c r="I165" t="s">
        <v>96</v>
      </c>
      <c r="J165" t="s">
        <v>591</v>
      </c>
      <c r="K165" t="s">
        <v>75</v>
      </c>
      <c r="L165" t="s">
        <v>193</v>
      </c>
      <c r="M165" t="s">
        <v>194</v>
      </c>
      <c r="N165" t="s">
        <v>340</v>
      </c>
      <c r="O165" t="s">
        <v>157</v>
      </c>
      <c r="P165" t="str">
        <f>"KIA                           "</f>
        <v xml:space="preserve">KIA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16.55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4</v>
      </c>
      <c r="BJ165">
        <v>4.8</v>
      </c>
      <c r="BK165">
        <v>5</v>
      </c>
      <c r="BL165">
        <v>93.51</v>
      </c>
      <c r="BM165">
        <v>14.03</v>
      </c>
      <c r="BN165">
        <v>107.54</v>
      </c>
      <c r="BO165">
        <v>107.54</v>
      </c>
      <c r="BQ165" t="s">
        <v>480</v>
      </c>
      <c r="BR165" t="s">
        <v>406</v>
      </c>
      <c r="BS165" s="2">
        <v>44357</v>
      </c>
      <c r="BT165" s="3">
        <v>0.59722222222222221</v>
      </c>
      <c r="BU165" t="s">
        <v>481</v>
      </c>
      <c r="BV165" t="s">
        <v>79</v>
      </c>
      <c r="BY165">
        <v>24000</v>
      </c>
      <c r="CA165" t="s">
        <v>132</v>
      </c>
      <c r="CC165" t="s">
        <v>194</v>
      </c>
      <c r="CD165">
        <v>4399</v>
      </c>
      <c r="CE165" t="s">
        <v>94</v>
      </c>
      <c r="CF165" s="2">
        <v>44358</v>
      </c>
      <c r="CI165">
        <v>1</v>
      </c>
      <c r="CJ165">
        <v>1</v>
      </c>
      <c r="CK165" t="s">
        <v>186</v>
      </c>
      <c r="CL165" t="s">
        <v>80</v>
      </c>
    </row>
    <row r="166" spans="1:90" x14ac:dyDescent="0.25">
      <c r="A166" t="s">
        <v>228</v>
      </c>
      <c r="B166" t="s">
        <v>229</v>
      </c>
      <c r="C166" t="s">
        <v>72</v>
      </c>
      <c r="E166" t="str">
        <f>"009940942786"</f>
        <v>009940942786</v>
      </c>
      <c r="F166" s="2">
        <v>44356</v>
      </c>
      <c r="G166">
        <v>202112</v>
      </c>
      <c r="H166" t="s">
        <v>95</v>
      </c>
      <c r="I166" t="s">
        <v>96</v>
      </c>
      <c r="J166" t="s">
        <v>591</v>
      </c>
      <c r="K166" t="s">
        <v>75</v>
      </c>
      <c r="L166" t="s">
        <v>83</v>
      </c>
      <c r="M166" t="s">
        <v>84</v>
      </c>
      <c r="N166" t="s">
        <v>482</v>
      </c>
      <c r="O166" t="s">
        <v>157</v>
      </c>
      <c r="P166" t="str">
        <f>"KIA                           "</f>
        <v xml:space="preserve">KIA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13.54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4</v>
      </c>
      <c r="BJ166">
        <v>4.8</v>
      </c>
      <c r="BK166">
        <v>5</v>
      </c>
      <c r="BL166">
        <v>77.42</v>
      </c>
      <c r="BM166">
        <v>11.61</v>
      </c>
      <c r="BN166">
        <v>89.03</v>
      </c>
      <c r="BO166">
        <v>89.03</v>
      </c>
      <c r="BQ166" t="s">
        <v>483</v>
      </c>
      <c r="BR166" t="s">
        <v>406</v>
      </c>
      <c r="BS166" s="2">
        <v>44357</v>
      </c>
      <c r="BT166" s="3">
        <v>0.4548611111111111</v>
      </c>
      <c r="BU166" t="s">
        <v>484</v>
      </c>
      <c r="BV166" t="s">
        <v>79</v>
      </c>
      <c r="BY166">
        <v>24000</v>
      </c>
      <c r="CA166" t="s">
        <v>485</v>
      </c>
      <c r="CC166" t="s">
        <v>84</v>
      </c>
      <c r="CD166">
        <v>3200</v>
      </c>
      <c r="CE166" t="s">
        <v>94</v>
      </c>
      <c r="CF166" s="2">
        <v>44357</v>
      </c>
      <c r="CI166">
        <v>1</v>
      </c>
      <c r="CJ166">
        <v>1</v>
      </c>
      <c r="CK166" t="s">
        <v>160</v>
      </c>
      <c r="CL166" t="s">
        <v>80</v>
      </c>
    </row>
    <row r="167" spans="1:90" x14ac:dyDescent="0.25">
      <c r="A167" t="s">
        <v>228</v>
      </c>
      <c r="B167" t="s">
        <v>229</v>
      </c>
      <c r="C167" t="s">
        <v>72</v>
      </c>
      <c r="E167" t="str">
        <f>"009939926594"</f>
        <v>009939926594</v>
      </c>
      <c r="F167" s="2">
        <v>44358</v>
      </c>
      <c r="G167">
        <v>202112</v>
      </c>
      <c r="H167" t="s">
        <v>109</v>
      </c>
      <c r="I167" t="s">
        <v>110</v>
      </c>
      <c r="J167" t="s">
        <v>234</v>
      </c>
      <c r="K167" t="s">
        <v>75</v>
      </c>
      <c r="L167" t="s">
        <v>97</v>
      </c>
      <c r="M167" t="s">
        <v>98</v>
      </c>
      <c r="N167" t="s">
        <v>234</v>
      </c>
      <c r="O167" t="s">
        <v>78</v>
      </c>
      <c r="P167" t="str">
        <f>"NA                            "</f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26.47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3.4</v>
      </c>
      <c r="BJ167">
        <v>5.3</v>
      </c>
      <c r="BK167">
        <v>5.5</v>
      </c>
      <c r="BL167">
        <v>141.56</v>
      </c>
      <c r="BM167">
        <v>21.23</v>
      </c>
      <c r="BN167">
        <v>162.79</v>
      </c>
      <c r="BO167">
        <v>162.79</v>
      </c>
      <c r="BQ167" t="s">
        <v>367</v>
      </c>
      <c r="BR167" t="s">
        <v>254</v>
      </c>
      <c r="BS167" s="2">
        <v>44361</v>
      </c>
      <c r="BT167" s="3">
        <v>0.32083333333333336</v>
      </c>
      <c r="BU167" t="s">
        <v>431</v>
      </c>
      <c r="BV167" t="s">
        <v>79</v>
      </c>
      <c r="BY167">
        <v>26250.12</v>
      </c>
      <c r="BZ167" t="s">
        <v>81</v>
      </c>
      <c r="CA167" t="s">
        <v>211</v>
      </c>
      <c r="CC167" t="s">
        <v>98</v>
      </c>
      <c r="CD167">
        <v>3629</v>
      </c>
      <c r="CE167" t="s">
        <v>94</v>
      </c>
      <c r="CF167" s="2">
        <v>44361</v>
      </c>
      <c r="CI167">
        <v>1</v>
      </c>
      <c r="CJ167">
        <v>1</v>
      </c>
      <c r="CK167">
        <v>21</v>
      </c>
      <c r="CL167" t="s">
        <v>80</v>
      </c>
    </row>
    <row r="168" spans="1:90" x14ac:dyDescent="0.25">
      <c r="A168" t="s">
        <v>228</v>
      </c>
      <c r="B168" t="s">
        <v>229</v>
      </c>
      <c r="C168" t="s">
        <v>72</v>
      </c>
      <c r="E168" t="str">
        <f>"009939926595"</f>
        <v>009939926595</v>
      </c>
      <c r="F168" s="2">
        <v>44358</v>
      </c>
      <c r="G168">
        <v>202112</v>
      </c>
      <c r="H168" t="s">
        <v>109</v>
      </c>
      <c r="I168" t="s">
        <v>110</v>
      </c>
      <c r="J168" t="s">
        <v>234</v>
      </c>
      <c r="K168" t="s">
        <v>75</v>
      </c>
      <c r="L168" t="s">
        <v>99</v>
      </c>
      <c r="M168" t="s">
        <v>100</v>
      </c>
      <c r="N168" t="s">
        <v>234</v>
      </c>
      <c r="O168" t="s">
        <v>78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9.6300000000000008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0.3</v>
      </c>
      <c r="BJ168">
        <v>1.1000000000000001</v>
      </c>
      <c r="BK168">
        <v>1.5</v>
      </c>
      <c r="BL168">
        <v>51.5</v>
      </c>
      <c r="BM168">
        <v>7.73</v>
      </c>
      <c r="BN168">
        <v>59.23</v>
      </c>
      <c r="BO168">
        <v>59.23</v>
      </c>
      <c r="BR168" t="s">
        <v>254</v>
      </c>
      <c r="BS168" s="2">
        <v>44361</v>
      </c>
      <c r="BT168" s="3">
        <v>0.31597222222222221</v>
      </c>
      <c r="BU168" t="s">
        <v>180</v>
      </c>
      <c r="BV168" t="s">
        <v>79</v>
      </c>
      <c r="BY168">
        <v>5359.41</v>
      </c>
      <c r="BZ168" t="s">
        <v>81</v>
      </c>
      <c r="CA168" t="s">
        <v>150</v>
      </c>
      <c r="CC168" t="s">
        <v>100</v>
      </c>
      <c r="CD168">
        <v>2013</v>
      </c>
      <c r="CE168" t="s">
        <v>94</v>
      </c>
      <c r="CF168" s="2">
        <v>44362</v>
      </c>
      <c r="CI168">
        <v>1</v>
      </c>
      <c r="CJ168">
        <v>1</v>
      </c>
      <c r="CK168">
        <v>21</v>
      </c>
      <c r="CL168" t="s">
        <v>80</v>
      </c>
    </row>
    <row r="169" spans="1:90" x14ac:dyDescent="0.25">
      <c r="A169" t="s">
        <v>228</v>
      </c>
      <c r="B169" t="s">
        <v>229</v>
      </c>
      <c r="C169" t="s">
        <v>72</v>
      </c>
      <c r="E169" t="str">
        <f>"009940569418"</f>
        <v>009940569418</v>
      </c>
      <c r="F169" s="2">
        <v>44361</v>
      </c>
      <c r="G169">
        <v>202112</v>
      </c>
      <c r="H169" t="s">
        <v>95</v>
      </c>
      <c r="I169" t="s">
        <v>96</v>
      </c>
      <c r="J169" t="s">
        <v>591</v>
      </c>
      <c r="K169" t="s">
        <v>75</v>
      </c>
      <c r="L169" t="s">
        <v>99</v>
      </c>
      <c r="M169" t="s">
        <v>100</v>
      </c>
      <c r="N169" t="s">
        <v>234</v>
      </c>
      <c r="O169" t="s">
        <v>183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18.059999999999999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</v>
      </c>
      <c r="BJ169">
        <v>2.4</v>
      </c>
      <c r="BK169">
        <v>3</v>
      </c>
      <c r="BL169">
        <v>96.56</v>
      </c>
      <c r="BM169">
        <v>14.48</v>
      </c>
      <c r="BN169">
        <v>111.04</v>
      </c>
      <c r="BO169">
        <v>111.04</v>
      </c>
      <c r="BQ169" t="s">
        <v>486</v>
      </c>
      <c r="BR169" t="s">
        <v>487</v>
      </c>
      <c r="BS169" s="2">
        <v>44362</v>
      </c>
      <c r="BT169" s="3">
        <v>0.30972222222222223</v>
      </c>
      <c r="BU169" t="s">
        <v>134</v>
      </c>
      <c r="BV169" t="s">
        <v>79</v>
      </c>
      <c r="BY169">
        <v>12000</v>
      </c>
      <c r="BZ169" t="s">
        <v>202</v>
      </c>
      <c r="CA169" t="s">
        <v>204</v>
      </c>
      <c r="CC169" t="s">
        <v>100</v>
      </c>
      <c r="CD169">
        <v>2013</v>
      </c>
      <c r="CE169" t="s">
        <v>94</v>
      </c>
      <c r="CF169" s="2">
        <v>44362</v>
      </c>
      <c r="CI169">
        <v>1</v>
      </c>
      <c r="CJ169">
        <v>1</v>
      </c>
      <c r="CK169">
        <v>31</v>
      </c>
      <c r="CL169" t="s">
        <v>80</v>
      </c>
    </row>
    <row r="170" spans="1:90" x14ac:dyDescent="0.25">
      <c r="A170" t="s">
        <v>228</v>
      </c>
      <c r="B170" t="s">
        <v>229</v>
      </c>
      <c r="C170" t="s">
        <v>72</v>
      </c>
      <c r="E170" t="str">
        <f>"009941026562"</f>
        <v>009941026562</v>
      </c>
      <c r="F170" s="2">
        <v>44361</v>
      </c>
      <c r="G170">
        <v>202112</v>
      </c>
      <c r="H170" t="s">
        <v>99</v>
      </c>
      <c r="I170" t="s">
        <v>100</v>
      </c>
      <c r="J170" t="s">
        <v>230</v>
      </c>
      <c r="K170" t="s">
        <v>75</v>
      </c>
      <c r="L170" t="s">
        <v>99</v>
      </c>
      <c r="M170" t="s">
        <v>100</v>
      </c>
      <c r="N170" t="s">
        <v>488</v>
      </c>
      <c r="O170" t="s">
        <v>183</v>
      </c>
      <c r="P170" t="str">
        <f>"..                            "</f>
        <v xml:space="preserve">..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7.52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2.5</v>
      </c>
      <c r="BK170">
        <v>3</v>
      </c>
      <c r="BL170">
        <v>40.229999999999997</v>
      </c>
      <c r="BM170">
        <v>6.03</v>
      </c>
      <c r="BN170">
        <v>46.26</v>
      </c>
      <c r="BO170">
        <v>46.26</v>
      </c>
      <c r="BR170" t="s">
        <v>232</v>
      </c>
      <c r="BS170" s="2">
        <v>44362</v>
      </c>
      <c r="BT170" s="3">
        <v>0.33055555555555555</v>
      </c>
      <c r="BU170" t="s">
        <v>489</v>
      </c>
      <c r="BV170" t="s">
        <v>79</v>
      </c>
      <c r="BY170">
        <v>12529.44</v>
      </c>
      <c r="BZ170" t="s">
        <v>202</v>
      </c>
      <c r="CA170" t="s">
        <v>459</v>
      </c>
      <c r="CC170" t="s">
        <v>100</v>
      </c>
      <c r="CD170">
        <v>2196</v>
      </c>
      <c r="CE170" t="s">
        <v>94</v>
      </c>
      <c r="CF170" s="2">
        <v>44362</v>
      </c>
      <c r="CI170">
        <v>1</v>
      </c>
      <c r="CJ170">
        <v>1</v>
      </c>
      <c r="CK170">
        <v>32</v>
      </c>
      <c r="CL170" t="s">
        <v>80</v>
      </c>
    </row>
    <row r="171" spans="1:90" x14ac:dyDescent="0.25">
      <c r="A171" t="s">
        <v>228</v>
      </c>
      <c r="B171" t="s">
        <v>229</v>
      </c>
      <c r="C171" t="s">
        <v>72</v>
      </c>
      <c r="E171" t="str">
        <f>"009940714815"</f>
        <v>009940714815</v>
      </c>
      <c r="F171" s="2">
        <v>44361</v>
      </c>
      <c r="G171">
        <v>202112</v>
      </c>
      <c r="H171" t="s">
        <v>97</v>
      </c>
      <c r="I171" t="s">
        <v>98</v>
      </c>
      <c r="J171" t="s">
        <v>234</v>
      </c>
      <c r="K171" t="s">
        <v>75</v>
      </c>
      <c r="L171" t="s">
        <v>99</v>
      </c>
      <c r="M171" t="s">
        <v>100</v>
      </c>
      <c r="N171" t="s">
        <v>490</v>
      </c>
      <c r="O171" t="s">
        <v>78</v>
      </c>
      <c r="P171" t="str">
        <f>"SAMANTHA                      "</f>
        <v xml:space="preserve">SAMANTHA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9.6300000000000008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51.5</v>
      </c>
      <c r="BM171">
        <v>7.73</v>
      </c>
      <c r="BN171">
        <v>59.23</v>
      </c>
      <c r="BO171">
        <v>59.23</v>
      </c>
      <c r="BQ171" t="s">
        <v>491</v>
      </c>
      <c r="BR171" t="s">
        <v>278</v>
      </c>
      <c r="BS171" s="2">
        <v>44362</v>
      </c>
      <c r="BT171" s="3">
        <v>0.2986111111111111</v>
      </c>
      <c r="BU171" t="s">
        <v>283</v>
      </c>
      <c r="BV171" t="s">
        <v>79</v>
      </c>
      <c r="BY171">
        <v>1200</v>
      </c>
      <c r="BZ171" t="s">
        <v>81</v>
      </c>
      <c r="CA171" t="s">
        <v>206</v>
      </c>
      <c r="CC171" t="s">
        <v>100</v>
      </c>
      <c r="CD171">
        <v>2000</v>
      </c>
      <c r="CE171" t="s">
        <v>94</v>
      </c>
      <c r="CF171" s="2">
        <v>44362</v>
      </c>
      <c r="CI171">
        <v>1</v>
      </c>
      <c r="CJ171">
        <v>1</v>
      </c>
      <c r="CK171">
        <v>21</v>
      </c>
      <c r="CL171" t="s">
        <v>80</v>
      </c>
    </row>
    <row r="172" spans="1:90" x14ac:dyDescent="0.25">
      <c r="A172" t="s">
        <v>228</v>
      </c>
      <c r="B172" t="s">
        <v>229</v>
      </c>
      <c r="C172" t="s">
        <v>72</v>
      </c>
      <c r="E172" t="str">
        <f>"009941026559"</f>
        <v>009941026559</v>
      </c>
      <c r="F172" s="2">
        <v>44361</v>
      </c>
      <c r="G172">
        <v>202112</v>
      </c>
      <c r="H172" t="s">
        <v>99</v>
      </c>
      <c r="I172" t="s">
        <v>100</v>
      </c>
      <c r="J172" t="s">
        <v>230</v>
      </c>
      <c r="K172" t="s">
        <v>75</v>
      </c>
      <c r="L172" t="s">
        <v>109</v>
      </c>
      <c r="M172" t="s">
        <v>110</v>
      </c>
      <c r="N172" t="s">
        <v>492</v>
      </c>
      <c r="O172" t="s">
        <v>183</v>
      </c>
      <c r="P172" t="str">
        <f t="shared" ref="P172:P177" si="4">"..                            "</f>
        <v xml:space="preserve">..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18.059999999999999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0.6</v>
      </c>
      <c r="BJ172">
        <v>1.3</v>
      </c>
      <c r="BK172">
        <v>2</v>
      </c>
      <c r="BL172">
        <v>96.56</v>
      </c>
      <c r="BM172">
        <v>14.48</v>
      </c>
      <c r="BN172">
        <v>111.04</v>
      </c>
      <c r="BO172">
        <v>111.04</v>
      </c>
      <c r="BR172" t="s">
        <v>232</v>
      </c>
      <c r="BS172" s="2">
        <v>44362</v>
      </c>
      <c r="BT172" s="3">
        <v>0.55277777777777781</v>
      </c>
      <c r="BU172" t="s">
        <v>493</v>
      </c>
      <c r="BV172" t="s">
        <v>80</v>
      </c>
      <c r="BW172" t="s">
        <v>118</v>
      </c>
      <c r="BX172" t="s">
        <v>130</v>
      </c>
      <c r="BY172">
        <v>6304.14</v>
      </c>
      <c r="BZ172" t="s">
        <v>202</v>
      </c>
      <c r="CA172" t="s">
        <v>135</v>
      </c>
      <c r="CC172" t="s">
        <v>110</v>
      </c>
      <c r="CD172">
        <v>7975</v>
      </c>
      <c r="CE172" t="s">
        <v>94</v>
      </c>
      <c r="CF172" s="2">
        <v>44364</v>
      </c>
      <c r="CI172">
        <v>1</v>
      </c>
      <c r="CJ172">
        <v>1</v>
      </c>
      <c r="CK172">
        <v>31</v>
      </c>
      <c r="CL172" t="s">
        <v>80</v>
      </c>
    </row>
    <row r="173" spans="1:90" x14ac:dyDescent="0.25">
      <c r="A173" t="s">
        <v>228</v>
      </c>
      <c r="B173" t="s">
        <v>229</v>
      </c>
      <c r="C173" t="s">
        <v>72</v>
      </c>
      <c r="E173" t="str">
        <f>"009941026561"</f>
        <v>009941026561</v>
      </c>
      <c r="F173" s="2">
        <v>44361</v>
      </c>
      <c r="G173">
        <v>202112</v>
      </c>
      <c r="H173" t="s">
        <v>99</v>
      </c>
      <c r="I173" t="s">
        <v>100</v>
      </c>
      <c r="J173" t="s">
        <v>230</v>
      </c>
      <c r="K173" t="s">
        <v>75</v>
      </c>
      <c r="L173" t="s">
        <v>109</v>
      </c>
      <c r="M173" t="s">
        <v>110</v>
      </c>
      <c r="N173" t="s">
        <v>494</v>
      </c>
      <c r="O173" t="s">
        <v>183</v>
      </c>
      <c r="P173" t="str">
        <f t="shared" si="4"/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40.630000000000003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3.2</v>
      </c>
      <c r="BJ173">
        <v>9</v>
      </c>
      <c r="BK173">
        <v>9</v>
      </c>
      <c r="BL173">
        <v>217.28</v>
      </c>
      <c r="BM173">
        <v>32.590000000000003</v>
      </c>
      <c r="BN173">
        <v>249.87</v>
      </c>
      <c r="BO173">
        <v>249.87</v>
      </c>
      <c r="BR173" t="s">
        <v>232</v>
      </c>
      <c r="BS173" s="2">
        <v>44362</v>
      </c>
      <c r="BT173" s="3">
        <v>0.48958333333333331</v>
      </c>
      <c r="BU173" t="s">
        <v>495</v>
      </c>
      <c r="BV173" t="s">
        <v>79</v>
      </c>
      <c r="BY173">
        <v>45218.46</v>
      </c>
      <c r="BZ173" t="s">
        <v>202</v>
      </c>
      <c r="CA173" t="s">
        <v>496</v>
      </c>
      <c r="CC173" t="s">
        <v>110</v>
      </c>
      <c r="CD173">
        <v>8005</v>
      </c>
      <c r="CE173" t="s">
        <v>94</v>
      </c>
      <c r="CF173" s="2">
        <v>44364</v>
      </c>
      <c r="CI173">
        <v>1</v>
      </c>
      <c r="CJ173">
        <v>1</v>
      </c>
      <c r="CK173">
        <v>31</v>
      </c>
      <c r="CL173" t="s">
        <v>80</v>
      </c>
    </row>
    <row r="174" spans="1:90" x14ac:dyDescent="0.25">
      <c r="A174" t="s">
        <v>228</v>
      </c>
      <c r="B174" t="s">
        <v>229</v>
      </c>
      <c r="C174" t="s">
        <v>72</v>
      </c>
      <c r="E174" t="str">
        <f>"009941026560"</f>
        <v>009941026560</v>
      </c>
      <c r="F174" s="2">
        <v>44361</v>
      </c>
      <c r="G174">
        <v>202112</v>
      </c>
      <c r="H174" t="s">
        <v>99</v>
      </c>
      <c r="I174" t="s">
        <v>100</v>
      </c>
      <c r="J174" t="s">
        <v>230</v>
      </c>
      <c r="K174" t="s">
        <v>75</v>
      </c>
      <c r="L174" t="s">
        <v>87</v>
      </c>
      <c r="M174" t="s">
        <v>88</v>
      </c>
      <c r="N174" t="s">
        <v>497</v>
      </c>
      <c r="O174" t="s">
        <v>183</v>
      </c>
      <c r="P174" t="str">
        <f t="shared" si="4"/>
        <v xml:space="preserve">..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18.059999999999999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2.5</v>
      </c>
      <c r="BK174">
        <v>3</v>
      </c>
      <c r="BL174">
        <v>96.56</v>
      </c>
      <c r="BM174">
        <v>14.48</v>
      </c>
      <c r="BN174">
        <v>111.04</v>
      </c>
      <c r="BO174">
        <v>111.04</v>
      </c>
      <c r="BR174" t="s">
        <v>232</v>
      </c>
      <c r="BS174" s="2">
        <v>44364</v>
      </c>
      <c r="BT174" s="3">
        <v>0.38194444444444442</v>
      </c>
      <c r="BU174" t="s">
        <v>498</v>
      </c>
      <c r="BV174" t="s">
        <v>80</v>
      </c>
      <c r="BW174" t="s">
        <v>201</v>
      </c>
      <c r="BX174" t="s">
        <v>103</v>
      </c>
      <c r="BY174">
        <v>12664.81</v>
      </c>
      <c r="BZ174" t="s">
        <v>202</v>
      </c>
      <c r="CA174" t="s">
        <v>499</v>
      </c>
      <c r="CC174" t="s">
        <v>88</v>
      </c>
      <c r="CD174">
        <v>5200</v>
      </c>
      <c r="CE174" t="s">
        <v>94</v>
      </c>
      <c r="CF174" s="2">
        <v>44364</v>
      </c>
      <c r="CI174">
        <v>1</v>
      </c>
      <c r="CJ174">
        <v>3</v>
      </c>
      <c r="CK174">
        <v>31</v>
      </c>
      <c r="CL174" t="s">
        <v>80</v>
      </c>
    </row>
    <row r="175" spans="1:90" x14ac:dyDescent="0.25">
      <c r="A175" t="s">
        <v>228</v>
      </c>
      <c r="B175" t="s">
        <v>229</v>
      </c>
      <c r="C175" t="s">
        <v>72</v>
      </c>
      <c r="E175" t="str">
        <f>"009941548397"</f>
        <v>009941548397</v>
      </c>
      <c r="F175" s="2">
        <v>44361</v>
      </c>
      <c r="G175">
        <v>202112</v>
      </c>
      <c r="H175" t="s">
        <v>99</v>
      </c>
      <c r="I175" t="s">
        <v>100</v>
      </c>
      <c r="J175" t="s">
        <v>234</v>
      </c>
      <c r="K175" t="s">
        <v>75</v>
      </c>
      <c r="L175" t="s">
        <v>97</v>
      </c>
      <c r="M175" t="s">
        <v>98</v>
      </c>
      <c r="N175" t="s">
        <v>234</v>
      </c>
      <c r="O175" t="s">
        <v>78</v>
      </c>
      <c r="P175" t="str">
        <f t="shared" si="4"/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14.44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2.9</v>
      </c>
      <c r="BJ175">
        <v>2.7</v>
      </c>
      <c r="BK175">
        <v>3</v>
      </c>
      <c r="BL175">
        <v>77.23</v>
      </c>
      <c r="BM175">
        <v>11.58</v>
      </c>
      <c r="BN175">
        <v>88.81</v>
      </c>
      <c r="BO175">
        <v>88.81</v>
      </c>
      <c r="BQ175" t="s">
        <v>500</v>
      </c>
      <c r="BR175" t="s">
        <v>236</v>
      </c>
      <c r="BS175" s="2">
        <v>44362</v>
      </c>
      <c r="BT175" s="3">
        <v>0.33888888888888885</v>
      </c>
      <c r="BU175" t="s">
        <v>501</v>
      </c>
      <c r="BV175" t="s">
        <v>79</v>
      </c>
      <c r="BY175">
        <v>13681.04</v>
      </c>
      <c r="BZ175" t="s">
        <v>81</v>
      </c>
      <c r="CA175" t="s">
        <v>211</v>
      </c>
      <c r="CC175" t="s">
        <v>98</v>
      </c>
      <c r="CD175">
        <v>3629</v>
      </c>
      <c r="CE175" t="s">
        <v>94</v>
      </c>
      <c r="CF175" s="2">
        <v>44364</v>
      </c>
      <c r="CI175">
        <v>1</v>
      </c>
      <c r="CJ175">
        <v>1</v>
      </c>
      <c r="CK175">
        <v>21</v>
      </c>
      <c r="CL175" t="s">
        <v>80</v>
      </c>
    </row>
    <row r="176" spans="1:90" x14ac:dyDescent="0.25">
      <c r="A176" t="s">
        <v>228</v>
      </c>
      <c r="B176" t="s">
        <v>229</v>
      </c>
      <c r="C176" t="s">
        <v>72</v>
      </c>
      <c r="E176" t="str">
        <f>"009941026556"</f>
        <v>009941026556</v>
      </c>
      <c r="F176" s="2">
        <v>44361</v>
      </c>
      <c r="G176">
        <v>202112</v>
      </c>
      <c r="H176" t="s">
        <v>99</v>
      </c>
      <c r="I176" t="s">
        <v>100</v>
      </c>
      <c r="J176" t="s">
        <v>230</v>
      </c>
      <c r="K176" t="s">
        <v>75</v>
      </c>
      <c r="L176" t="s">
        <v>91</v>
      </c>
      <c r="M176" t="s">
        <v>92</v>
      </c>
      <c r="N176" t="s">
        <v>502</v>
      </c>
      <c r="O176" t="s">
        <v>183</v>
      </c>
      <c r="P176" t="str">
        <f t="shared" si="4"/>
        <v xml:space="preserve">..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7.52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1.3</v>
      </c>
      <c r="BK176">
        <v>2</v>
      </c>
      <c r="BL176">
        <v>40.229999999999997</v>
      </c>
      <c r="BM176">
        <v>6.03</v>
      </c>
      <c r="BN176">
        <v>46.26</v>
      </c>
      <c r="BO176">
        <v>46.26</v>
      </c>
      <c r="BR176" t="s">
        <v>232</v>
      </c>
      <c r="BS176" s="2">
        <v>44362</v>
      </c>
      <c r="BT176" s="3">
        <v>0.45902777777777781</v>
      </c>
      <c r="BU176" t="s">
        <v>133</v>
      </c>
      <c r="BV176" t="s">
        <v>79</v>
      </c>
      <c r="BY176">
        <v>6387.98</v>
      </c>
      <c r="BZ176" t="s">
        <v>202</v>
      </c>
      <c r="CA176" t="s">
        <v>221</v>
      </c>
      <c r="CC176" t="s">
        <v>92</v>
      </c>
      <c r="CD176">
        <v>2170</v>
      </c>
      <c r="CE176" t="s">
        <v>94</v>
      </c>
      <c r="CF176" s="2">
        <v>44362</v>
      </c>
      <c r="CI176">
        <v>1</v>
      </c>
      <c r="CJ176">
        <v>1</v>
      </c>
      <c r="CK176">
        <v>32</v>
      </c>
      <c r="CL176" t="s">
        <v>80</v>
      </c>
    </row>
    <row r="177" spans="1:90" x14ac:dyDescent="0.25">
      <c r="A177" t="s">
        <v>228</v>
      </c>
      <c r="B177" t="s">
        <v>229</v>
      </c>
      <c r="C177" t="s">
        <v>72</v>
      </c>
      <c r="E177" t="str">
        <f>"009941026558"</f>
        <v>009941026558</v>
      </c>
      <c r="F177" s="2">
        <v>44361</v>
      </c>
      <c r="G177">
        <v>202112</v>
      </c>
      <c r="H177" t="s">
        <v>99</v>
      </c>
      <c r="I177" t="s">
        <v>100</v>
      </c>
      <c r="J177" t="s">
        <v>230</v>
      </c>
      <c r="K177" t="s">
        <v>75</v>
      </c>
      <c r="L177" t="s">
        <v>73</v>
      </c>
      <c r="M177" t="s">
        <v>74</v>
      </c>
      <c r="N177" t="s">
        <v>503</v>
      </c>
      <c r="O177" t="s">
        <v>183</v>
      </c>
      <c r="P177" t="str">
        <f t="shared" si="4"/>
        <v xml:space="preserve">..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18.059999999999999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1.3</v>
      </c>
      <c r="BK177">
        <v>2</v>
      </c>
      <c r="BL177">
        <v>96.56</v>
      </c>
      <c r="BM177">
        <v>14.48</v>
      </c>
      <c r="BN177">
        <v>111.04</v>
      </c>
      <c r="BO177">
        <v>111.04</v>
      </c>
      <c r="BR177" t="s">
        <v>232</v>
      </c>
      <c r="BS177" s="2">
        <v>44362</v>
      </c>
      <c r="BT177" s="3">
        <v>0.5</v>
      </c>
      <c r="BU177" t="s">
        <v>504</v>
      </c>
      <c r="BV177" t="s">
        <v>79</v>
      </c>
      <c r="BY177">
        <v>6322.21</v>
      </c>
      <c r="BZ177" t="s">
        <v>202</v>
      </c>
      <c r="CA177" t="s">
        <v>505</v>
      </c>
      <c r="CC177" t="s">
        <v>74</v>
      </c>
      <c r="CD177">
        <v>1</v>
      </c>
      <c r="CE177" t="s">
        <v>94</v>
      </c>
      <c r="CF177" s="2">
        <v>44362</v>
      </c>
      <c r="CI177">
        <v>1</v>
      </c>
      <c r="CJ177">
        <v>1</v>
      </c>
      <c r="CK177">
        <v>31</v>
      </c>
      <c r="CL177" t="s">
        <v>80</v>
      </c>
    </row>
    <row r="178" spans="1:90" x14ac:dyDescent="0.25">
      <c r="A178" t="s">
        <v>228</v>
      </c>
      <c r="B178" t="s">
        <v>229</v>
      </c>
      <c r="C178" t="s">
        <v>72</v>
      </c>
      <c r="E178" t="str">
        <f>"009941507282"</f>
        <v>009941507282</v>
      </c>
      <c r="F178" s="2">
        <v>44357</v>
      </c>
      <c r="G178">
        <v>202112</v>
      </c>
      <c r="H178" t="s">
        <v>97</v>
      </c>
      <c r="I178" t="s">
        <v>98</v>
      </c>
      <c r="J178" t="s">
        <v>467</v>
      </c>
      <c r="K178" t="s">
        <v>75</v>
      </c>
      <c r="L178" t="s">
        <v>99</v>
      </c>
      <c r="M178" t="s">
        <v>100</v>
      </c>
      <c r="N178" t="s">
        <v>234</v>
      </c>
      <c r="O178" t="s">
        <v>78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9.6300000000000008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51.5</v>
      </c>
      <c r="BM178">
        <v>7.73</v>
      </c>
      <c r="BN178">
        <v>59.23</v>
      </c>
      <c r="BO178">
        <v>59.23</v>
      </c>
      <c r="BS178" s="2">
        <v>44358</v>
      </c>
      <c r="BT178" s="3">
        <v>0.31597222222222221</v>
      </c>
      <c r="BU178" t="s">
        <v>180</v>
      </c>
      <c r="BV178" t="s">
        <v>79</v>
      </c>
      <c r="BY178">
        <v>1200</v>
      </c>
      <c r="BZ178" t="s">
        <v>81</v>
      </c>
      <c r="CA178" t="s">
        <v>150</v>
      </c>
      <c r="CC178" t="s">
        <v>100</v>
      </c>
      <c r="CD178">
        <v>2013</v>
      </c>
      <c r="CE178" t="s">
        <v>94</v>
      </c>
      <c r="CF178" s="2">
        <v>44358</v>
      </c>
      <c r="CI178">
        <v>1</v>
      </c>
      <c r="CJ178">
        <v>1</v>
      </c>
      <c r="CK178">
        <v>21</v>
      </c>
      <c r="CL178" t="s">
        <v>80</v>
      </c>
    </row>
    <row r="179" spans="1:90" x14ac:dyDescent="0.25">
      <c r="A179" t="s">
        <v>228</v>
      </c>
      <c r="B179" t="s">
        <v>229</v>
      </c>
      <c r="C179" t="s">
        <v>72</v>
      </c>
      <c r="E179" t="str">
        <f>"009941026554"</f>
        <v>009941026554</v>
      </c>
      <c r="F179" s="2">
        <v>44357</v>
      </c>
      <c r="G179">
        <v>202112</v>
      </c>
      <c r="H179" t="s">
        <v>99</v>
      </c>
      <c r="I179" t="s">
        <v>100</v>
      </c>
      <c r="J179" t="s">
        <v>230</v>
      </c>
      <c r="K179" t="s">
        <v>75</v>
      </c>
      <c r="L179" t="s">
        <v>97</v>
      </c>
      <c r="M179" t="s">
        <v>98</v>
      </c>
      <c r="N179" t="s">
        <v>506</v>
      </c>
      <c r="O179" t="s">
        <v>183</v>
      </c>
      <c r="P179" t="str">
        <f t="shared" ref="P179:P186" si="5">"..                            "</f>
        <v xml:space="preserve">..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18.059999999999999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0.8</v>
      </c>
      <c r="BJ179">
        <v>1.2</v>
      </c>
      <c r="BK179">
        <v>2</v>
      </c>
      <c r="BL179">
        <v>96.56</v>
      </c>
      <c r="BM179">
        <v>14.48</v>
      </c>
      <c r="BN179">
        <v>111.04</v>
      </c>
      <c r="BO179">
        <v>111.04</v>
      </c>
      <c r="BR179" t="s">
        <v>232</v>
      </c>
      <c r="BS179" s="2">
        <v>44358</v>
      </c>
      <c r="BT179" s="3">
        <v>0.45277777777777778</v>
      </c>
      <c r="BU179" t="s">
        <v>507</v>
      </c>
      <c r="BV179" t="s">
        <v>79</v>
      </c>
      <c r="BY179">
        <v>5852.96</v>
      </c>
      <c r="BZ179" t="s">
        <v>202</v>
      </c>
      <c r="CA179" t="s">
        <v>138</v>
      </c>
      <c r="CC179" t="s">
        <v>98</v>
      </c>
      <c r="CD179">
        <v>4036</v>
      </c>
      <c r="CE179" t="s">
        <v>94</v>
      </c>
      <c r="CF179" s="2">
        <v>44361</v>
      </c>
      <c r="CI179">
        <v>1</v>
      </c>
      <c r="CJ179">
        <v>1</v>
      </c>
      <c r="CK179">
        <v>31</v>
      </c>
      <c r="CL179" t="s">
        <v>80</v>
      </c>
    </row>
    <row r="180" spans="1:90" x14ac:dyDescent="0.25">
      <c r="A180" t="s">
        <v>228</v>
      </c>
      <c r="B180" t="s">
        <v>229</v>
      </c>
      <c r="C180" t="s">
        <v>72</v>
      </c>
      <c r="E180" t="str">
        <f>"009941026552"</f>
        <v>009941026552</v>
      </c>
      <c r="F180" s="2">
        <v>44357</v>
      </c>
      <c r="G180">
        <v>202112</v>
      </c>
      <c r="H180" t="s">
        <v>99</v>
      </c>
      <c r="I180" t="s">
        <v>100</v>
      </c>
      <c r="J180" t="s">
        <v>230</v>
      </c>
      <c r="K180" t="s">
        <v>75</v>
      </c>
      <c r="L180" t="s">
        <v>99</v>
      </c>
      <c r="M180" t="s">
        <v>100</v>
      </c>
      <c r="N180" t="s">
        <v>508</v>
      </c>
      <c r="O180" t="s">
        <v>183</v>
      </c>
      <c r="P180" t="str">
        <f t="shared" si="5"/>
        <v xml:space="preserve">..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7.52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1.9</v>
      </c>
      <c r="BK180">
        <v>2</v>
      </c>
      <c r="BL180">
        <v>40.229999999999997</v>
      </c>
      <c r="BM180">
        <v>6.03</v>
      </c>
      <c r="BN180">
        <v>46.26</v>
      </c>
      <c r="BO180">
        <v>46.26</v>
      </c>
      <c r="BR180" t="s">
        <v>232</v>
      </c>
      <c r="BS180" s="2">
        <v>44358</v>
      </c>
      <c r="BT180" s="3">
        <v>0.45208333333333334</v>
      </c>
      <c r="BU180" t="s">
        <v>509</v>
      </c>
      <c r="BV180" t="s">
        <v>79</v>
      </c>
      <c r="BY180">
        <v>9446.98</v>
      </c>
      <c r="BZ180" t="s">
        <v>202</v>
      </c>
      <c r="CA180" t="s">
        <v>206</v>
      </c>
      <c r="CC180" t="s">
        <v>100</v>
      </c>
      <c r="CD180">
        <v>2021</v>
      </c>
      <c r="CE180" t="s">
        <v>94</v>
      </c>
      <c r="CF180" s="2">
        <v>44359</v>
      </c>
      <c r="CI180">
        <v>1</v>
      </c>
      <c r="CJ180">
        <v>1</v>
      </c>
      <c r="CK180">
        <v>32</v>
      </c>
      <c r="CL180" t="s">
        <v>80</v>
      </c>
    </row>
    <row r="181" spans="1:90" x14ac:dyDescent="0.25">
      <c r="A181" t="s">
        <v>228</v>
      </c>
      <c r="B181" t="s">
        <v>229</v>
      </c>
      <c r="C181" t="s">
        <v>72</v>
      </c>
      <c r="E181" t="str">
        <f>"009941026553"</f>
        <v>009941026553</v>
      </c>
      <c r="F181" s="2">
        <v>44357</v>
      </c>
      <c r="G181">
        <v>202112</v>
      </c>
      <c r="H181" t="s">
        <v>99</v>
      </c>
      <c r="I181" t="s">
        <v>100</v>
      </c>
      <c r="J181" t="s">
        <v>230</v>
      </c>
      <c r="K181" t="s">
        <v>75</v>
      </c>
      <c r="L181" t="s">
        <v>148</v>
      </c>
      <c r="M181" t="s">
        <v>149</v>
      </c>
      <c r="N181" t="s">
        <v>510</v>
      </c>
      <c r="O181" t="s">
        <v>183</v>
      </c>
      <c r="P181" t="str">
        <f t="shared" si="5"/>
        <v xml:space="preserve">..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13.54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72.42</v>
      </c>
      <c r="BM181">
        <v>10.86</v>
      </c>
      <c r="BN181">
        <v>83.28</v>
      </c>
      <c r="BO181">
        <v>83.28</v>
      </c>
      <c r="BQ181" t="s">
        <v>511</v>
      </c>
      <c r="BR181" t="s">
        <v>232</v>
      </c>
      <c r="BS181" s="2">
        <v>44358</v>
      </c>
      <c r="BT181" s="3">
        <v>0.5805555555555556</v>
      </c>
      <c r="BU181" t="s">
        <v>512</v>
      </c>
      <c r="BV181" t="s">
        <v>79</v>
      </c>
      <c r="BY181">
        <v>1200</v>
      </c>
      <c r="BZ181" t="s">
        <v>202</v>
      </c>
      <c r="CA181" t="s">
        <v>176</v>
      </c>
      <c r="CC181" t="s">
        <v>149</v>
      </c>
      <c r="CD181">
        <v>1759</v>
      </c>
      <c r="CE181" t="s">
        <v>94</v>
      </c>
      <c r="CF181" s="2">
        <v>44358</v>
      </c>
      <c r="CI181">
        <v>1</v>
      </c>
      <c r="CJ181">
        <v>1</v>
      </c>
      <c r="CK181">
        <v>34</v>
      </c>
      <c r="CL181" t="s">
        <v>80</v>
      </c>
    </row>
    <row r="182" spans="1:90" x14ac:dyDescent="0.25">
      <c r="A182" t="s">
        <v>228</v>
      </c>
      <c r="B182" t="s">
        <v>229</v>
      </c>
      <c r="C182" t="s">
        <v>72</v>
      </c>
      <c r="E182" t="str">
        <f>"009941472076"</f>
        <v>009941472076</v>
      </c>
      <c r="F182" s="2">
        <v>44357</v>
      </c>
      <c r="G182">
        <v>202112</v>
      </c>
      <c r="H182" t="s">
        <v>99</v>
      </c>
      <c r="I182" t="s">
        <v>100</v>
      </c>
      <c r="J182" t="s">
        <v>266</v>
      </c>
      <c r="K182" t="s">
        <v>75</v>
      </c>
      <c r="L182" t="s">
        <v>99</v>
      </c>
      <c r="M182" t="s">
        <v>100</v>
      </c>
      <c r="N182" t="s">
        <v>234</v>
      </c>
      <c r="O182" t="s">
        <v>78</v>
      </c>
      <c r="P182" t="str">
        <f t="shared" si="5"/>
        <v xml:space="preserve">..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7.52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40.229999999999997</v>
      </c>
      <c r="BM182">
        <v>6.03</v>
      </c>
      <c r="BN182">
        <v>46.26</v>
      </c>
      <c r="BO182">
        <v>46.26</v>
      </c>
      <c r="BR182" t="s">
        <v>267</v>
      </c>
      <c r="BS182" s="2">
        <v>44358</v>
      </c>
      <c r="BT182" s="3">
        <v>0.31319444444444444</v>
      </c>
      <c r="BU182" t="s">
        <v>180</v>
      </c>
      <c r="BV182" t="s">
        <v>79</v>
      </c>
      <c r="BY182">
        <v>1200</v>
      </c>
      <c r="BZ182" t="s">
        <v>81</v>
      </c>
      <c r="CA182" t="s">
        <v>150</v>
      </c>
      <c r="CC182" t="s">
        <v>100</v>
      </c>
      <c r="CD182">
        <v>2013</v>
      </c>
      <c r="CE182" t="s">
        <v>94</v>
      </c>
      <c r="CF182" s="2">
        <v>44358</v>
      </c>
      <c r="CI182">
        <v>1</v>
      </c>
      <c r="CJ182">
        <v>1</v>
      </c>
      <c r="CK182">
        <v>22</v>
      </c>
      <c r="CL182" t="s">
        <v>80</v>
      </c>
    </row>
    <row r="183" spans="1:90" x14ac:dyDescent="0.25">
      <c r="A183" t="s">
        <v>228</v>
      </c>
      <c r="B183" t="s">
        <v>229</v>
      </c>
      <c r="C183" t="s">
        <v>72</v>
      </c>
      <c r="E183" t="str">
        <f>"009941855301"</f>
        <v>009941855301</v>
      </c>
      <c r="F183" s="2">
        <v>44357</v>
      </c>
      <c r="G183">
        <v>202112</v>
      </c>
      <c r="H183" t="s">
        <v>91</v>
      </c>
      <c r="I183" t="s">
        <v>92</v>
      </c>
      <c r="J183" t="s">
        <v>592</v>
      </c>
      <c r="K183" t="s">
        <v>75</v>
      </c>
      <c r="L183" t="s">
        <v>99</v>
      </c>
      <c r="M183" t="s">
        <v>100</v>
      </c>
      <c r="N183" t="s">
        <v>234</v>
      </c>
      <c r="O183" t="s">
        <v>78</v>
      </c>
      <c r="P183" t="str">
        <f t="shared" si="5"/>
        <v xml:space="preserve">..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7.52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40.229999999999997</v>
      </c>
      <c r="BM183">
        <v>6.03</v>
      </c>
      <c r="BN183">
        <v>46.26</v>
      </c>
      <c r="BO183">
        <v>46.26</v>
      </c>
      <c r="BQ183" t="s">
        <v>226</v>
      </c>
      <c r="BR183" t="s">
        <v>513</v>
      </c>
      <c r="BS183" s="2">
        <v>44358</v>
      </c>
      <c r="BT183" s="3">
        <v>0.31458333333333333</v>
      </c>
      <c r="BU183" t="s">
        <v>180</v>
      </c>
      <c r="BV183" t="s">
        <v>79</v>
      </c>
      <c r="BY183">
        <v>1200</v>
      </c>
      <c r="BZ183" t="s">
        <v>81</v>
      </c>
      <c r="CA183" t="s">
        <v>150</v>
      </c>
      <c r="CC183" t="s">
        <v>100</v>
      </c>
      <c r="CD183">
        <v>2013</v>
      </c>
      <c r="CE183" t="s">
        <v>94</v>
      </c>
      <c r="CF183" s="2">
        <v>44358</v>
      </c>
      <c r="CI183">
        <v>1</v>
      </c>
      <c r="CJ183">
        <v>1</v>
      </c>
      <c r="CK183">
        <v>22</v>
      </c>
      <c r="CL183" t="s">
        <v>80</v>
      </c>
    </row>
    <row r="184" spans="1:90" x14ac:dyDescent="0.25">
      <c r="A184" t="s">
        <v>228</v>
      </c>
      <c r="B184" t="s">
        <v>229</v>
      </c>
      <c r="C184" t="s">
        <v>72</v>
      </c>
      <c r="E184" t="str">
        <f>"009940662691"</f>
        <v>009940662691</v>
      </c>
      <c r="F184" s="2">
        <v>44357</v>
      </c>
      <c r="G184">
        <v>202112</v>
      </c>
      <c r="H184" t="s">
        <v>151</v>
      </c>
      <c r="I184" t="s">
        <v>152</v>
      </c>
      <c r="J184" t="s">
        <v>593</v>
      </c>
      <c r="K184" t="s">
        <v>75</v>
      </c>
      <c r="L184" t="s">
        <v>99</v>
      </c>
      <c r="M184" t="s">
        <v>100</v>
      </c>
      <c r="N184" t="s">
        <v>234</v>
      </c>
      <c r="O184" t="s">
        <v>78</v>
      </c>
      <c r="P184" t="str">
        <f t="shared" si="5"/>
        <v xml:space="preserve">..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13.54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72.42</v>
      </c>
      <c r="BM184">
        <v>10.86</v>
      </c>
      <c r="BN184">
        <v>83.28</v>
      </c>
      <c r="BO184">
        <v>83.28</v>
      </c>
      <c r="BQ184" t="s">
        <v>226</v>
      </c>
      <c r="BR184" t="s">
        <v>226</v>
      </c>
      <c r="BS184" s="2">
        <v>44358</v>
      </c>
      <c r="BT184" s="3">
        <v>0.31319444444444444</v>
      </c>
      <c r="BU184" t="s">
        <v>180</v>
      </c>
      <c r="BV184" t="s">
        <v>79</v>
      </c>
      <c r="BY184">
        <v>1200</v>
      </c>
      <c r="BZ184" t="s">
        <v>81</v>
      </c>
      <c r="CA184" t="s">
        <v>150</v>
      </c>
      <c r="CC184" t="s">
        <v>100</v>
      </c>
      <c r="CD184">
        <v>2013</v>
      </c>
      <c r="CE184" t="s">
        <v>94</v>
      </c>
      <c r="CF184" s="2">
        <v>44358</v>
      </c>
      <c r="CI184">
        <v>1</v>
      </c>
      <c r="CJ184">
        <v>1</v>
      </c>
      <c r="CK184">
        <v>24</v>
      </c>
      <c r="CL184" t="s">
        <v>80</v>
      </c>
    </row>
    <row r="185" spans="1:90" x14ac:dyDescent="0.25">
      <c r="A185" t="s">
        <v>228</v>
      </c>
      <c r="B185" t="s">
        <v>229</v>
      </c>
      <c r="C185" t="s">
        <v>72</v>
      </c>
      <c r="E185" t="str">
        <f>"009938277644"</f>
        <v>009938277644</v>
      </c>
      <c r="F185" s="2">
        <v>44357</v>
      </c>
      <c r="G185">
        <v>202112</v>
      </c>
      <c r="H185" t="s">
        <v>99</v>
      </c>
      <c r="I185" t="s">
        <v>100</v>
      </c>
      <c r="J185" t="s">
        <v>594</v>
      </c>
      <c r="K185" t="s">
        <v>75</v>
      </c>
      <c r="L185" t="s">
        <v>99</v>
      </c>
      <c r="M185" t="s">
        <v>100</v>
      </c>
      <c r="N185" t="s">
        <v>234</v>
      </c>
      <c r="O185" t="s">
        <v>78</v>
      </c>
      <c r="P185" t="str">
        <f t="shared" si="5"/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7.52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40.229999999999997</v>
      </c>
      <c r="BM185">
        <v>6.03</v>
      </c>
      <c r="BN185">
        <v>46.26</v>
      </c>
      <c r="BO185">
        <v>46.26</v>
      </c>
      <c r="BQ185" t="s">
        <v>268</v>
      </c>
      <c r="BR185" t="s">
        <v>191</v>
      </c>
      <c r="BS185" s="2">
        <v>44358</v>
      </c>
      <c r="BT185" s="3">
        <v>0.31180555555555556</v>
      </c>
      <c r="BU185" t="s">
        <v>180</v>
      </c>
      <c r="BV185" t="s">
        <v>79</v>
      </c>
      <c r="BY185">
        <v>1200</v>
      </c>
      <c r="BZ185" t="s">
        <v>81</v>
      </c>
      <c r="CA185" t="s">
        <v>150</v>
      </c>
      <c r="CC185" t="s">
        <v>100</v>
      </c>
      <c r="CD185">
        <v>2013</v>
      </c>
      <c r="CE185" t="s">
        <v>94</v>
      </c>
      <c r="CF185" s="2">
        <v>44358</v>
      </c>
      <c r="CI185">
        <v>1</v>
      </c>
      <c r="CJ185">
        <v>1</v>
      </c>
      <c r="CK185">
        <v>22</v>
      </c>
      <c r="CL185" t="s">
        <v>80</v>
      </c>
    </row>
    <row r="186" spans="1:90" x14ac:dyDescent="0.25">
      <c r="A186" t="s">
        <v>228</v>
      </c>
      <c r="B186" t="s">
        <v>229</v>
      </c>
      <c r="C186" t="s">
        <v>72</v>
      </c>
      <c r="E186" t="str">
        <f>"009941485336"</f>
        <v>009941485336</v>
      </c>
      <c r="F186" s="2">
        <v>44357</v>
      </c>
      <c r="G186">
        <v>202112</v>
      </c>
      <c r="H186" t="s">
        <v>99</v>
      </c>
      <c r="I186" t="s">
        <v>100</v>
      </c>
      <c r="J186" t="s">
        <v>246</v>
      </c>
      <c r="K186" t="s">
        <v>75</v>
      </c>
      <c r="L186" t="s">
        <v>99</v>
      </c>
      <c r="M186" t="s">
        <v>100</v>
      </c>
      <c r="N186" t="s">
        <v>234</v>
      </c>
      <c r="O186" t="s">
        <v>78</v>
      </c>
      <c r="P186" t="str">
        <f t="shared" si="5"/>
        <v xml:space="preserve">..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7.52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40.229999999999997</v>
      </c>
      <c r="BM186">
        <v>6.03</v>
      </c>
      <c r="BN186">
        <v>46.26</v>
      </c>
      <c r="BO186">
        <v>46.26</v>
      </c>
      <c r="BR186" t="s">
        <v>267</v>
      </c>
      <c r="BS186" s="2">
        <v>44358</v>
      </c>
      <c r="BT186" s="3">
        <v>0.3125</v>
      </c>
      <c r="BU186" t="s">
        <v>180</v>
      </c>
      <c r="BV186" t="s">
        <v>79</v>
      </c>
      <c r="BY186">
        <v>1200</v>
      </c>
      <c r="BZ186" t="s">
        <v>81</v>
      </c>
      <c r="CA186" t="s">
        <v>150</v>
      </c>
      <c r="CC186" t="s">
        <v>100</v>
      </c>
      <c r="CD186">
        <v>2013</v>
      </c>
      <c r="CE186" t="s">
        <v>94</v>
      </c>
      <c r="CF186" s="2">
        <v>44358</v>
      </c>
      <c r="CI186">
        <v>1</v>
      </c>
      <c r="CJ186">
        <v>1</v>
      </c>
      <c r="CK186">
        <v>22</v>
      </c>
      <c r="CL186" t="s">
        <v>80</v>
      </c>
    </row>
    <row r="187" spans="1:90" x14ac:dyDescent="0.25">
      <c r="A187" t="s">
        <v>228</v>
      </c>
      <c r="B187" t="s">
        <v>229</v>
      </c>
      <c r="C187" t="s">
        <v>72</v>
      </c>
      <c r="E187" t="str">
        <f>"029908479183"</f>
        <v>029908479183</v>
      </c>
      <c r="F187" s="2">
        <v>44356</v>
      </c>
      <c r="G187">
        <v>202112</v>
      </c>
      <c r="H187" t="s">
        <v>315</v>
      </c>
      <c r="I187" t="s">
        <v>316</v>
      </c>
      <c r="J187" t="s">
        <v>246</v>
      </c>
      <c r="K187" t="s">
        <v>75</v>
      </c>
      <c r="L187" t="s">
        <v>99</v>
      </c>
      <c r="M187" t="s">
        <v>100</v>
      </c>
      <c r="N187" t="s">
        <v>317</v>
      </c>
      <c r="O187" t="s">
        <v>157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27.08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149.84</v>
      </c>
      <c r="BM187">
        <v>22.48</v>
      </c>
      <c r="BN187">
        <v>172.32</v>
      </c>
      <c r="BO187">
        <v>172.32</v>
      </c>
      <c r="BQ187" t="s">
        <v>318</v>
      </c>
      <c r="BR187" t="s">
        <v>474</v>
      </c>
      <c r="BS187" s="2">
        <v>44357</v>
      </c>
      <c r="BT187" s="3">
        <v>0.3034722222222222</v>
      </c>
      <c r="BU187" t="s">
        <v>180</v>
      </c>
      <c r="BV187" t="s">
        <v>79</v>
      </c>
      <c r="BY187">
        <v>1200</v>
      </c>
      <c r="CA187" t="s">
        <v>150</v>
      </c>
      <c r="CC187" t="s">
        <v>100</v>
      </c>
      <c r="CD187">
        <v>2013</v>
      </c>
      <c r="CE187" t="s">
        <v>94</v>
      </c>
      <c r="CF187" s="2">
        <v>44357</v>
      </c>
      <c r="CI187">
        <v>1</v>
      </c>
      <c r="CJ187">
        <v>1</v>
      </c>
      <c r="CK187" t="s">
        <v>320</v>
      </c>
      <c r="CL187" t="s">
        <v>80</v>
      </c>
    </row>
    <row r="188" spans="1:90" x14ac:dyDescent="0.25">
      <c r="A188" t="s">
        <v>228</v>
      </c>
      <c r="B188" t="s">
        <v>229</v>
      </c>
      <c r="C188" t="s">
        <v>72</v>
      </c>
      <c r="E188" t="str">
        <f>"009940742073"</f>
        <v>009940742073</v>
      </c>
      <c r="F188" s="2">
        <v>44355</v>
      </c>
      <c r="G188">
        <v>202112</v>
      </c>
      <c r="H188" t="s">
        <v>109</v>
      </c>
      <c r="I188" t="s">
        <v>110</v>
      </c>
      <c r="J188" t="s">
        <v>246</v>
      </c>
      <c r="K188" t="s">
        <v>75</v>
      </c>
      <c r="L188" t="s">
        <v>99</v>
      </c>
      <c r="M188" t="s">
        <v>100</v>
      </c>
      <c r="N188" t="s">
        <v>234</v>
      </c>
      <c r="O188" t="s">
        <v>78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12.04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2.2999999999999998</v>
      </c>
      <c r="BK188">
        <v>2.5</v>
      </c>
      <c r="BL188">
        <v>64.37</v>
      </c>
      <c r="BM188">
        <v>9.66</v>
      </c>
      <c r="BN188">
        <v>74.03</v>
      </c>
      <c r="BO188">
        <v>74.03</v>
      </c>
      <c r="BR188" t="s">
        <v>514</v>
      </c>
      <c r="BS188" s="2">
        <v>44356</v>
      </c>
      <c r="BT188" s="3">
        <v>0.32569444444444445</v>
      </c>
      <c r="BU188" t="s">
        <v>180</v>
      </c>
      <c r="BV188" t="s">
        <v>79</v>
      </c>
      <c r="BY188">
        <v>11716.78</v>
      </c>
      <c r="BZ188" t="s">
        <v>81</v>
      </c>
      <c r="CA188" t="s">
        <v>150</v>
      </c>
      <c r="CC188" t="s">
        <v>100</v>
      </c>
      <c r="CD188">
        <v>2013</v>
      </c>
      <c r="CE188" t="s">
        <v>94</v>
      </c>
      <c r="CF188" s="2">
        <v>44356</v>
      </c>
      <c r="CI188">
        <v>1</v>
      </c>
      <c r="CJ188">
        <v>1</v>
      </c>
      <c r="CK188">
        <v>21</v>
      </c>
      <c r="CL188" t="s">
        <v>80</v>
      </c>
    </row>
    <row r="189" spans="1:90" x14ac:dyDescent="0.25">
      <c r="A189" t="s">
        <v>228</v>
      </c>
      <c r="B189" t="s">
        <v>229</v>
      </c>
      <c r="C189" t="s">
        <v>72</v>
      </c>
      <c r="E189" t="str">
        <f>"009940898957"</f>
        <v>009940898957</v>
      </c>
      <c r="F189" s="2">
        <v>44357</v>
      </c>
      <c r="G189">
        <v>202112</v>
      </c>
      <c r="H189" t="s">
        <v>109</v>
      </c>
      <c r="I189" t="s">
        <v>110</v>
      </c>
      <c r="J189" t="s">
        <v>583</v>
      </c>
      <c r="K189" t="s">
        <v>75</v>
      </c>
      <c r="L189" t="s">
        <v>99</v>
      </c>
      <c r="M189" t="s">
        <v>100</v>
      </c>
      <c r="N189" t="s">
        <v>234</v>
      </c>
      <c r="O189" t="s">
        <v>78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9.6300000000000008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0.3</v>
      </c>
      <c r="BJ189">
        <v>1.5</v>
      </c>
      <c r="BK189">
        <v>1.5</v>
      </c>
      <c r="BL189">
        <v>51.5</v>
      </c>
      <c r="BM189">
        <v>7.73</v>
      </c>
      <c r="BN189">
        <v>59.23</v>
      </c>
      <c r="BO189">
        <v>59.23</v>
      </c>
      <c r="BQ189" t="s">
        <v>268</v>
      </c>
      <c r="BR189" t="s">
        <v>304</v>
      </c>
      <c r="BS189" s="2">
        <v>44358</v>
      </c>
      <c r="BT189" s="3">
        <v>0.31319444444444444</v>
      </c>
      <c r="BU189" t="s">
        <v>180</v>
      </c>
      <c r="BV189" t="s">
        <v>79</v>
      </c>
      <c r="BY189">
        <v>7623.59</v>
      </c>
      <c r="BZ189" t="s">
        <v>81</v>
      </c>
      <c r="CA189" t="s">
        <v>150</v>
      </c>
      <c r="CC189" t="s">
        <v>100</v>
      </c>
      <c r="CD189">
        <v>2013</v>
      </c>
      <c r="CE189" t="s">
        <v>94</v>
      </c>
      <c r="CF189" s="2">
        <v>44358</v>
      </c>
      <c r="CI189">
        <v>1</v>
      </c>
      <c r="CJ189">
        <v>1</v>
      </c>
      <c r="CK189">
        <v>21</v>
      </c>
      <c r="CL189" t="s">
        <v>80</v>
      </c>
    </row>
    <row r="190" spans="1:90" x14ac:dyDescent="0.25">
      <c r="A190" t="s">
        <v>228</v>
      </c>
      <c r="B190" t="s">
        <v>229</v>
      </c>
      <c r="C190" t="s">
        <v>72</v>
      </c>
      <c r="E190" t="str">
        <f>"009939926593"</f>
        <v>009939926593</v>
      </c>
      <c r="F190" s="2">
        <v>44357</v>
      </c>
      <c r="G190">
        <v>202112</v>
      </c>
      <c r="H190" t="s">
        <v>109</v>
      </c>
      <c r="I190" t="s">
        <v>110</v>
      </c>
      <c r="J190" t="s">
        <v>234</v>
      </c>
      <c r="K190" t="s">
        <v>75</v>
      </c>
      <c r="L190" t="s">
        <v>99</v>
      </c>
      <c r="M190" t="s">
        <v>100</v>
      </c>
      <c r="N190" t="s">
        <v>234</v>
      </c>
      <c r="O190" t="s">
        <v>78</v>
      </c>
      <c r="P190" t="str">
        <f>"..                            "</f>
        <v xml:space="preserve">..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12.04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2.4</v>
      </c>
      <c r="BK190">
        <v>2.5</v>
      </c>
      <c r="BL190">
        <v>64.37</v>
      </c>
      <c r="BM190">
        <v>9.66</v>
      </c>
      <c r="BN190">
        <v>74.03</v>
      </c>
      <c r="BO190">
        <v>74.03</v>
      </c>
      <c r="BQ190" t="s">
        <v>515</v>
      </c>
      <c r="BR190" t="s">
        <v>254</v>
      </c>
      <c r="BS190" s="2">
        <v>44358</v>
      </c>
      <c r="BT190" s="3">
        <v>0.31458333333333333</v>
      </c>
      <c r="BU190" t="s">
        <v>180</v>
      </c>
      <c r="BV190" t="s">
        <v>79</v>
      </c>
      <c r="BY190">
        <v>11788.14</v>
      </c>
      <c r="BZ190" t="s">
        <v>81</v>
      </c>
      <c r="CA190" t="s">
        <v>150</v>
      </c>
      <c r="CC190" t="s">
        <v>100</v>
      </c>
      <c r="CD190">
        <v>2013</v>
      </c>
      <c r="CE190" t="s">
        <v>94</v>
      </c>
      <c r="CF190" s="2">
        <v>44358</v>
      </c>
      <c r="CI190">
        <v>1</v>
      </c>
      <c r="CJ190">
        <v>1</v>
      </c>
      <c r="CK190">
        <v>21</v>
      </c>
      <c r="CL190" t="s">
        <v>80</v>
      </c>
    </row>
    <row r="191" spans="1:90" x14ac:dyDescent="0.25">
      <c r="A191" t="s">
        <v>228</v>
      </c>
      <c r="B191" t="s">
        <v>229</v>
      </c>
      <c r="C191" t="s">
        <v>72</v>
      </c>
      <c r="E191" t="str">
        <f>"009941507389"</f>
        <v>009941507389</v>
      </c>
      <c r="F191" s="2">
        <v>44362</v>
      </c>
      <c r="G191">
        <v>202112</v>
      </c>
      <c r="H191" t="s">
        <v>193</v>
      </c>
      <c r="I191" t="s">
        <v>194</v>
      </c>
      <c r="J191" t="s">
        <v>246</v>
      </c>
      <c r="K191" t="s">
        <v>75</v>
      </c>
      <c r="L191" t="s">
        <v>99</v>
      </c>
      <c r="M191" t="s">
        <v>100</v>
      </c>
      <c r="N191" t="s">
        <v>234</v>
      </c>
      <c r="O191" t="s">
        <v>78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18.66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99.78</v>
      </c>
      <c r="BM191">
        <v>14.97</v>
      </c>
      <c r="BN191">
        <v>114.75</v>
      </c>
      <c r="BO191">
        <v>114.75</v>
      </c>
      <c r="BS191" s="2">
        <v>44364</v>
      </c>
      <c r="BT191" s="3">
        <v>0.31875000000000003</v>
      </c>
      <c r="BU191" t="s">
        <v>134</v>
      </c>
      <c r="BV191" t="s">
        <v>79</v>
      </c>
      <c r="BY191">
        <v>1200</v>
      </c>
      <c r="BZ191" t="s">
        <v>81</v>
      </c>
      <c r="CA191" t="s">
        <v>204</v>
      </c>
      <c r="CC191" t="s">
        <v>100</v>
      </c>
      <c r="CD191">
        <v>2013</v>
      </c>
      <c r="CE191" t="s">
        <v>94</v>
      </c>
      <c r="CF191" s="2">
        <v>44365</v>
      </c>
      <c r="CI191">
        <v>1</v>
      </c>
      <c r="CJ191">
        <v>2</v>
      </c>
      <c r="CK191">
        <v>23</v>
      </c>
      <c r="CL191" t="s">
        <v>80</v>
      </c>
    </row>
    <row r="192" spans="1:90" x14ac:dyDescent="0.25">
      <c r="A192" t="s">
        <v>228</v>
      </c>
      <c r="B192" t="s">
        <v>229</v>
      </c>
      <c r="C192" t="s">
        <v>72</v>
      </c>
      <c r="E192" t="str">
        <f>"009941431546"</f>
        <v>009941431546</v>
      </c>
      <c r="F192" s="2">
        <v>44362</v>
      </c>
      <c r="G192">
        <v>202112</v>
      </c>
      <c r="H192" t="s">
        <v>89</v>
      </c>
      <c r="I192" t="s">
        <v>90</v>
      </c>
      <c r="J192" t="s">
        <v>296</v>
      </c>
      <c r="K192" t="s">
        <v>75</v>
      </c>
      <c r="L192" t="s">
        <v>99</v>
      </c>
      <c r="M192" t="s">
        <v>100</v>
      </c>
      <c r="N192" t="s">
        <v>234</v>
      </c>
      <c r="O192" t="s">
        <v>78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9.6300000000000008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51.5</v>
      </c>
      <c r="BM192">
        <v>7.73</v>
      </c>
      <c r="BN192">
        <v>59.23</v>
      </c>
      <c r="BO192">
        <v>59.23</v>
      </c>
      <c r="BQ192" t="s">
        <v>297</v>
      </c>
      <c r="BR192" t="s">
        <v>314</v>
      </c>
      <c r="BS192" s="2">
        <v>44364</v>
      </c>
      <c r="BT192" s="3">
        <v>0.31944444444444448</v>
      </c>
      <c r="BU192" t="s">
        <v>134</v>
      </c>
      <c r="BV192" t="s">
        <v>79</v>
      </c>
      <c r="BY192">
        <v>1200</v>
      </c>
      <c r="BZ192" t="s">
        <v>81</v>
      </c>
      <c r="CA192" t="s">
        <v>204</v>
      </c>
      <c r="CC192" t="s">
        <v>100</v>
      </c>
      <c r="CD192">
        <v>2013</v>
      </c>
      <c r="CE192" t="s">
        <v>94</v>
      </c>
      <c r="CF192" s="2">
        <v>44365</v>
      </c>
      <c r="CI192">
        <v>1</v>
      </c>
      <c r="CJ192">
        <v>2</v>
      </c>
      <c r="CK192">
        <v>21</v>
      </c>
      <c r="CL192" t="s">
        <v>80</v>
      </c>
    </row>
    <row r="193" spans="1:90" x14ac:dyDescent="0.25">
      <c r="A193" t="s">
        <v>228</v>
      </c>
      <c r="B193" t="s">
        <v>229</v>
      </c>
      <c r="C193" t="s">
        <v>72</v>
      </c>
      <c r="E193" t="str">
        <f>"009941478286"</f>
        <v>009941478286</v>
      </c>
      <c r="F193" s="2">
        <v>44362</v>
      </c>
      <c r="G193">
        <v>202112</v>
      </c>
      <c r="H193" t="s">
        <v>89</v>
      </c>
      <c r="I193" t="s">
        <v>90</v>
      </c>
      <c r="J193" t="s">
        <v>294</v>
      </c>
      <c r="K193" t="s">
        <v>75</v>
      </c>
      <c r="L193" t="s">
        <v>99</v>
      </c>
      <c r="M193" t="s">
        <v>100</v>
      </c>
      <c r="N193" t="s">
        <v>234</v>
      </c>
      <c r="O193" t="s">
        <v>78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9.6300000000000008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51.5</v>
      </c>
      <c r="BM193">
        <v>7.73</v>
      </c>
      <c r="BN193">
        <v>59.23</v>
      </c>
      <c r="BO193">
        <v>59.23</v>
      </c>
      <c r="BQ193" t="s">
        <v>268</v>
      </c>
      <c r="BR193" t="s">
        <v>295</v>
      </c>
      <c r="BS193" s="2">
        <v>44364</v>
      </c>
      <c r="BT193" s="3">
        <v>0.31944444444444448</v>
      </c>
      <c r="BU193" t="s">
        <v>134</v>
      </c>
      <c r="BV193" t="s">
        <v>79</v>
      </c>
      <c r="BY193">
        <v>1200</v>
      </c>
      <c r="BZ193" t="s">
        <v>81</v>
      </c>
      <c r="CA193" t="s">
        <v>204</v>
      </c>
      <c r="CC193" t="s">
        <v>100</v>
      </c>
      <c r="CD193">
        <v>2016</v>
      </c>
      <c r="CE193" t="s">
        <v>94</v>
      </c>
      <c r="CF193" s="2">
        <v>44365</v>
      </c>
      <c r="CI193">
        <v>1</v>
      </c>
      <c r="CJ193">
        <v>2</v>
      </c>
      <c r="CK193">
        <v>21</v>
      </c>
      <c r="CL193" t="s">
        <v>80</v>
      </c>
    </row>
    <row r="194" spans="1:90" x14ac:dyDescent="0.25">
      <c r="A194" t="s">
        <v>228</v>
      </c>
      <c r="B194" t="s">
        <v>229</v>
      </c>
      <c r="C194" t="s">
        <v>72</v>
      </c>
      <c r="E194" t="str">
        <f>"009941026563"</f>
        <v>009941026563</v>
      </c>
      <c r="F194" s="2">
        <v>44362</v>
      </c>
      <c r="G194">
        <v>202112</v>
      </c>
      <c r="H194" t="s">
        <v>99</v>
      </c>
      <c r="I194" t="s">
        <v>100</v>
      </c>
      <c r="J194" t="s">
        <v>230</v>
      </c>
      <c r="K194" t="s">
        <v>75</v>
      </c>
      <c r="L194" t="s">
        <v>97</v>
      </c>
      <c r="M194" t="s">
        <v>98</v>
      </c>
      <c r="N194" t="s">
        <v>516</v>
      </c>
      <c r="O194" t="s">
        <v>183</v>
      </c>
      <c r="P194" t="str">
        <f>"..                            "</f>
        <v xml:space="preserve">..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18.059999999999999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2.1</v>
      </c>
      <c r="BK194">
        <v>3</v>
      </c>
      <c r="BL194">
        <v>96.56</v>
      </c>
      <c r="BM194">
        <v>14.48</v>
      </c>
      <c r="BN194">
        <v>111.04</v>
      </c>
      <c r="BO194">
        <v>111.04</v>
      </c>
      <c r="BR194" t="s">
        <v>232</v>
      </c>
      <c r="BS194" s="2">
        <v>44364</v>
      </c>
      <c r="BT194" s="3">
        <v>0.38958333333333334</v>
      </c>
      <c r="BU194" t="s">
        <v>517</v>
      </c>
      <c r="BV194" t="s">
        <v>79</v>
      </c>
      <c r="BY194">
        <v>10615.37</v>
      </c>
      <c r="BZ194" t="s">
        <v>202</v>
      </c>
      <c r="CA194" t="s">
        <v>192</v>
      </c>
      <c r="CC194" t="s">
        <v>98</v>
      </c>
      <c r="CD194">
        <v>4000</v>
      </c>
      <c r="CE194" t="s">
        <v>94</v>
      </c>
      <c r="CF194" s="2">
        <v>44364</v>
      </c>
      <c r="CI194">
        <v>1</v>
      </c>
      <c r="CJ194">
        <v>2</v>
      </c>
      <c r="CK194">
        <v>31</v>
      </c>
      <c r="CL194" t="s">
        <v>80</v>
      </c>
    </row>
    <row r="195" spans="1:90" x14ac:dyDescent="0.25">
      <c r="A195" t="s">
        <v>228</v>
      </c>
      <c r="B195" t="s">
        <v>229</v>
      </c>
      <c r="C195" t="s">
        <v>72</v>
      </c>
      <c r="E195" t="str">
        <f>"009941026557"</f>
        <v>009941026557</v>
      </c>
      <c r="F195" s="2">
        <v>44362</v>
      </c>
      <c r="G195">
        <v>202112</v>
      </c>
      <c r="H195" t="s">
        <v>99</v>
      </c>
      <c r="I195" t="s">
        <v>100</v>
      </c>
      <c r="J195" t="s">
        <v>230</v>
      </c>
      <c r="K195" t="s">
        <v>75</v>
      </c>
      <c r="L195" t="s">
        <v>97</v>
      </c>
      <c r="M195" t="s">
        <v>98</v>
      </c>
      <c r="N195" t="s">
        <v>442</v>
      </c>
      <c r="O195" t="s">
        <v>78</v>
      </c>
      <c r="P195" t="str">
        <f>"..                            "</f>
        <v xml:space="preserve">..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9.6300000000000008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51.5</v>
      </c>
      <c r="BM195">
        <v>7.73</v>
      </c>
      <c r="BN195">
        <v>59.23</v>
      </c>
      <c r="BO195">
        <v>59.23</v>
      </c>
      <c r="BQ195" t="s">
        <v>518</v>
      </c>
      <c r="BR195" t="s">
        <v>232</v>
      </c>
      <c r="BS195" s="2">
        <v>44364</v>
      </c>
      <c r="BT195" s="3">
        <v>0.41666666666666669</v>
      </c>
      <c r="BU195" t="s">
        <v>519</v>
      </c>
      <c r="BV195" t="s">
        <v>79</v>
      </c>
      <c r="BY195">
        <v>1200</v>
      </c>
      <c r="BZ195" t="s">
        <v>81</v>
      </c>
      <c r="CA195" t="s">
        <v>192</v>
      </c>
      <c r="CC195" t="s">
        <v>98</v>
      </c>
      <c r="CD195">
        <v>4062</v>
      </c>
      <c r="CE195" t="s">
        <v>94</v>
      </c>
      <c r="CF195" s="2">
        <v>44364</v>
      </c>
      <c r="CI195">
        <v>1</v>
      </c>
      <c r="CJ195">
        <v>2</v>
      </c>
      <c r="CK195">
        <v>21</v>
      </c>
      <c r="CL195" t="s">
        <v>80</v>
      </c>
    </row>
    <row r="196" spans="1:90" x14ac:dyDescent="0.25">
      <c r="A196" t="s">
        <v>228</v>
      </c>
      <c r="B196" t="s">
        <v>229</v>
      </c>
      <c r="C196" t="s">
        <v>72</v>
      </c>
      <c r="E196" t="str">
        <f>"009940432660"</f>
        <v>009940432660</v>
      </c>
      <c r="F196" s="2">
        <v>44355</v>
      </c>
      <c r="G196">
        <v>202112</v>
      </c>
      <c r="H196" t="s">
        <v>109</v>
      </c>
      <c r="I196" t="s">
        <v>110</v>
      </c>
      <c r="J196" t="s">
        <v>586</v>
      </c>
      <c r="K196" t="s">
        <v>75</v>
      </c>
      <c r="L196" t="s">
        <v>99</v>
      </c>
      <c r="M196" t="s">
        <v>100</v>
      </c>
      <c r="N196" t="s">
        <v>586</v>
      </c>
      <c r="O196" t="s">
        <v>78</v>
      </c>
      <c r="P196" t="str">
        <f>"..                            "</f>
        <v xml:space="preserve">..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9.6300000000000008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0.1</v>
      </c>
      <c r="BJ196">
        <v>0.9</v>
      </c>
      <c r="BK196">
        <v>1</v>
      </c>
      <c r="BL196">
        <v>51.5</v>
      </c>
      <c r="BM196">
        <v>7.73</v>
      </c>
      <c r="BN196">
        <v>59.23</v>
      </c>
      <c r="BO196">
        <v>59.23</v>
      </c>
      <c r="BQ196" t="s">
        <v>515</v>
      </c>
      <c r="BR196" t="s">
        <v>209</v>
      </c>
      <c r="BS196" s="2">
        <v>44356</v>
      </c>
      <c r="BT196" s="3">
        <v>0.3215277777777778</v>
      </c>
      <c r="BU196" t="s">
        <v>180</v>
      </c>
      <c r="BV196" t="s">
        <v>79</v>
      </c>
      <c r="BY196">
        <v>4467.6000000000004</v>
      </c>
      <c r="BZ196" t="s">
        <v>182</v>
      </c>
      <c r="CA196" t="s">
        <v>150</v>
      </c>
      <c r="CC196" t="s">
        <v>100</v>
      </c>
      <c r="CD196">
        <v>2013</v>
      </c>
      <c r="CE196" t="s">
        <v>94</v>
      </c>
      <c r="CF196" s="2">
        <v>44356</v>
      </c>
      <c r="CI196">
        <v>1</v>
      </c>
      <c r="CJ196">
        <v>1</v>
      </c>
      <c r="CK196">
        <v>21</v>
      </c>
      <c r="CL196" t="s">
        <v>80</v>
      </c>
    </row>
    <row r="197" spans="1:90" x14ac:dyDescent="0.25">
      <c r="A197" t="s">
        <v>228</v>
      </c>
      <c r="B197" t="s">
        <v>229</v>
      </c>
      <c r="C197" t="s">
        <v>72</v>
      </c>
      <c r="E197" t="str">
        <f>"009941026567"</f>
        <v>009941026567</v>
      </c>
      <c r="F197" s="2">
        <v>44364</v>
      </c>
      <c r="G197">
        <v>202112</v>
      </c>
      <c r="H197" t="s">
        <v>99</v>
      </c>
      <c r="I197" t="s">
        <v>100</v>
      </c>
      <c r="J197" t="s">
        <v>230</v>
      </c>
      <c r="K197" t="s">
        <v>75</v>
      </c>
      <c r="L197" t="s">
        <v>95</v>
      </c>
      <c r="M197" t="s">
        <v>96</v>
      </c>
      <c r="N197" t="s">
        <v>520</v>
      </c>
      <c r="O197" t="s">
        <v>183</v>
      </c>
      <c r="P197" t="str">
        <f>"..                            "</f>
        <v xml:space="preserve">..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18.059999999999999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0.8</v>
      </c>
      <c r="BJ197">
        <v>2.9</v>
      </c>
      <c r="BK197">
        <v>3</v>
      </c>
      <c r="BL197">
        <v>96.56</v>
      </c>
      <c r="BM197">
        <v>14.48</v>
      </c>
      <c r="BN197">
        <v>111.04</v>
      </c>
      <c r="BO197">
        <v>111.04</v>
      </c>
      <c r="BR197" t="s">
        <v>232</v>
      </c>
      <c r="BS197" s="2">
        <v>44365</v>
      </c>
      <c r="BT197" s="3">
        <v>0.4694444444444445</v>
      </c>
      <c r="BU197" t="s">
        <v>521</v>
      </c>
      <c r="BV197" t="s">
        <v>79</v>
      </c>
      <c r="BY197">
        <v>14654.22</v>
      </c>
      <c r="BZ197" t="s">
        <v>202</v>
      </c>
      <c r="CA197" t="s">
        <v>116</v>
      </c>
      <c r="CC197" t="s">
        <v>96</v>
      </c>
      <c r="CD197">
        <v>3600</v>
      </c>
      <c r="CE197" t="s">
        <v>94</v>
      </c>
      <c r="CF197" s="2">
        <v>44368</v>
      </c>
      <c r="CI197">
        <v>1</v>
      </c>
      <c r="CJ197">
        <v>1</v>
      </c>
      <c r="CK197">
        <v>31</v>
      </c>
      <c r="CL197" t="s">
        <v>80</v>
      </c>
    </row>
    <row r="198" spans="1:90" x14ac:dyDescent="0.25">
      <c r="A198" t="s">
        <v>228</v>
      </c>
      <c r="B198" t="s">
        <v>229</v>
      </c>
      <c r="C198" t="s">
        <v>72</v>
      </c>
      <c r="E198" t="str">
        <f>"029908382486"</f>
        <v>029908382486</v>
      </c>
      <c r="F198" s="2">
        <v>44364</v>
      </c>
      <c r="G198">
        <v>202112</v>
      </c>
      <c r="H198" t="s">
        <v>97</v>
      </c>
      <c r="I198" t="s">
        <v>98</v>
      </c>
      <c r="J198" t="s">
        <v>234</v>
      </c>
      <c r="K198" t="s">
        <v>75</v>
      </c>
      <c r="L198" t="s">
        <v>109</v>
      </c>
      <c r="M198" t="s">
        <v>110</v>
      </c>
      <c r="N198" t="s">
        <v>522</v>
      </c>
      <c r="O198" t="s">
        <v>78</v>
      </c>
      <c r="P198" t="str">
        <f>"YOLANDA                       "</f>
        <v xml:space="preserve">YOLANDA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31.28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6.3</v>
      </c>
      <c r="BK198">
        <v>6.5</v>
      </c>
      <c r="BL198">
        <v>167.29</v>
      </c>
      <c r="BM198">
        <v>25.09</v>
      </c>
      <c r="BN198">
        <v>192.38</v>
      </c>
      <c r="BO198">
        <v>192.38</v>
      </c>
      <c r="BQ198" t="s">
        <v>523</v>
      </c>
      <c r="BR198" t="s">
        <v>401</v>
      </c>
      <c r="BS198" s="2">
        <v>44368</v>
      </c>
      <c r="BT198" s="3">
        <v>0.36805555555555558</v>
      </c>
      <c r="BU198" t="s">
        <v>224</v>
      </c>
      <c r="BV198" t="s">
        <v>80</v>
      </c>
      <c r="BW198" t="s">
        <v>118</v>
      </c>
      <c r="BX198" t="s">
        <v>119</v>
      </c>
      <c r="BY198">
        <v>31500</v>
      </c>
      <c r="BZ198" t="s">
        <v>81</v>
      </c>
      <c r="CA198" t="s">
        <v>111</v>
      </c>
      <c r="CC198" t="s">
        <v>110</v>
      </c>
      <c r="CD198">
        <v>8000</v>
      </c>
      <c r="CE198" t="s">
        <v>94</v>
      </c>
      <c r="CF198" s="2">
        <v>44369</v>
      </c>
      <c r="CI198">
        <v>1</v>
      </c>
      <c r="CJ198">
        <v>2</v>
      </c>
      <c r="CK198">
        <v>21</v>
      </c>
      <c r="CL198" t="s">
        <v>80</v>
      </c>
    </row>
    <row r="199" spans="1:90" x14ac:dyDescent="0.25">
      <c r="A199" t="s">
        <v>228</v>
      </c>
      <c r="B199" t="s">
        <v>229</v>
      </c>
      <c r="C199" t="s">
        <v>72</v>
      </c>
      <c r="E199" t="str">
        <f>"029908382487"</f>
        <v>029908382487</v>
      </c>
      <c r="F199" s="2">
        <v>44364</v>
      </c>
      <c r="G199">
        <v>202112</v>
      </c>
      <c r="H199" t="s">
        <v>97</v>
      </c>
      <c r="I199" t="s">
        <v>98</v>
      </c>
      <c r="J199" t="s">
        <v>234</v>
      </c>
      <c r="K199" t="s">
        <v>75</v>
      </c>
      <c r="L199" t="s">
        <v>109</v>
      </c>
      <c r="M199" t="s">
        <v>110</v>
      </c>
      <c r="N199" t="s">
        <v>524</v>
      </c>
      <c r="O199" t="s">
        <v>78</v>
      </c>
      <c r="P199" t="str">
        <f>"TANNA M.                      "</f>
        <v xml:space="preserve">TANNA M.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9.6300000000000008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1.6</v>
      </c>
      <c r="BK199">
        <v>2</v>
      </c>
      <c r="BL199">
        <v>51.5</v>
      </c>
      <c r="BM199">
        <v>7.73</v>
      </c>
      <c r="BN199">
        <v>59.23</v>
      </c>
      <c r="BO199">
        <v>59.23</v>
      </c>
      <c r="BQ199" t="s">
        <v>525</v>
      </c>
      <c r="BR199" t="s">
        <v>526</v>
      </c>
      <c r="BS199" s="2">
        <v>44368</v>
      </c>
      <c r="BT199" s="3">
        <v>0.4145833333333333</v>
      </c>
      <c r="BU199" t="s">
        <v>218</v>
      </c>
      <c r="BV199" t="s">
        <v>80</v>
      </c>
      <c r="BW199" t="s">
        <v>118</v>
      </c>
      <c r="BX199" t="s">
        <v>119</v>
      </c>
      <c r="BY199">
        <v>8000</v>
      </c>
      <c r="BZ199" t="s">
        <v>81</v>
      </c>
      <c r="CA199" t="s">
        <v>117</v>
      </c>
      <c r="CC199" t="s">
        <v>110</v>
      </c>
      <c r="CD199">
        <v>8000</v>
      </c>
      <c r="CE199" t="s">
        <v>94</v>
      </c>
      <c r="CF199" s="2">
        <v>44369</v>
      </c>
      <c r="CI199">
        <v>1</v>
      </c>
      <c r="CJ199">
        <v>2</v>
      </c>
      <c r="CK199">
        <v>21</v>
      </c>
      <c r="CL199" t="s">
        <v>80</v>
      </c>
    </row>
    <row r="200" spans="1:90" x14ac:dyDescent="0.25">
      <c r="A200" t="s">
        <v>228</v>
      </c>
      <c r="B200" t="s">
        <v>229</v>
      </c>
      <c r="C200" t="s">
        <v>72</v>
      </c>
      <c r="E200" t="str">
        <f>"009941026569"</f>
        <v>009941026569</v>
      </c>
      <c r="F200" s="2">
        <v>44364</v>
      </c>
      <c r="G200">
        <v>202112</v>
      </c>
      <c r="H200" t="s">
        <v>99</v>
      </c>
      <c r="I200" t="s">
        <v>100</v>
      </c>
      <c r="J200" t="s">
        <v>230</v>
      </c>
      <c r="K200" t="s">
        <v>75</v>
      </c>
      <c r="L200" t="s">
        <v>109</v>
      </c>
      <c r="M200" t="s">
        <v>110</v>
      </c>
      <c r="N200" t="s">
        <v>527</v>
      </c>
      <c r="O200" t="s">
        <v>183</v>
      </c>
      <c r="P200" t="str">
        <f t="shared" ref="P200:P205" si="6">"..                            "</f>
        <v xml:space="preserve">..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18.059999999999999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1.9</v>
      </c>
      <c r="BJ200">
        <v>2</v>
      </c>
      <c r="BK200">
        <v>2</v>
      </c>
      <c r="BL200">
        <v>96.56</v>
      </c>
      <c r="BM200">
        <v>14.48</v>
      </c>
      <c r="BN200">
        <v>111.04</v>
      </c>
      <c r="BO200">
        <v>111.04</v>
      </c>
      <c r="BR200" t="s">
        <v>232</v>
      </c>
      <c r="BS200" s="2">
        <v>44365</v>
      </c>
      <c r="BT200" s="3">
        <v>0.5541666666666667</v>
      </c>
      <c r="BU200" t="s">
        <v>528</v>
      </c>
      <c r="BV200" t="s">
        <v>80</v>
      </c>
      <c r="BW200" t="s">
        <v>118</v>
      </c>
      <c r="BX200" t="s">
        <v>130</v>
      </c>
      <c r="BY200">
        <v>10068.66</v>
      </c>
      <c r="BZ200" t="s">
        <v>202</v>
      </c>
      <c r="CA200" t="s">
        <v>529</v>
      </c>
      <c r="CC200" t="s">
        <v>110</v>
      </c>
      <c r="CD200">
        <v>8000</v>
      </c>
      <c r="CE200" t="s">
        <v>94</v>
      </c>
      <c r="CF200" s="2">
        <v>44368</v>
      </c>
      <c r="CI200">
        <v>1</v>
      </c>
      <c r="CJ200">
        <v>1</v>
      </c>
      <c r="CK200">
        <v>31</v>
      </c>
      <c r="CL200" t="s">
        <v>80</v>
      </c>
    </row>
    <row r="201" spans="1:90" x14ac:dyDescent="0.25">
      <c r="A201" t="s">
        <v>228</v>
      </c>
      <c r="B201" t="s">
        <v>229</v>
      </c>
      <c r="C201" t="s">
        <v>72</v>
      </c>
      <c r="E201" t="str">
        <f>"009941026568"</f>
        <v>009941026568</v>
      </c>
      <c r="F201" s="2">
        <v>44364</v>
      </c>
      <c r="G201">
        <v>202112</v>
      </c>
      <c r="H201" t="s">
        <v>99</v>
      </c>
      <c r="I201" t="s">
        <v>100</v>
      </c>
      <c r="J201" t="s">
        <v>230</v>
      </c>
      <c r="K201" t="s">
        <v>75</v>
      </c>
      <c r="L201" t="s">
        <v>97</v>
      </c>
      <c r="M201" t="s">
        <v>98</v>
      </c>
      <c r="N201" t="s">
        <v>530</v>
      </c>
      <c r="O201" t="s">
        <v>78</v>
      </c>
      <c r="P201" t="str">
        <f t="shared" si="6"/>
        <v xml:space="preserve">..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9.6300000000000008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51.5</v>
      </c>
      <c r="BM201">
        <v>7.73</v>
      </c>
      <c r="BN201">
        <v>59.23</v>
      </c>
      <c r="BO201">
        <v>59.23</v>
      </c>
      <c r="BQ201" t="s">
        <v>531</v>
      </c>
      <c r="BR201" t="s">
        <v>232</v>
      </c>
      <c r="BS201" s="2">
        <v>44365</v>
      </c>
      <c r="BT201" s="3">
        <v>0.35486111111111113</v>
      </c>
      <c r="BU201" t="s">
        <v>532</v>
      </c>
      <c r="BV201" t="s">
        <v>79</v>
      </c>
      <c r="BY201">
        <v>1200</v>
      </c>
      <c r="BZ201" t="s">
        <v>81</v>
      </c>
      <c r="CA201" t="s">
        <v>124</v>
      </c>
      <c r="CC201" t="s">
        <v>98</v>
      </c>
      <c r="CD201">
        <v>4092</v>
      </c>
      <c r="CE201" t="s">
        <v>94</v>
      </c>
      <c r="CF201" s="2">
        <v>44368</v>
      </c>
      <c r="CI201">
        <v>1</v>
      </c>
      <c r="CJ201">
        <v>1</v>
      </c>
      <c r="CK201">
        <v>21</v>
      </c>
      <c r="CL201" t="s">
        <v>80</v>
      </c>
    </row>
    <row r="202" spans="1:90" x14ac:dyDescent="0.25">
      <c r="A202" t="s">
        <v>228</v>
      </c>
      <c r="B202" t="s">
        <v>229</v>
      </c>
      <c r="C202" t="s">
        <v>72</v>
      </c>
      <c r="E202" t="str">
        <f>"009941026565"</f>
        <v>009941026565</v>
      </c>
      <c r="F202" s="2">
        <v>44364</v>
      </c>
      <c r="G202">
        <v>202112</v>
      </c>
      <c r="H202" t="s">
        <v>99</v>
      </c>
      <c r="I202" t="s">
        <v>100</v>
      </c>
      <c r="J202" t="s">
        <v>230</v>
      </c>
      <c r="K202" t="s">
        <v>75</v>
      </c>
      <c r="L202" t="s">
        <v>315</v>
      </c>
      <c r="M202" t="s">
        <v>316</v>
      </c>
      <c r="N202" t="s">
        <v>533</v>
      </c>
      <c r="O202" t="s">
        <v>183</v>
      </c>
      <c r="P202" t="str">
        <f t="shared" si="6"/>
        <v xml:space="preserve">..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18.66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1.9</v>
      </c>
      <c r="BK202">
        <v>2</v>
      </c>
      <c r="BL202">
        <v>99.78</v>
      </c>
      <c r="BM202">
        <v>14.97</v>
      </c>
      <c r="BN202">
        <v>114.75</v>
      </c>
      <c r="BO202">
        <v>114.75</v>
      </c>
      <c r="BQ202" t="s">
        <v>533</v>
      </c>
      <c r="BR202" t="s">
        <v>232</v>
      </c>
      <c r="BS202" s="2">
        <v>44365</v>
      </c>
      <c r="BT202" s="3">
        <v>0.59236111111111112</v>
      </c>
      <c r="BU202" t="s">
        <v>534</v>
      </c>
      <c r="BV202" t="s">
        <v>79</v>
      </c>
      <c r="BY202">
        <v>9272.0300000000007</v>
      </c>
      <c r="BZ202" t="s">
        <v>202</v>
      </c>
      <c r="CA202" t="s">
        <v>140</v>
      </c>
      <c r="CC202" t="s">
        <v>316</v>
      </c>
      <c r="CD202">
        <v>4278</v>
      </c>
      <c r="CE202" t="s">
        <v>94</v>
      </c>
      <c r="CF202" s="2">
        <v>44368</v>
      </c>
      <c r="CI202">
        <v>2</v>
      </c>
      <c r="CJ202">
        <v>1</v>
      </c>
      <c r="CK202">
        <v>33</v>
      </c>
      <c r="CL202" t="s">
        <v>80</v>
      </c>
    </row>
    <row r="203" spans="1:90" x14ac:dyDescent="0.25">
      <c r="A203" t="s">
        <v>228</v>
      </c>
      <c r="B203" t="s">
        <v>229</v>
      </c>
      <c r="C203" t="s">
        <v>72</v>
      </c>
      <c r="E203" t="str">
        <f>"009941026566"</f>
        <v>009941026566</v>
      </c>
      <c r="F203" s="2">
        <v>44364</v>
      </c>
      <c r="G203">
        <v>202112</v>
      </c>
      <c r="H203" t="s">
        <v>99</v>
      </c>
      <c r="I203" t="s">
        <v>100</v>
      </c>
      <c r="J203" t="s">
        <v>230</v>
      </c>
      <c r="K203" t="s">
        <v>75</v>
      </c>
      <c r="L203" t="s">
        <v>73</v>
      </c>
      <c r="M203" t="s">
        <v>74</v>
      </c>
      <c r="N203" t="s">
        <v>535</v>
      </c>
      <c r="O203" t="s">
        <v>183</v>
      </c>
      <c r="P203" t="str">
        <f t="shared" si="6"/>
        <v xml:space="preserve">..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18.059999999999999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0.5</v>
      </c>
      <c r="BK203">
        <v>1</v>
      </c>
      <c r="BL203">
        <v>96.56</v>
      </c>
      <c r="BM203">
        <v>14.48</v>
      </c>
      <c r="BN203">
        <v>111.04</v>
      </c>
      <c r="BO203">
        <v>111.04</v>
      </c>
      <c r="BR203" t="s">
        <v>232</v>
      </c>
      <c r="BS203" s="2">
        <v>44365</v>
      </c>
      <c r="BT203" s="3">
        <v>0.35694444444444445</v>
      </c>
      <c r="BU203" t="s">
        <v>536</v>
      </c>
      <c r="BV203" t="s">
        <v>79</v>
      </c>
      <c r="BY203">
        <v>2535</v>
      </c>
      <c r="BZ203" t="s">
        <v>202</v>
      </c>
      <c r="CA203" t="s">
        <v>147</v>
      </c>
      <c r="CC203" t="s">
        <v>74</v>
      </c>
      <c r="CD203">
        <v>81</v>
      </c>
      <c r="CE203" t="s">
        <v>94</v>
      </c>
      <c r="CF203" s="2">
        <v>44365</v>
      </c>
      <c r="CI203">
        <v>1</v>
      </c>
      <c r="CJ203">
        <v>1</v>
      </c>
      <c r="CK203">
        <v>31</v>
      </c>
      <c r="CL203" t="s">
        <v>80</v>
      </c>
    </row>
    <row r="204" spans="1:90" x14ac:dyDescent="0.25">
      <c r="A204" t="s">
        <v>228</v>
      </c>
      <c r="B204" t="s">
        <v>229</v>
      </c>
      <c r="C204" t="s">
        <v>72</v>
      </c>
      <c r="E204" t="str">
        <f>"009941026570"</f>
        <v>009941026570</v>
      </c>
      <c r="F204" s="2">
        <v>44364</v>
      </c>
      <c r="G204">
        <v>202112</v>
      </c>
      <c r="H204" t="s">
        <v>99</v>
      </c>
      <c r="I204" t="s">
        <v>100</v>
      </c>
      <c r="J204" t="s">
        <v>230</v>
      </c>
      <c r="K204" t="s">
        <v>75</v>
      </c>
      <c r="L204" t="s">
        <v>170</v>
      </c>
      <c r="M204" t="s">
        <v>171</v>
      </c>
      <c r="N204" t="s">
        <v>537</v>
      </c>
      <c r="O204" t="s">
        <v>78</v>
      </c>
      <c r="P204" t="str">
        <f t="shared" si="6"/>
        <v xml:space="preserve">..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28.88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1.3</v>
      </c>
      <c r="BJ204">
        <v>6</v>
      </c>
      <c r="BK204">
        <v>6</v>
      </c>
      <c r="BL204">
        <v>154.43</v>
      </c>
      <c r="BM204">
        <v>23.16</v>
      </c>
      <c r="BN204">
        <v>177.59</v>
      </c>
      <c r="BO204">
        <v>177.59</v>
      </c>
      <c r="BR204" t="s">
        <v>232</v>
      </c>
      <c r="BS204" s="2">
        <v>44365</v>
      </c>
      <c r="BT204" s="3">
        <v>0.41388888888888892</v>
      </c>
      <c r="BU204" t="s">
        <v>219</v>
      </c>
      <c r="BV204" t="s">
        <v>79</v>
      </c>
      <c r="BY204">
        <v>29771.53</v>
      </c>
      <c r="BZ204" t="s">
        <v>81</v>
      </c>
      <c r="CA204" t="s">
        <v>437</v>
      </c>
      <c r="CC204" t="s">
        <v>171</v>
      </c>
      <c r="CD204">
        <v>699</v>
      </c>
      <c r="CE204" t="s">
        <v>94</v>
      </c>
      <c r="CF204" s="2">
        <v>44365</v>
      </c>
      <c r="CI204">
        <v>1</v>
      </c>
      <c r="CJ204">
        <v>1</v>
      </c>
      <c r="CK204">
        <v>21</v>
      </c>
      <c r="CL204" t="s">
        <v>80</v>
      </c>
    </row>
    <row r="205" spans="1:90" x14ac:dyDescent="0.25">
      <c r="A205" t="s">
        <v>228</v>
      </c>
      <c r="B205" t="s">
        <v>229</v>
      </c>
      <c r="C205" t="s">
        <v>72</v>
      </c>
      <c r="E205" t="str">
        <f>"009941026564"</f>
        <v>009941026564</v>
      </c>
      <c r="F205" s="2">
        <v>44364</v>
      </c>
      <c r="G205">
        <v>202112</v>
      </c>
      <c r="H205" t="s">
        <v>99</v>
      </c>
      <c r="I205" t="s">
        <v>100</v>
      </c>
      <c r="J205" t="s">
        <v>230</v>
      </c>
      <c r="K205" t="s">
        <v>75</v>
      </c>
      <c r="L205" t="s">
        <v>99</v>
      </c>
      <c r="M205" t="s">
        <v>100</v>
      </c>
      <c r="N205" t="s">
        <v>538</v>
      </c>
      <c r="O205" t="s">
        <v>183</v>
      </c>
      <c r="P205" t="str">
        <f t="shared" si="6"/>
        <v xml:space="preserve">..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7.52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0.5</v>
      </c>
      <c r="BJ205">
        <v>1.8</v>
      </c>
      <c r="BK205">
        <v>2</v>
      </c>
      <c r="BL205">
        <v>40.229999999999997</v>
      </c>
      <c r="BM205">
        <v>6.03</v>
      </c>
      <c r="BN205">
        <v>46.26</v>
      </c>
      <c r="BO205">
        <v>46.26</v>
      </c>
      <c r="BR205" t="s">
        <v>232</v>
      </c>
      <c r="BS205" s="2">
        <v>44365</v>
      </c>
      <c r="BT205" s="3">
        <v>0.43958333333333338</v>
      </c>
      <c r="BU205" t="s">
        <v>539</v>
      </c>
      <c r="BV205" t="s">
        <v>79</v>
      </c>
      <c r="BY205">
        <v>8951.58</v>
      </c>
      <c r="BZ205" t="s">
        <v>202</v>
      </c>
      <c r="CA205" t="s">
        <v>207</v>
      </c>
      <c r="CC205" t="s">
        <v>100</v>
      </c>
      <c r="CD205">
        <v>2059</v>
      </c>
      <c r="CE205" t="s">
        <v>94</v>
      </c>
      <c r="CF205" s="2">
        <v>44365</v>
      </c>
      <c r="CI205">
        <v>1</v>
      </c>
      <c r="CJ205">
        <v>1</v>
      </c>
      <c r="CK205">
        <v>32</v>
      </c>
      <c r="CL205" t="s">
        <v>80</v>
      </c>
    </row>
    <row r="206" spans="1:90" x14ac:dyDescent="0.25">
      <c r="A206" t="s">
        <v>228</v>
      </c>
      <c r="B206" t="s">
        <v>229</v>
      </c>
      <c r="C206" t="s">
        <v>72</v>
      </c>
      <c r="E206" t="str">
        <f>"009940742074"</f>
        <v>009940742074</v>
      </c>
      <c r="F206" s="2">
        <v>44362</v>
      </c>
      <c r="G206">
        <v>202112</v>
      </c>
      <c r="H206" t="s">
        <v>109</v>
      </c>
      <c r="I206" t="s">
        <v>110</v>
      </c>
      <c r="J206" t="s">
        <v>448</v>
      </c>
      <c r="K206" t="s">
        <v>75</v>
      </c>
      <c r="L206" t="s">
        <v>99</v>
      </c>
      <c r="M206" t="s">
        <v>100</v>
      </c>
      <c r="N206" t="s">
        <v>234</v>
      </c>
      <c r="O206" t="s">
        <v>78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9.6300000000000008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0.4</v>
      </c>
      <c r="BJ206">
        <v>1.4</v>
      </c>
      <c r="BK206">
        <v>1.5</v>
      </c>
      <c r="BL206">
        <v>51.5</v>
      </c>
      <c r="BM206">
        <v>7.73</v>
      </c>
      <c r="BN206">
        <v>59.23</v>
      </c>
      <c r="BO206">
        <v>59.23</v>
      </c>
      <c r="BR206" t="s">
        <v>347</v>
      </c>
      <c r="BS206" s="2">
        <v>44364</v>
      </c>
      <c r="BT206" s="3">
        <v>0.31875000000000003</v>
      </c>
      <c r="BU206" t="s">
        <v>180</v>
      </c>
      <c r="BV206" t="s">
        <v>79</v>
      </c>
      <c r="BY206">
        <v>6826.05</v>
      </c>
      <c r="BZ206" t="s">
        <v>81</v>
      </c>
      <c r="CA206" t="s">
        <v>150</v>
      </c>
      <c r="CC206" t="s">
        <v>100</v>
      </c>
      <c r="CD206">
        <v>2013</v>
      </c>
      <c r="CE206" t="s">
        <v>94</v>
      </c>
      <c r="CF206" s="2">
        <v>44365</v>
      </c>
      <c r="CI206">
        <v>1</v>
      </c>
      <c r="CJ206">
        <v>2</v>
      </c>
      <c r="CK206">
        <v>21</v>
      </c>
      <c r="CL206" t="s">
        <v>80</v>
      </c>
    </row>
    <row r="207" spans="1:90" x14ac:dyDescent="0.25">
      <c r="A207" t="s">
        <v>228</v>
      </c>
      <c r="B207" t="s">
        <v>229</v>
      </c>
      <c r="C207" t="s">
        <v>72</v>
      </c>
      <c r="E207" t="str">
        <f>"009940432681"</f>
        <v>009940432681</v>
      </c>
      <c r="F207" s="2">
        <v>44362</v>
      </c>
      <c r="G207">
        <v>202112</v>
      </c>
      <c r="H207" t="s">
        <v>109</v>
      </c>
      <c r="I207" t="s">
        <v>110</v>
      </c>
      <c r="J207" t="s">
        <v>246</v>
      </c>
      <c r="K207" t="s">
        <v>75</v>
      </c>
      <c r="L207" t="s">
        <v>99</v>
      </c>
      <c r="M207" t="s">
        <v>100</v>
      </c>
      <c r="N207" t="s">
        <v>234</v>
      </c>
      <c r="O207" t="s">
        <v>78</v>
      </c>
      <c r="P207" t="str">
        <f>"CPT2105710721                 "</f>
        <v xml:space="preserve">CPT2105710721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9.6300000000000008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1.1000000000000001</v>
      </c>
      <c r="BK207">
        <v>1.5</v>
      </c>
      <c r="BL207">
        <v>51.5</v>
      </c>
      <c r="BM207">
        <v>7.73</v>
      </c>
      <c r="BN207">
        <v>59.23</v>
      </c>
      <c r="BO207">
        <v>59.23</v>
      </c>
      <c r="BQ207" t="s">
        <v>161</v>
      </c>
      <c r="BR207" t="s">
        <v>540</v>
      </c>
      <c r="BS207" s="2">
        <v>44364</v>
      </c>
      <c r="BT207" s="3">
        <v>0.31736111111111115</v>
      </c>
      <c r="BU207" t="s">
        <v>180</v>
      </c>
      <c r="BV207" t="s">
        <v>79</v>
      </c>
      <c r="BY207">
        <v>5442.55</v>
      </c>
      <c r="BZ207" t="s">
        <v>81</v>
      </c>
      <c r="CA207" t="s">
        <v>150</v>
      </c>
      <c r="CC207" t="s">
        <v>100</v>
      </c>
      <c r="CD207">
        <v>2013</v>
      </c>
      <c r="CE207" t="s">
        <v>94</v>
      </c>
      <c r="CF207" s="2">
        <v>44365</v>
      </c>
      <c r="CI207">
        <v>1</v>
      </c>
      <c r="CJ207">
        <v>2</v>
      </c>
      <c r="CK207">
        <v>21</v>
      </c>
      <c r="CL207" t="s">
        <v>80</v>
      </c>
    </row>
    <row r="208" spans="1:90" x14ac:dyDescent="0.25">
      <c r="A208" t="s">
        <v>228</v>
      </c>
      <c r="B208" t="s">
        <v>229</v>
      </c>
      <c r="C208" t="s">
        <v>72</v>
      </c>
      <c r="E208" t="str">
        <f>"009940792978"</f>
        <v>009940792978</v>
      </c>
      <c r="F208" s="2">
        <v>44364</v>
      </c>
      <c r="G208">
        <v>202112</v>
      </c>
      <c r="H208" t="s">
        <v>541</v>
      </c>
      <c r="I208" t="s">
        <v>542</v>
      </c>
      <c r="J208" t="s">
        <v>246</v>
      </c>
      <c r="K208" t="s">
        <v>75</v>
      </c>
      <c r="L208" t="s">
        <v>99</v>
      </c>
      <c r="M208" t="s">
        <v>100</v>
      </c>
      <c r="N208" t="s">
        <v>234</v>
      </c>
      <c r="O208" t="s">
        <v>78</v>
      </c>
      <c r="P208" t="str">
        <f>"NA                            "</f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7.52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0.6</v>
      </c>
      <c r="BJ208">
        <v>2.1</v>
      </c>
      <c r="BK208">
        <v>3</v>
      </c>
      <c r="BL208">
        <v>40.229999999999997</v>
      </c>
      <c r="BM208">
        <v>6.03</v>
      </c>
      <c r="BN208">
        <v>46.26</v>
      </c>
      <c r="BO208">
        <v>46.26</v>
      </c>
      <c r="BQ208" t="s">
        <v>226</v>
      </c>
      <c r="BR208" t="s">
        <v>191</v>
      </c>
      <c r="BS208" s="2">
        <v>44365</v>
      </c>
      <c r="BT208" s="3">
        <v>0.30972222222222223</v>
      </c>
      <c r="BU208" t="s">
        <v>125</v>
      </c>
      <c r="BV208" t="s">
        <v>79</v>
      </c>
      <c r="BY208">
        <v>10318.540000000001</v>
      </c>
      <c r="BZ208" t="s">
        <v>81</v>
      </c>
      <c r="CA208" t="s">
        <v>150</v>
      </c>
      <c r="CC208" t="s">
        <v>100</v>
      </c>
      <c r="CD208">
        <v>2000</v>
      </c>
      <c r="CE208" t="s">
        <v>94</v>
      </c>
      <c r="CF208" s="2">
        <v>44365</v>
      </c>
      <c r="CI208">
        <v>1</v>
      </c>
      <c r="CJ208">
        <v>1</v>
      </c>
      <c r="CK208">
        <v>22</v>
      </c>
      <c r="CL208" t="s">
        <v>80</v>
      </c>
    </row>
    <row r="209" spans="1:90" x14ac:dyDescent="0.25">
      <c r="A209" t="s">
        <v>228</v>
      </c>
      <c r="B209" t="s">
        <v>229</v>
      </c>
      <c r="C209" t="s">
        <v>72</v>
      </c>
      <c r="E209" t="str">
        <f>"009940662692"</f>
        <v>009940662692</v>
      </c>
      <c r="F209" s="2">
        <v>44364</v>
      </c>
      <c r="G209">
        <v>202112</v>
      </c>
      <c r="H209" t="s">
        <v>151</v>
      </c>
      <c r="I209" t="s">
        <v>152</v>
      </c>
      <c r="J209" t="s">
        <v>595</v>
      </c>
      <c r="K209" t="s">
        <v>75</v>
      </c>
      <c r="L209" t="s">
        <v>99</v>
      </c>
      <c r="M209" t="s">
        <v>100</v>
      </c>
      <c r="N209" t="s">
        <v>234</v>
      </c>
      <c r="O209" t="s">
        <v>78</v>
      </c>
      <c r="P209" t="str">
        <f>"..                            "</f>
        <v xml:space="preserve">..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13.54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1.2</v>
      </c>
      <c r="BK209">
        <v>1.5</v>
      </c>
      <c r="BL209">
        <v>72.42</v>
      </c>
      <c r="BM209">
        <v>10.86</v>
      </c>
      <c r="BN209">
        <v>83.28</v>
      </c>
      <c r="BO209">
        <v>83.28</v>
      </c>
      <c r="BQ209" t="s">
        <v>226</v>
      </c>
      <c r="BR209" t="s">
        <v>226</v>
      </c>
      <c r="BS209" s="2">
        <v>44365</v>
      </c>
      <c r="BT209" s="3">
        <v>0.31180555555555556</v>
      </c>
      <c r="BU209" t="s">
        <v>125</v>
      </c>
      <c r="BV209" t="s">
        <v>79</v>
      </c>
      <c r="BY209">
        <v>6000.05</v>
      </c>
      <c r="BZ209" t="s">
        <v>81</v>
      </c>
      <c r="CA209" t="s">
        <v>150</v>
      </c>
      <c r="CC209" t="s">
        <v>100</v>
      </c>
      <c r="CD209">
        <v>2013</v>
      </c>
      <c r="CE209" t="s">
        <v>94</v>
      </c>
      <c r="CF209" s="2">
        <v>44365</v>
      </c>
      <c r="CI209">
        <v>1</v>
      </c>
      <c r="CJ209">
        <v>1</v>
      </c>
      <c r="CK209">
        <v>24</v>
      </c>
      <c r="CL209" t="s">
        <v>80</v>
      </c>
    </row>
    <row r="210" spans="1:90" x14ac:dyDescent="0.25">
      <c r="A210" t="s">
        <v>228</v>
      </c>
      <c r="B210" t="s">
        <v>229</v>
      </c>
      <c r="C210" t="s">
        <v>72</v>
      </c>
      <c r="E210" t="str">
        <f>"009941507314"</f>
        <v>009941507314</v>
      </c>
      <c r="F210" s="2">
        <v>44364</v>
      </c>
      <c r="G210">
        <v>202112</v>
      </c>
      <c r="H210" t="s">
        <v>97</v>
      </c>
      <c r="I210" t="s">
        <v>98</v>
      </c>
      <c r="J210" t="s">
        <v>598</v>
      </c>
      <c r="K210" t="s">
        <v>75</v>
      </c>
      <c r="L210" t="s">
        <v>99</v>
      </c>
      <c r="M210" t="s">
        <v>100</v>
      </c>
      <c r="N210" t="s">
        <v>234</v>
      </c>
      <c r="O210" t="s">
        <v>157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18.059999999999999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101.56</v>
      </c>
      <c r="BM210">
        <v>15.23</v>
      </c>
      <c r="BN210">
        <v>116.79</v>
      </c>
      <c r="BO210">
        <v>116.79</v>
      </c>
      <c r="BQ210" t="s">
        <v>543</v>
      </c>
      <c r="BR210" t="s">
        <v>544</v>
      </c>
      <c r="BS210" s="2">
        <v>44365</v>
      </c>
      <c r="BT210" s="3">
        <v>0.3125</v>
      </c>
      <c r="BU210" t="s">
        <v>125</v>
      </c>
      <c r="BV210" t="s">
        <v>79</v>
      </c>
      <c r="BY210">
        <v>1200</v>
      </c>
      <c r="CA210" t="s">
        <v>150</v>
      </c>
      <c r="CC210" t="s">
        <v>100</v>
      </c>
      <c r="CD210">
        <v>2013</v>
      </c>
      <c r="CE210" t="s">
        <v>94</v>
      </c>
      <c r="CF210" s="2">
        <v>44365</v>
      </c>
      <c r="CI210">
        <v>1</v>
      </c>
      <c r="CJ210">
        <v>1</v>
      </c>
      <c r="CK210" t="s">
        <v>198</v>
      </c>
      <c r="CL210" t="s">
        <v>80</v>
      </c>
    </row>
    <row r="211" spans="1:90" x14ac:dyDescent="0.25">
      <c r="A211" t="s">
        <v>228</v>
      </c>
      <c r="B211" t="s">
        <v>229</v>
      </c>
      <c r="C211" t="s">
        <v>72</v>
      </c>
      <c r="E211" t="str">
        <f>"009940615468"</f>
        <v>009940615468</v>
      </c>
      <c r="F211" s="2">
        <v>44364</v>
      </c>
      <c r="G211">
        <v>202112</v>
      </c>
      <c r="H211" t="s">
        <v>99</v>
      </c>
      <c r="I211" t="s">
        <v>100</v>
      </c>
      <c r="J211" t="s">
        <v>230</v>
      </c>
      <c r="K211" t="s">
        <v>75</v>
      </c>
      <c r="L211" t="s">
        <v>99</v>
      </c>
      <c r="M211" t="s">
        <v>100</v>
      </c>
      <c r="N211" t="s">
        <v>234</v>
      </c>
      <c r="O211" t="s">
        <v>157</v>
      </c>
      <c r="P211" t="str">
        <f>"..                            "</f>
        <v xml:space="preserve">..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13.54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77.42</v>
      </c>
      <c r="BM211">
        <v>11.61</v>
      </c>
      <c r="BN211">
        <v>89.03</v>
      </c>
      <c r="BO211">
        <v>89.03</v>
      </c>
      <c r="BQ211" t="s">
        <v>226</v>
      </c>
      <c r="BR211" t="s">
        <v>226</v>
      </c>
      <c r="BS211" s="2">
        <v>44365</v>
      </c>
      <c r="BT211" s="3">
        <v>0.31041666666666667</v>
      </c>
      <c r="BU211" t="s">
        <v>545</v>
      </c>
      <c r="BV211" t="s">
        <v>79</v>
      </c>
      <c r="BY211">
        <v>1200</v>
      </c>
      <c r="CA211" t="s">
        <v>150</v>
      </c>
      <c r="CC211" t="s">
        <v>100</v>
      </c>
      <c r="CD211">
        <v>2016</v>
      </c>
      <c r="CE211" t="s">
        <v>94</v>
      </c>
      <c r="CF211" s="2">
        <v>44365</v>
      </c>
      <c r="CI211">
        <v>1</v>
      </c>
      <c r="CJ211">
        <v>1</v>
      </c>
      <c r="CK211" t="s">
        <v>160</v>
      </c>
      <c r="CL211" t="s">
        <v>80</v>
      </c>
    </row>
    <row r="212" spans="1:90" x14ac:dyDescent="0.25">
      <c r="A212" t="s">
        <v>228</v>
      </c>
      <c r="B212" t="s">
        <v>229</v>
      </c>
      <c r="C212" t="s">
        <v>72</v>
      </c>
      <c r="E212" t="str">
        <f>"029908251062"</f>
        <v>029908251062</v>
      </c>
      <c r="F212" s="2">
        <v>44351</v>
      </c>
      <c r="G212">
        <v>202112</v>
      </c>
      <c r="H212" t="s">
        <v>97</v>
      </c>
      <c r="I212" t="s">
        <v>98</v>
      </c>
      <c r="J212" t="s">
        <v>234</v>
      </c>
      <c r="K212" t="s">
        <v>75</v>
      </c>
      <c r="L212" t="s">
        <v>99</v>
      </c>
      <c r="M212" t="s">
        <v>100</v>
      </c>
      <c r="N212" t="s">
        <v>234</v>
      </c>
      <c r="O212" t="s">
        <v>157</v>
      </c>
      <c r="P212" t="str">
        <f>"PATIENCE                      "</f>
        <v xml:space="preserve">PATIENCE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18.059999999999999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</v>
      </c>
      <c r="BJ212">
        <v>9.3000000000000007</v>
      </c>
      <c r="BK212">
        <v>10</v>
      </c>
      <c r="BL212">
        <v>101.56</v>
      </c>
      <c r="BM212">
        <v>15.23</v>
      </c>
      <c r="BN212">
        <v>116.79</v>
      </c>
      <c r="BO212">
        <v>116.79</v>
      </c>
      <c r="BR212" t="s">
        <v>282</v>
      </c>
      <c r="BS212" s="2">
        <v>44354</v>
      </c>
      <c r="BT212" s="3">
        <v>0.31597222222222221</v>
      </c>
      <c r="BU212" t="s">
        <v>180</v>
      </c>
      <c r="BV212" t="s">
        <v>79</v>
      </c>
      <c r="BY212">
        <v>46620</v>
      </c>
      <c r="CA212" t="s">
        <v>150</v>
      </c>
      <c r="CC212" t="s">
        <v>100</v>
      </c>
      <c r="CD212">
        <v>2001</v>
      </c>
      <c r="CE212" t="s">
        <v>94</v>
      </c>
      <c r="CF212" s="2">
        <v>44354</v>
      </c>
      <c r="CI212">
        <v>1</v>
      </c>
      <c r="CJ212">
        <v>1</v>
      </c>
      <c r="CK212" t="s">
        <v>198</v>
      </c>
      <c r="CL212" t="s">
        <v>80</v>
      </c>
    </row>
    <row r="213" spans="1:90" x14ac:dyDescent="0.25">
      <c r="A213" t="s">
        <v>228</v>
      </c>
      <c r="B213" t="s">
        <v>229</v>
      </c>
      <c r="C213" t="s">
        <v>72</v>
      </c>
      <c r="E213" t="str">
        <f>"009941507281"</f>
        <v>009941507281</v>
      </c>
      <c r="F213" s="2">
        <v>44350</v>
      </c>
      <c r="G213">
        <v>202112</v>
      </c>
      <c r="H213" t="s">
        <v>97</v>
      </c>
      <c r="I213" t="s">
        <v>98</v>
      </c>
      <c r="J213" t="s">
        <v>234</v>
      </c>
      <c r="K213" t="s">
        <v>75</v>
      </c>
      <c r="L213" t="s">
        <v>99</v>
      </c>
      <c r="M213" t="s">
        <v>100</v>
      </c>
      <c r="N213" t="s">
        <v>234</v>
      </c>
      <c r="O213" t="s">
        <v>157</v>
      </c>
      <c r="P213" t="str">
        <f>"CARDIES PAVILION              "</f>
        <v xml:space="preserve">CARDIES PAVILION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18.059999999999999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2.4</v>
      </c>
      <c r="BK213">
        <v>3</v>
      </c>
      <c r="BL213">
        <v>101.56</v>
      </c>
      <c r="BM213">
        <v>15.23</v>
      </c>
      <c r="BN213">
        <v>116.79</v>
      </c>
      <c r="BO213">
        <v>116.79</v>
      </c>
      <c r="BS213" s="2">
        <v>44351</v>
      </c>
      <c r="BT213" s="3">
        <v>0.35138888888888892</v>
      </c>
      <c r="BU213" t="s">
        <v>134</v>
      </c>
      <c r="BV213" t="s">
        <v>79</v>
      </c>
      <c r="BY213">
        <v>12000</v>
      </c>
      <c r="CA213" t="s">
        <v>204</v>
      </c>
      <c r="CC213" t="s">
        <v>100</v>
      </c>
      <c r="CD213">
        <v>2013</v>
      </c>
      <c r="CE213" t="s">
        <v>94</v>
      </c>
      <c r="CF213" s="2">
        <v>44352</v>
      </c>
      <c r="CI213">
        <v>1</v>
      </c>
      <c r="CJ213">
        <v>1</v>
      </c>
      <c r="CK213" t="s">
        <v>198</v>
      </c>
      <c r="CL213" t="s">
        <v>80</v>
      </c>
    </row>
    <row r="214" spans="1:90" x14ac:dyDescent="0.25">
      <c r="A214" t="s">
        <v>228</v>
      </c>
      <c r="B214" t="s">
        <v>229</v>
      </c>
      <c r="C214" t="s">
        <v>72</v>
      </c>
      <c r="E214" t="str">
        <f>"009940615466"</f>
        <v>009940615466</v>
      </c>
      <c r="F214" s="2">
        <v>44350</v>
      </c>
      <c r="G214">
        <v>202112</v>
      </c>
      <c r="H214" t="s">
        <v>99</v>
      </c>
      <c r="I214" t="s">
        <v>100</v>
      </c>
      <c r="J214" t="s">
        <v>246</v>
      </c>
      <c r="K214" t="s">
        <v>75</v>
      </c>
      <c r="L214" t="s">
        <v>99</v>
      </c>
      <c r="M214" t="s">
        <v>100</v>
      </c>
      <c r="N214" t="s">
        <v>603</v>
      </c>
      <c r="O214" t="s">
        <v>157</v>
      </c>
      <c r="P214" t="str">
        <f>"..                            "</f>
        <v xml:space="preserve">..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13.54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1.2</v>
      </c>
      <c r="BK214">
        <v>2</v>
      </c>
      <c r="BL214">
        <v>77.42</v>
      </c>
      <c r="BM214">
        <v>11.61</v>
      </c>
      <c r="BN214">
        <v>89.03</v>
      </c>
      <c r="BO214">
        <v>89.03</v>
      </c>
      <c r="BQ214" t="s">
        <v>226</v>
      </c>
      <c r="BR214" t="s">
        <v>226</v>
      </c>
      <c r="BS214" s="2">
        <v>44351</v>
      </c>
      <c r="BT214" s="3">
        <v>0.3520833333333333</v>
      </c>
      <c r="BU214" t="s">
        <v>134</v>
      </c>
      <c r="BV214" t="s">
        <v>79</v>
      </c>
      <c r="BY214">
        <v>5858.69</v>
      </c>
      <c r="CA214" t="s">
        <v>204</v>
      </c>
      <c r="CC214" t="s">
        <v>100</v>
      </c>
      <c r="CD214">
        <v>2013</v>
      </c>
      <c r="CE214" t="s">
        <v>94</v>
      </c>
      <c r="CF214" s="2">
        <v>44352</v>
      </c>
      <c r="CI214">
        <v>1</v>
      </c>
      <c r="CJ214">
        <v>1</v>
      </c>
      <c r="CK214" t="s">
        <v>160</v>
      </c>
      <c r="CL214" t="s">
        <v>80</v>
      </c>
    </row>
    <row r="215" spans="1:90" x14ac:dyDescent="0.25">
      <c r="A215" t="s">
        <v>228</v>
      </c>
      <c r="B215" t="s">
        <v>229</v>
      </c>
      <c r="C215" t="s">
        <v>72</v>
      </c>
      <c r="E215" t="str">
        <f>"029908206845"</f>
        <v>029908206845</v>
      </c>
      <c r="F215" s="2">
        <v>44351</v>
      </c>
      <c r="G215">
        <v>202112</v>
      </c>
      <c r="H215" t="s">
        <v>97</v>
      </c>
      <c r="I215" t="s">
        <v>98</v>
      </c>
      <c r="J215" t="s">
        <v>234</v>
      </c>
      <c r="K215" t="s">
        <v>75</v>
      </c>
      <c r="L215" t="s">
        <v>164</v>
      </c>
      <c r="M215" t="s">
        <v>110</v>
      </c>
      <c r="N215" t="s">
        <v>234</v>
      </c>
      <c r="O215" t="s">
        <v>157</v>
      </c>
      <c r="P215" t="str">
        <f>"PATIENCE                      "</f>
        <v xml:space="preserve">PATIENCE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19.71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2.2999999999999998</v>
      </c>
      <c r="BK215">
        <v>3</v>
      </c>
      <c r="BL215">
        <v>110.42</v>
      </c>
      <c r="BM215">
        <v>16.559999999999999</v>
      </c>
      <c r="BN215">
        <v>126.98</v>
      </c>
      <c r="BO215">
        <v>126.98</v>
      </c>
      <c r="BQ215" t="s">
        <v>546</v>
      </c>
      <c r="BR215" t="s">
        <v>282</v>
      </c>
      <c r="BS215" s="2">
        <v>44354</v>
      </c>
      <c r="BT215" s="3">
        <v>0.39097222222222222</v>
      </c>
      <c r="BU215" t="s">
        <v>332</v>
      </c>
      <c r="BV215" t="s">
        <v>79</v>
      </c>
      <c r="BY215">
        <v>11250</v>
      </c>
      <c r="CA215" t="s">
        <v>216</v>
      </c>
      <c r="CC215" t="s">
        <v>110</v>
      </c>
      <c r="CD215">
        <v>7441</v>
      </c>
      <c r="CE215" t="s">
        <v>94</v>
      </c>
      <c r="CF215" s="2">
        <v>44355</v>
      </c>
      <c r="CI215">
        <v>3</v>
      </c>
      <c r="CJ215">
        <v>1</v>
      </c>
      <c r="CK215" t="s">
        <v>162</v>
      </c>
      <c r="CL215" t="s">
        <v>80</v>
      </c>
    </row>
    <row r="216" spans="1:90" x14ac:dyDescent="0.25">
      <c r="A216" t="s">
        <v>228</v>
      </c>
      <c r="B216" t="s">
        <v>229</v>
      </c>
      <c r="C216" t="s">
        <v>72</v>
      </c>
      <c r="E216" t="str">
        <f>"009940942812"</f>
        <v>009940942812</v>
      </c>
      <c r="F216" s="2">
        <v>44350</v>
      </c>
      <c r="G216">
        <v>202112</v>
      </c>
      <c r="H216" t="s">
        <v>95</v>
      </c>
      <c r="I216" t="s">
        <v>96</v>
      </c>
      <c r="J216" t="s">
        <v>591</v>
      </c>
      <c r="K216" t="s">
        <v>75</v>
      </c>
      <c r="L216" t="s">
        <v>99</v>
      </c>
      <c r="M216" t="s">
        <v>100</v>
      </c>
      <c r="N216" t="s">
        <v>603</v>
      </c>
      <c r="O216" t="s">
        <v>157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18.059999999999999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3</v>
      </c>
      <c r="BI216">
        <v>6</v>
      </c>
      <c r="BJ216">
        <v>14.4</v>
      </c>
      <c r="BK216">
        <v>15</v>
      </c>
      <c r="BL216">
        <v>101.56</v>
      </c>
      <c r="BM216">
        <v>15.23</v>
      </c>
      <c r="BN216">
        <v>116.79</v>
      </c>
      <c r="BO216">
        <v>116.79</v>
      </c>
      <c r="BQ216" t="s">
        <v>547</v>
      </c>
      <c r="BR216" t="s">
        <v>406</v>
      </c>
      <c r="BS216" s="2">
        <v>44351</v>
      </c>
      <c r="BT216" s="3">
        <v>0.35347222222222219</v>
      </c>
      <c r="BU216" t="s">
        <v>134</v>
      </c>
      <c r="BV216" t="s">
        <v>79</v>
      </c>
      <c r="BY216">
        <v>24000</v>
      </c>
      <c r="CA216" t="s">
        <v>204</v>
      </c>
      <c r="CC216" t="s">
        <v>100</v>
      </c>
      <c r="CD216">
        <v>2013</v>
      </c>
      <c r="CE216" t="s">
        <v>94</v>
      </c>
      <c r="CF216" s="2">
        <v>44352</v>
      </c>
      <c r="CI216">
        <v>1</v>
      </c>
      <c r="CJ216">
        <v>1</v>
      </c>
      <c r="CK216" t="s">
        <v>198</v>
      </c>
      <c r="CL216" t="s">
        <v>80</v>
      </c>
    </row>
    <row r="217" spans="1:90" x14ac:dyDescent="0.25">
      <c r="A217" t="s">
        <v>228</v>
      </c>
      <c r="B217" t="s">
        <v>229</v>
      </c>
      <c r="C217" t="s">
        <v>72</v>
      </c>
      <c r="E217" t="str">
        <f>"009940615467"</f>
        <v>009940615467</v>
      </c>
      <c r="F217" s="2">
        <v>44357</v>
      </c>
      <c r="G217">
        <v>202112</v>
      </c>
      <c r="H217" t="s">
        <v>99</v>
      </c>
      <c r="I217" t="s">
        <v>100</v>
      </c>
      <c r="J217" t="s">
        <v>596</v>
      </c>
      <c r="K217" t="s">
        <v>75</v>
      </c>
      <c r="L217" t="s">
        <v>99</v>
      </c>
      <c r="M217" t="s">
        <v>100</v>
      </c>
      <c r="N217" t="s">
        <v>234</v>
      </c>
      <c r="O217" t="s">
        <v>157</v>
      </c>
      <c r="P217" t="str">
        <f>"..                            "</f>
        <v xml:space="preserve">..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13.54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77.42</v>
      </c>
      <c r="BM217">
        <v>11.61</v>
      </c>
      <c r="BN217">
        <v>89.03</v>
      </c>
      <c r="BO217">
        <v>89.03</v>
      </c>
      <c r="BQ217" t="s">
        <v>226</v>
      </c>
      <c r="BR217" t="s">
        <v>226</v>
      </c>
      <c r="BS217" s="2">
        <v>44358</v>
      </c>
      <c r="BT217" s="3">
        <v>0.31388888888888888</v>
      </c>
      <c r="BU217" t="s">
        <v>180</v>
      </c>
      <c r="BV217" t="s">
        <v>79</v>
      </c>
      <c r="BY217">
        <v>1200</v>
      </c>
      <c r="CA217" t="s">
        <v>150</v>
      </c>
      <c r="CC217" t="s">
        <v>100</v>
      </c>
      <c r="CD217">
        <v>2013</v>
      </c>
      <c r="CE217" t="s">
        <v>94</v>
      </c>
      <c r="CF217" s="2">
        <v>44358</v>
      </c>
      <c r="CI217">
        <v>1</v>
      </c>
      <c r="CJ217">
        <v>1</v>
      </c>
      <c r="CK217" t="s">
        <v>160</v>
      </c>
      <c r="CL217" t="s">
        <v>80</v>
      </c>
    </row>
    <row r="218" spans="1:90" x14ac:dyDescent="0.25">
      <c r="A218" t="s">
        <v>228</v>
      </c>
      <c r="B218" t="s">
        <v>229</v>
      </c>
      <c r="C218" t="s">
        <v>72</v>
      </c>
      <c r="E218" t="str">
        <f>"009940224888"</f>
        <v>009940224888</v>
      </c>
      <c r="F218" s="2">
        <v>44362</v>
      </c>
      <c r="G218">
        <v>202112</v>
      </c>
      <c r="H218" t="s">
        <v>99</v>
      </c>
      <c r="I218" t="s">
        <v>100</v>
      </c>
      <c r="J218" t="s">
        <v>230</v>
      </c>
      <c r="K218" t="s">
        <v>75</v>
      </c>
      <c r="L218" t="s">
        <v>99</v>
      </c>
      <c r="M218" t="s">
        <v>100</v>
      </c>
      <c r="N218" t="s">
        <v>234</v>
      </c>
      <c r="O218" t="s">
        <v>157</v>
      </c>
      <c r="P218" t="str">
        <f>"..                            "</f>
        <v xml:space="preserve">..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13.54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77.42</v>
      </c>
      <c r="BM218">
        <v>11.61</v>
      </c>
      <c r="BN218">
        <v>89.03</v>
      </c>
      <c r="BO218">
        <v>89.03</v>
      </c>
      <c r="BQ218" t="s">
        <v>226</v>
      </c>
      <c r="BR218" t="s">
        <v>410</v>
      </c>
      <c r="BS218" s="2">
        <v>44364</v>
      </c>
      <c r="BT218" s="3">
        <v>0.31875000000000003</v>
      </c>
      <c r="BU218" t="s">
        <v>180</v>
      </c>
      <c r="BV218" t="s">
        <v>79</v>
      </c>
      <c r="BY218">
        <v>1200</v>
      </c>
      <c r="CA218" t="s">
        <v>150</v>
      </c>
      <c r="CC218" t="s">
        <v>100</v>
      </c>
      <c r="CD218">
        <v>2013</v>
      </c>
      <c r="CE218" t="s">
        <v>94</v>
      </c>
      <c r="CF218" s="2">
        <v>44365</v>
      </c>
      <c r="CI218">
        <v>1</v>
      </c>
      <c r="CJ218">
        <v>2</v>
      </c>
      <c r="CK218" t="s">
        <v>160</v>
      </c>
      <c r="CL218" t="s">
        <v>80</v>
      </c>
    </row>
    <row r="219" spans="1:90" x14ac:dyDescent="0.25">
      <c r="A219" t="s">
        <v>228</v>
      </c>
      <c r="B219" t="s">
        <v>229</v>
      </c>
      <c r="C219" t="s">
        <v>72</v>
      </c>
      <c r="E219" t="str">
        <f>"029908479180"</f>
        <v>029908479180</v>
      </c>
      <c r="F219" s="2">
        <v>44362</v>
      </c>
      <c r="G219">
        <v>202112</v>
      </c>
      <c r="H219" t="s">
        <v>315</v>
      </c>
      <c r="I219" t="s">
        <v>316</v>
      </c>
      <c r="J219" t="s">
        <v>591</v>
      </c>
      <c r="K219" t="s">
        <v>75</v>
      </c>
      <c r="L219" t="s">
        <v>99</v>
      </c>
      <c r="M219" t="s">
        <v>100</v>
      </c>
      <c r="N219" t="s">
        <v>246</v>
      </c>
      <c r="O219" t="s">
        <v>157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27.08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149.84</v>
      </c>
      <c r="BM219">
        <v>22.48</v>
      </c>
      <c r="BN219">
        <v>172.32</v>
      </c>
      <c r="BO219">
        <v>172.32</v>
      </c>
      <c r="BQ219" t="s">
        <v>297</v>
      </c>
      <c r="BR219" t="s">
        <v>548</v>
      </c>
      <c r="BS219" s="2">
        <v>44364</v>
      </c>
      <c r="BT219" s="3">
        <v>0.31805555555555554</v>
      </c>
      <c r="BU219" t="s">
        <v>134</v>
      </c>
      <c r="BV219" t="s">
        <v>79</v>
      </c>
      <c r="BY219">
        <v>1200</v>
      </c>
      <c r="CA219" t="s">
        <v>204</v>
      </c>
      <c r="CC219" t="s">
        <v>100</v>
      </c>
      <c r="CD219">
        <v>2013</v>
      </c>
      <c r="CE219" t="s">
        <v>94</v>
      </c>
      <c r="CF219" s="2">
        <v>44365</v>
      </c>
      <c r="CI219">
        <v>1</v>
      </c>
      <c r="CJ219">
        <v>2</v>
      </c>
      <c r="CK219" t="s">
        <v>320</v>
      </c>
      <c r="CL219" t="s">
        <v>80</v>
      </c>
    </row>
    <row r="220" spans="1:90" x14ac:dyDescent="0.25">
      <c r="A220" t="s">
        <v>228</v>
      </c>
      <c r="B220" t="s">
        <v>229</v>
      </c>
      <c r="C220" t="s">
        <v>72</v>
      </c>
      <c r="E220" t="str">
        <f>"009941342433"</f>
        <v>009941342433</v>
      </c>
      <c r="F220" s="2">
        <v>44362</v>
      </c>
      <c r="G220">
        <v>202112</v>
      </c>
      <c r="H220" t="s">
        <v>73</v>
      </c>
      <c r="I220" t="s">
        <v>74</v>
      </c>
      <c r="J220" t="s">
        <v>246</v>
      </c>
      <c r="K220" t="s">
        <v>75</v>
      </c>
      <c r="L220" t="s">
        <v>99</v>
      </c>
      <c r="M220" t="s">
        <v>100</v>
      </c>
      <c r="N220" t="s">
        <v>234</v>
      </c>
      <c r="O220" t="s">
        <v>157</v>
      </c>
      <c r="P220" t="str">
        <f>"NOREF                         "</f>
        <v xml:space="preserve">NOREF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13.54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</v>
      </c>
      <c r="BJ220">
        <v>1.2</v>
      </c>
      <c r="BK220">
        <v>2</v>
      </c>
      <c r="BL220">
        <v>77.42</v>
      </c>
      <c r="BM220">
        <v>11.61</v>
      </c>
      <c r="BN220">
        <v>89.03</v>
      </c>
      <c r="BO220">
        <v>89.03</v>
      </c>
      <c r="BQ220" t="s">
        <v>161</v>
      </c>
      <c r="BR220" t="s">
        <v>301</v>
      </c>
      <c r="BS220" s="2">
        <v>44364</v>
      </c>
      <c r="BT220" s="3">
        <v>0.31805555555555554</v>
      </c>
      <c r="BU220" t="s">
        <v>134</v>
      </c>
      <c r="BV220" t="s">
        <v>79</v>
      </c>
      <c r="BY220">
        <v>6000</v>
      </c>
      <c r="CA220" t="s">
        <v>204</v>
      </c>
      <c r="CC220" t="s">
        <v>100</v>
      </c>
      <c r="CD220">
        <v>2000</v>
      </c>
      <c r="CE220" t="s">
        <v>94</v>
      </c>
      <c r="CF220" s="2">
        <v>44365</v>
      </c>
      <c r="CI220">
        <v>0</v>
      </c>
      <c r="CJ220">
        <v>0</v>
      </c>
      <c r="CK220" t="s">
        <v>300</v>
      </c>
      <c r="CL220" t="s">
        <v>80</v>
      </c>
    </row>
    <row r="221" spans="1:90" x14ac:dyDescent="0.25">
      <c r="A221" t="s">
        <v>228</v>
      </c>
      <c r="B221" t="s">
        <v>229</v>
      </c>
      <c r="C221" t="s">
        <v>72</v>
      </c>
      <c r="E221" t="str">
        <f>"009941342424"</f>
        <v>009941342424</v>
      </c>
      <c r="F221" s="2">
        <v>44362</v>
      </c>
      <c r="G221">
        <v>202112</v>
      </c>
      <c r="H221" t="s">
        <v>73</v>
      </c>
      <c r="I221" t="s">
        <v>74</v>
      </c>
      <c r="J221" t="s">
        <v>246</v>
      </c>
      <c r="K221" t="s">
        <v>75</v>
      </c>
      <c r="L221" t="s">
        <v>99</v>
      </c>
      <c r="M221" t="s">
        <v>100</v>
      </c>
      <c r="N221" t="s">
        <v>234</v>
      </c>
      <c r="O221" t="s">
        <v>157</v>
      </c>
      <c r="P221" t="str">
        <f>"NOREF                         "</f>
        <v xml:space="preserve">NOREF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13.54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</v>
      </c>
      <c r="BJ221">
        <v>1.2</v>
      </c>
      <c r="BK221">
        <v>2</v>
      </c>
      <c r="BL221">
        <v>77.42</v>
      </c>
      <c r="BM221">
        <v>11.61</v>
      </c>
      <c r="BN221">
        <v>89.03</v>
      </c>
      <c r="BO221">
        <v>89.03</v>
      </c>
      <c r="BQ221" t="s">
        <v>161</v>
      </c>
      <c r="BR221" t="s">
        <v>299</v>
      </c>
      <c r="BS221" s="2">
        <v>44364</v>
      </c>
      <c r="BT221" s="3">
        <v>0.31875000000000003</v>
      </c>
      <c r="BU221" t="s">
        <v>134</v>
      </c>
      <c r="BV221" t="s">
        <v>79</v>
      </c>
      <c r="BY221">
        <v>6000</v>
      </c>
      <c r="CA221" t="s">
        <v>204</v>
      </c>
      <c r="CC221" t="s">
        <v>100</v>
      </c>
      <c r="CD221">
        <v>2000</v>
      </c>
      <c r="CE221" t="s">
        <v>94</v>
      </c>
      <c r="CF221" s="2">
        <v>44365</v>
      </c>
      <c r="CI221">
        <v>0</v>
      </c>
      <c r="CJ221">
        <v>0</v>
      </c>
      <c r="CK221" t="s">
        <v>300</v>
      </c>
      <c r="CL221" t="s">
        <v>80</v>
      </c>
    </row>
    <row r="222" spans="1:90" x14ac:dyDescent="0.25">
      <c r="A222" t="s">
        <v>228</v>
      </c>
      <c r="B222" t="s">
        <v>229</v>
      </c>
      <c r="C222" t="s">
        <v>72</v>
      </c>
      <c r="E222" t="str">
        <f>"080010142500"</f>
        <v>080010142500</v>
      </c>
      <c r="F222" s="2">
        <v>44361</v>
      </c>
      <c r="G222">
        <v>202112</v>
      </c>
      <c r="H222" t="s">
        <v>76</v>
      </c>
      <c r="I222" t="s">
        <v>77</v>
      </c>
      <c r="J222" t="s">
        <v>411</v>
      </c>
      <c r="K222" t="s">
        <v>75</v>
      </c>
      <c r="L222" t="s">
        <v>95</v>
      </c>
      <c r="M222" t="s">
        <v>96</v>
      </c>
      <c r="N222" t="s">
        <v>234</v>
      </c>
      <c r="O222" t="s">
        <v>157</v>
      </c>
      <c r="P222" t="str">
        <f>"-                             "</f>
        <v xml:space="preserve">-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35.79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3</v>
      </c>
      <c r="BI222">
        <v>24.3</v>
      </c>
      <c r="BJ222">
        <v>53.3</v>
      </c>
      <c r="BK222">
        <v>54</v>
      </c>
      <c r="BL222">
        <v>196.39</v>
      </c>
      <c r="BM222">
        <v>29.46</v>
      </c>
      <c r="BN222">
        <v>225.85</v>
      </c>
      <c r="BO222">
        <v>225.85</v>
      </c>
      <c r="BP222" t="s">
        <v>154</v>
      </c>
      <c r="BQ222" t="s">
        <v>518</v>
      </c>
      <c r="BR222" t="s">
        <v>413</v>
      </c>
      <c r="BS222" s="2">
        <v>44362</v>
      </c>
      <c r="BT222" s="3">
        <v>0.61319444444444449</v>
      </c>
      <c r="BU222" t="s">
        <v>549</v>
      </c>
      <c r="BV222" t="s">
        <v>79</v>
      </c>
      <c r="BY222">
        <v>266325.92</v>
      </c>
      <c r="CA222" t="s">
        <v>359</v>
      </c>
      <c r="CC222" t="s">
        <v>96</v>
      </c>
      <c r="CD222">
        <v>3624</v>
      </c>
      <c r="CE222" t="s">
        <v>422</v>
      </c>
      <c r="CF222" s="2">
        <v>44364</v>
      </c>
      <c r="CI222">
        <v>1</v>
      </c>
      <c r="CJ222">
        <v>1</v>
      </c>
      <c r="CK222" t="s">
        <v>159</v>
      </c>
      <c r="CL222" t="s">
        <v>80</v>
      </c>
    </row>
    <row r="223" spans="1:90" x14ac:dyDescent="0.25">
      <c r="A223" t="s">
        <v>228</v>
      </c>
      <c r="B223" t="s">
        <v>229</v>
      </c>
      <c r="C223" t="s">
        <v>72</v>
      </c>
      <c r="E223" t="str">
        <f>"080010142889"</f>
        <v>080010142889</v>
      </c>
      <c r="F223" s="2">
        <v>44361</v>
      </c>
      <c r="G223">
        <v>202112</v>
      </c>
      <c r="H223" t="s">
        <v>76</v>
      </c>
      <c r="I223" t="s">
        <v>77</v>
      </c>
      <c r="J223" t="s">
        <v>411</v>
      </c>
      <c r="K223" t="s">
        <v>75</v>
      </c>
      <c r="L223" t="s">
        <v>136</v>
      </c>
      <c r="M223" t="s">
        <v>137</v>
      </c>
      <c r="N223" t="s">
        <v>476</v>
      </c>
      <c r="O223" t="s">
        <v>157</v>
      </c>
      <c r="P223" t="str">
        <f>"-                             "</f>
        <v xml:space="preserve">-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30.65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3</v>
      </c>
      <c r="BI223">
        <v>24.9</v>
      </c>
      <c r="BJ223">
        <v>44.4</v>
      </c>
      <c r="BK223">
        <v>45</v>
      </c>
      <c r="BL223">
        <v>168.93</v>
      </c>
      <c r="BM223">
        <v>25.34</v>
      </c>
      <c r="BN223">
        <v>194.27</v>
      </c>
      <c r="BO223">
        <v>194.27</v>
      </c>
      <c r="BP223" t="s">
        <v>154</v>
      </c>
      <c r="BQ223" t="s">
        <v>209</v>
      </c>
      <c r="BR223" t="s">
        <v>413</v>
      </c>
      <c r="BS223" s="2">
        <v>44362</v>
      </c>
      <c r="BT223" s="3">
        <v>0.40625</v>
      </c>
      <c r="BU223" t="s">
        <v>550</v>
      </c>
      <c r="BV223" t="s">
        <v>79</v>
      </c>
      <c r="BY223">
        <v>221795.99</v>
      </c>
      <c r="CA223" t="s">
        <v>479</v>
      </c>
      <c r="CC223" t="s">
        <v>137</v>
      </c>
      <c r="CD223">
        <v>4320</v>
      </c>
      <c r="CE223" t="s">
        <v>196</v>
      </c>
      <c r="CF223" s="2">
        <v>44364</v>
      </c>
      <c r="CI223">
        <v>1</v>
      </c>
      <c r="CJ223">
        <v>1</v>
      </c>
      <c r="CK223" t="s">
        <v>159</v>
      </c>
      <c r="CL223" t="s">
        <v>80</v>
      </c>
    </row>
    <row r="224" spans="1:90" x14ac:dyDescent="0.25">
      <c r="A224" t="s">
        <v>228</v>
      </c>
      <c r="B224" t="s">
        <v>229</v>
      </c>
      <c r="C224" t="s">
        <v>72</v>
      </c>
      <c r="E224" t="str">
        <f>"009941485298"</f>
        <v>009941485298</v>
      </c>
      <c r="F224" s="2">
        <v>44361</v>
      </c>
      <c r="G224">
        <v>202112</v>
      </c>
      <c r="H224" t="s">
        <v>99</v>
      </c>
      <c r="I224" t="s">
        <v>100</v>
      </c>
      <c r="J224" t="s">
        <v>246</v>
      </c>
      <c r="K224" t="s">
        <v>75</v>
      </c>
      <c r="L224" t="s">
        <v>99</v>
      </c>
      <c r="M224" t="s">
        <v>100</v>
      </c>
      <c r="N224" t="s">
        <v>234</v>
      </c>
      <c r="O224" t="s">
        <v>157</v>
      </c>
      <c r="P224" t="str">
        <f>"..                            "</f>
        <v xml:space="preserve">..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13.54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2.2999999999999998</v>
      </c>
      <c r="BK224">
        <v>3</v>
      </c>
      <c r="BL224">
        <v>77.42</v>
      </c>
      <c r="BM224">
        <v>11.61</v>
      </c>
      <c r="BN224">
        <v>89.03</v>
      </c>
      <c r="BO224">
        <v>89.03</v>
      </c>
      <c r="BQ224" t="s">
        <v>161</v>
      </c>
      <c r="BR224" t="s">
        <v>209</v>
      </c>
      <c r="BS224" s="2">
        <v>44362</v>
      </c>
      <c r="BT224" s="3">
        <v>0.30902777777777779</v>
      </c>
      <c r="BU224" t="s">
        <v>134</v>
      </c>
      <c r="BV224" t="s">
        <v>79</v>
      </c>
      <c r="BY224">
        <v>11520</v>
      </c>
      <c r="CA224" t="s">
        <v>204</v>
      </c>
      <c r="CC224" t="s">
        <v>100</v>
      </c>
      <c r="CD224">
        <v>2013</v>
      </c>
      <c r="CE224" t="s">
        <v>94</v>
      </c>
      <c r="CF224" s="2">
        <v>44362</v>
      </c>
      <c r="CI224">
        <v>1</v>
      </c>
      <c r="CJ224">
        <v>1</v>
      </c>
      <c r="CK224" t="s">
        <v>160</v>
      </c>
      <c r="CL224" t="s">
        <v>80</v>
      </c>
    </row>
    <row r="225" spans="1:90" x14ac:dyDescent="0.25">
      <c r="A225" t="s">
        <v>228</v>
      </c>
      <c r="B225" t="s">
        <v>229</v>
      </c>
      <c r="C225" t="s">
        <v>72</v>
      </c>
      <c r="E225" t="str">
        <f>"009941485330"</f>
        <v>009941485330</v>
      </c>
      <c r="F225" s="2">
        <v>44365</v>
      </c>
      <c r="G225">
        <v>202112</v>
      </c>
      <c r="H225" t="s">
        <v>99</v>
      </c>
      <c r="I225" t="s">
        <v>100</v>
      </c>
      <c r="J225" t="s">
        <v>246</v>
      </c>
      <c r="K225" t="s">
        <v>75</v>
      </c>
      <c r="L225" t="s">
        <v>99</v>
      </c>
      <c r="M225" t="s">
        <v>100</v>
      </c>
      <c r="N225" t="s">
        <v>234</v>
      </c>
      <c r="O225" t="s">
        <v>78</v>
      </c>
      <c r="P225" t="str">
        <f>"..                            "</f>
        <v xml:space="preserve">..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7.52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40.229999999999997</v>
      </c>
      <c r="BM225">
        <v>6.03</v>
      </c>
      <c r="BN225">
        <v>46.26</v>
      </c>
      <c r="BO225">
        <v>46.26</v>
      </c>
      <c r="BQ225" t="s">
        <v>226</v>
      </c>
      <c r="BR225" t="s">
        <v>209</v>
      </c>
      <c r="BS225" s="2">
        <v>44368</v>
      </c>
      <c r="BT225" s="3">
        <v>0.34027777777777773</v>
      </c>
      <c r="BU225" t="s">
        <v>220</v>
      </c>
      <c r="BV225" t="s">
        <v>79</v>
      </c>
      <c r="BY225">
        <v>1200</v>
      </c>
      <c r="BZ225" t="s">
        <v>81</v>
      </c>
      <c r="CA225" t="s">
        <v>150</v>
      </c>
      <c r="CC225" t="s">
        <v>100</v>
      </c>
      <c r="CD225">
        <v>2013</v>
      </c>
      <c r="CE225" t="s">
        <v>94</v>
      </c>
      <c r="CF225" s="2">
        <v>44368</v>
      </c>
      <c r="CI225">
        <v>1</v>
      </c>
      <c r="CJ225">
        <v>1</v>
      </c>
      <c r="CK225">
        <v>22</v>
      </c>
      <c r="CL225" t="s">
        <v>80</v>
      </c>
    </row>
    <row r="226" spans="1:90" x14ac:dyDescent="0.25">
      <c r="A226" t="s">
        <v>228</v>
      </c>
      <c r="B226" t="s">
        <v>229</v>
      </c>
      <c r="C226" t="s">
        <v>72</v>
      </c>
      <c r="E226" t="str">
        <f>"009941472092"</f>
        <v>009941472092</v>
      </c>
      <c r="F226" s="2">
        <v>44365</v>
      </c>
      <c r="G226">
        <v>202112</v>
      </c>
      <c r="H226" t="s">
        <v>99</v>
      </c>
      <c r="I226" t="s">
        <v>100</v>
      </c>
      <c r="J226" t="s">
        <v>266</v>
      </c>
      <c r="K226" t="s">
        <v>75</v>
      </c>
      <c r="L226" t="s">
        <v>99</v>
      </c>
      <c r="M226" t="s">
        <v>100</v>
      </c>
      <c r="N226" t="s">
        <v>234</v>
      </c>
      <c r="O226" t="s">
        <v>78</v>
      </c>
      <c r="P226" t="str">
        <f>"..                            "</f>
        <v xml:space="preserve">..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7.52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40.229999999999997</v>
      </c>
      <c r="BM226">
        <v>6.03</v>
      </c>
      <c r="BN226">
        <v>46.26</v>
      </c>
      <c r="BO226">
        <v>46.26</v>
      </c>
      <c r="BQ226" t="s">
        <v>226</v>
      </c>
      <c r="BR226" t="s">
        <v>226</v>
      </c>
      <c r="BS226" s="2">
        <v>44368</v>
      </c>
      <c r="BT226" s="3">
        <v>0.34236111111111112</v>
      </c>
      <c r="BU226" t="s">
        <v>551</v>
      </c>
      <c r="BV226" t="s">
        <v>79</v>
      </c>
      <c r="BY226">
        <v>1200</v>
      </c>
      <c r="BZ226" t="s">
        <v>81</v>
      </c>
      <c r="CA226" t="s">
        <v>150</v>
      </c>
      <c r="CC226" t="s">
        <v>100</v>
      </c>
      <c r="CD226">
        <v>2013</v>
      </c>
      <c r="CE226" t="s">
        <v>94</v>
      </c>
      <c r="CF226" s="2">
        <v>44368</v>
      </c>
      <c r="CI226">
        <v>1</v>
      </c>
      <c r="CJ226">
        <v>1</v>
      </c>
      <c r="CK226">
        <v>22</v>
      </c>
      <c r="CL226" t="s">
        <v>80</v>
      </c>
    </row>
    <row r="227" spans="1:90" x14ac:dyDescent="0.25">
      <c r="A227" t="s">
        <v>228</v>
      </c>
      <c r="B227" t="s">
        <v>229</v>
      </c>
      <c r="C227" t="s">
        <v>72</v>
      </c>
      <c r="E227" t="str">
        <f>"009941472091"</f>
        <v>009941472091</v>
      </c>
      <c r="F227" s="2">
        <v>44365</v>
      </c>
      <c r="G227">
        <v>202112</v>
      </c>
      <c r="H227" t="s">
        <v>99</v>
      </c>
      <c r="I227" t="s">
        <v>100</v>
      </c>
      <c r="J227" t="s">
        <v>234</v>
      </c>
      <c r="K227" t="s">
        <v>75</v>
      </c>
      <c r="L227" t="s">
        <v>99</v>
      </c>
      <c r="M227" t="s">
        <v>100</v>
      </c>
      <c r="N227" t="s">
        <v>234</v>
      </c>
      <c r="O227" t="s">
        <v>78</v>
      </c>
      <c r="P227" t="str">
        <f>"..                            "</f>
        <v xml:space="preserve">..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7.52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1.7</v>
      </c>
      <c r="BK227">
        <v>2</v>
      </c>
      <c r="BL227">
        <v>40.229999999999997</v>
      </c>
      <c r="BM227">
        <v>6.03</v>
      </c>
      <c r="BN227">
        <v>46.26</v>
      </c>
      <c r="BO227">
        <v>46.26</v>
      </c>
      <c r="BQ227" t="s">
        <v>226</v>
      </c>
      <c r="BR227" t="s">
        <v>552</v>
      </c>
      <c r="BS227" s="2">
        <v>44368</v>
      </c>
      <c r="BT227" s="3">
        <v>0.34166666666666662</v>
      </c>
      <c r="BU227" t="s">
        <v>220</v>
      </c>
      <c r="BV227" t="s">
        <v>79</v>
      </c>
      <c r="BY227">
        <v>8621.76</v>
      </c>
      <c r="BZ227" t="s">
        <v>81</v>
      </c>
      <c r="CA227" t="s">
        <v>150</v>
      </c>
      <c r="CC227" t="s">
        <v>100</v>
      </c>
      <c r="CD227">
        <v>2013</v>
      </c>
      <c r="CE227" t="s">
        <v>94</v>
      </c>
      <c r="CF227" s="2">
        <v>44368</v>
      </c>
      <c r="CI227">
        <v>1</v>
      </c>
      <c r="CJ227">
        <v>1</v>
      </c>
      <c r="CK227">
        <v>22</v>
      </c>
      <c r="CL227" t="s">
        <v>80</v>
      </c>
    </row>
    <row r="228" spans="1:90" x14ac:dyDescent="0.25">
      <c r="A228" t="s">
        <v>228</v>
      </c>
      <c r="B228" t="s">
        <v>229</v>
      </c>
      <c r="C228" t="s">
        <v>72</v>
      </c>
      <c r="E228" t="str">
        <f>"009941364506"</f>
        <v>009941364506</v>
      </c>
      <c r="F228" s="2">
        <v>44365</v>
      </c>
      <c r="G228">
        <v>202112</v>
      </c>
      <c r="H228" t="s">
        <v>97</v>
      </c>
      <c r="I228" t="s">
        <v>98</v>
      </c>
      <c r="J228" t="s">
        <v>246</v>
      </c>
      <c r="K228" t="s">
        <v>75</v>
      </c>
      <c r="L228" t="s">
        <v>99</v>
      </c>
      <c r="M228" t="s">
        <v>100</v>
      </c>
      <c r="N228" t="s">
        <v>234</v>
      </c>
      <c r="O228" t="s">
        <v>78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9.6300000000000008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0.3</v>
      </c>
      <c r="BK228">
        <v>1</v>
      </c>
      <c r="BL228">
        <v>51.5</v>
      </c>
      <c r="BM228">
        <v>7.73</v>
      </c>
      <c r="BN228">
        <v>59.23</v>
      </c>
      <c r="BO228">
        <v>59.23</v>
      </c>
      <c r="BR228" t="s">
        <v>209</v>
      </c>
      <c r="BS228" s="2">
        <v>44368</v>
      </c>
      <c r="BT228" s="3">
        <v>0.34097222222222223</v>
      </c>
      <c r="BU228" t="s">
        <v>220</v>
      </c>
      <c r="BV228" t="s">
        <v>79</v>
      </c>
      <c r="BY228">
        <v>1560</v>
      </c>
      <c r="BZ228" t="s">
        <v>81</v>
      </c>
      <c r="CA228" t="s">
        <v>150</v>
      </c>
      <c r="CC228" t="s">
        <v>100</v>
      </c>
      <c r="CD228">
        <v>2013</v>
      </c>
      <c r="CE228" t="s">
        <v>94</v>
      </c>
      <c r="CF228" s="2">
        <v>44368</v>
      </c>
      <c r="CI228">
        <v>1</v>
      </c>
      <c r="CJ228">
        <v>1</v>
      </c>
      <c r="CK228">
        <v>21</v>
      </c>
      <c r="CL228" t="s">
        <v>80</v>
      </c>
    </row>
    <row r="229" spans="1:90" x14ac:dyDescent="0.25">
      <c r="A229" t="s">
        <v>228</v>
      </c>
      <c r="B229" t="s">
        <v>229</v>
      </c>
      <c r="C229" t="s">
        <v>72</v>
      </c>
      <c r="E229" t="str">
        <f>"009941173890"</f>
        <v>009941173890</v>
      </c>
      <c r="F229" s="2">
        <v>44365</v>
      </c>
      <c r="G229">
        <v>202112</v>
      </c>
      <c r="H229" t="s">
        <v>73</v>
      </c>
      <c r="I229" t="s">
        <v>74</v>
      </c>
      <c r="J229" t="s">
        <v>597</v>
      </c>
      <c r="K229" t="s">
        <v>75</v>
      </c>
      <c r="L229" t="s">
        <v>99</v>
      </c>
      <c r="M229" t="s">
        <v>100</v>
      </c>
      <c r="N229" t="s">
        <v>234</v>
      </c>
      <c r="O229" t="s">
        <v>78</v>
      </c>
      <c r="P229" t="str">
        <f>"2106580064                    "</f>
        <v xml:space="preserve">2106580064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9.6300000000000008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51.5</v>
      </c>
      <c r="BM229">
        <v>7.73</v>
      </c>
      <c r="BN229">
        <v>59.23</v>
      </c>
      <c r="BO229">
        <v>59.23</v>
      </c>
      <c r="BQ229" t="s">
        <v>161</v>
      </c>
      <c r="BR229" t="s">
        <v>553</v>
      </c>
      <c r="BS229" s="2">
        <v>44368</v>
      </c>
      <c r="BT229" s="3">
        <v>0.34166666666666662</v>
      </c>
      <c r="BU229" t="s">
        <v>554</v>
      </c>
      <c r="BV229" t="s">
        <v>79</v>
      </c>
      <c r="BY229">
        <v>1200</v>
      </c>
      <c r="BZ229" t="s">
        <v>81</v>
      </c>
      <c r="CA229" t="s">
        <v>150</v>
      </c>
      <c r="CC229" t="s">
        <v>100</v>
      </c>
      <c r="CD229">
        <v>2000</v>
      </c>
      <c r="CE229" t="s">
        <v>94</v>
      </c>
      <c r="CF229" s="2">
        <v>44368</v>
      </c>
      <c r="CI229">
        <v>1</v>
      </c>
      <c r="CJ229">
        <v>1</v>
      </c>
      <c r="CK229">
        <v>21</v>
      </c>
      <c r="CL229" t="s">
        <v>80</v>
      </c>
    </row>
    <row r="230" spans="1:90" x14ac:dyDescent="0.25">
      <c r="A230" t="s">
        <v>228</v>
      </c>
      <c r="B230" t="s">
        <v>229</v>
      </c>
      <c r="C230" t="s">
        <v>72</v>
      </c>
      <c r="E230" t="str">
        <f>"080010145463"</f>
        <v>080010145463</v>
      </c>
      <c r="F230" s="2">
        <v>44364</v>
      </c>
      <c r="G230">
        <v>202112</v>
      </c>
      <c r="H230" t="s">
        <v>95</v>
      </c>
      <c r="I230" t="s">
        <v>96</v>
      </c>
      <c r="J230" t="s">
        <v>234</v>
      </c>
      <c r="K230" t="s">
        <v>75</v>
      </c>
      <c r="L230" t="s">
        <v>89</v>
      </c>
      <c r="M230" t="s">
        <v>90</v>
      </c>
      <c r="N230" t="s">
        <v>294</v>
      </c>
      <c r="O230" t="s">
        <v>157</v>
      </c>
      <c r="P230" t="str">
        <f t="shared" ref="P230:P239" si="7">"-                             "</f>
        <v xml:space="preserve">-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19.559999999999999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4</v>
      </c>
      <c r="BJ230">
        <v>4.0999999999999996</v>
      </c>
      <c r="BK230">
        <v>5</v>
      </c>
      <c r="BL230">
        <v>109.6</v>
      </c>
      <c r="BM230">
        <v>16.440000000000001</v>
      </c>
      <c r="BN230">
        <v>126.04</v>
      </c>
      <c r="BO230">
        <v>126.04</v>
      </c>
      <c r="BP230" t="s">
        <v>154</v>
      </c>
      <c r="BQ230" t="s">
        <v>209</v>
      </c>
      <c r="BR230" t="s">
        <v>518</v>
      </c>
      <c r="BS230" s="2">
        <v>44368</v>
      </c>
      <c r="BT230" s="3">
        <v>0.44305555555555554</v>
      </c>
      <c r="BU230" t="s">
        <v>555</v>
      </c>
      <c r="BV230" t="s">
        <v>79</v>
      </c>
      <c r="BY230">
        <v>20700</v>
      </c>
      <c r="CA230" t="s">
        <v>163</v>
      </c>
      <c r="CC230" t="s">
        <v>90</v>
      </c>
      <c r="CD230">
        <v>6070</v>
      </c>
      <c r="CE230" t="s">
        <v>196</v>
      </c>
      <c r="CF230" s="2">
        <v>44368</v>
      </c>
      <c r="CI230">
        <v>2</v>
      </c>
      <c r="CJ230">
        <v>1</v>
      </c>
      <c r="CK230" t="s">
        <v>203</v>
      </c>
      <c r="CL230" t="s">
        <v>80</v>
      </c>
    </row>
    <row r="231" spans="1:90" x14ac:dyDescent="0.25">
      <c r="A231" t="s">
        <v>228</v>
      </c>
      <c r="B231" t="s">
        <v>229</v>
      </c>
      <c r="C231" t="s">
        <v>72</v>
      </c>
      <c r="E231" t="str">
        <f>"080010145475"</f>
        <v>080010145475</v>
      </c>
      <c r="F231" s="2">
        <v>44364</v>
      </c>
      <c r="G231">
        <v>202112</v>
      </c>
      <c r="H231" t="s">
        <v>95</v>
      </c>
      <c r="I231" t="s">
        <v>96</v>
      </c>
      <c r="J231" t="s">
        <v>234</v>
      </c>
      <c r="K231" t="s">
        <v>75</v>
      </c>
      <c r="L231" t="s">
        <v>164</v>
      </c>
      <c r="M231" t="s">
        <v>110</v>
      </c>
      <c r="N231" t="s">
        <v>465</v>
      </c>
      <c r="O231" t="s">
        <v>157</v>
      </c>
      <c r="P231" t="str">
        <f t="shared" si="7"/>
        <v xml:space="preserve">-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19.71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4</v>
      </c>
      <c r="BJ231">
        <v>4.0999999999999996</v>
      </c>
      <c r="BK231">
        <v>5</v>
      </c>
      <c r="BL231">
        <v>110.42</v>
      </c>
      <c r="BM231">
        <v>16.559999999999999</v>
      </c>
      <c r="BN231">
        <v>126.98</v>
      </c>
      <c r="BO231">
        <v>126.98</v>
      </c>
      <c r="BP231" t="s">
        <v>154</v>
      </c>
      <c r="BQ231" t="s">
        <v>209</v>
      </c>
      <c r="BR231" t="s">
        <v>518</v>
      </c>
      <c r="BS231" s="2">
        <v>44368</v>
      </c>
      <c r="BT231" s="3">
        <v>0.54999999999999993</v>
      </c>
      <c r="BU231" t="s">
        <v>466</v>
      </c>
      <c r="BV231" t="s">
        <v>79</v>
      </c>
      <c r="BY231">
        <v>20700</v>
      </c>
      <c r="CA231" t="s">
        <v>123</v>
      </c>
      <c r="CC231" t="s">
        <v>110</v>
      </c>
      <c r="CD231">
        <v>7530</v>
      </c>
      <c r="CE231" t="s">
        <v>196</v>
      </c>
      <c r="CF231" s="2">
        <v>44369</v>
      </c>
      <c r="CI231">
        <v>3</v>
      </c>
      <c r="CJ231">
        <v>1</v>
      </c>
      <c r="CK231" t="s">
        <v>162</v>
      </c>
      <c r="CL231" t="s">
        <v>80</v>
      </c>
    </row>
    <row r="232" spans="1:90" x14ac:dyDescent="0.25">
      <c r="A232" t="s">
        <v>228</v>
      </c>
      <c r="B232" t="s">
        <v>229</v>
      </c>
      <c r="C232" t="s">
        <v>72</v>
      </c>
      <c r="E232" t="str">
        <f>"080010145489"</f>
        <v>080010145489</v>
      </c>
      <c r="F232" s="2">
        <v>44364</v>
      </c>
      <c r="G232">
        <v>202112</v>
      </c>
      <c r="H232" t="s">
        <v>95</v>
      </c>
      <c r="I232" t="s">
        <v>96</v>
      </c>
      <c r="J232" t="s">
        <v>234</v>
      </c>
      <c r="K232" t="s">
        <v>75</v>
      </c>
      <c r="L232" t="s">
        <v>188</v>
      </c>
      <c r="M232" t="s">
        <v>189</v>
      </c>
      <c r="N232" t="s">
        <v>455</v>
      </c>
      <c r="O232" t="s">
        <v>157</v>
      </c>
      <c r="P232" t="str">
        <f t="shared" si="7"/>
        <v xml:space="preserve">-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13.54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4</v>
      </c>
      <c r="BJ232">
        <v>4.0999999999999996</v>
      </c>
      <c r="BK232">
        <v>5</v>
      </c>
      <c r="BL232">
        <v>77.42</v>
      </c>
      <c r="BM232">
        <v>11.61</v>
      </c>
      <c r="BN232">
        <v>89.03</v>
      </c>
      <c r="BO232">
        <v>89.03</v>
      </c>
      <c r="BP232" t="s">
        <v>154</v>
      </c>
      <c r="BQ232" t="s">
        <v>436</v>
      </c>
      <c r="BR232" t="s">
        <v>518</v>
      </c>
      <c r="BS232" s="2">
        <v>44368</v>
      </c>
      <c r="BT232" s="3">
        <v>0.56111111111111112</v>
      </c>
      <c r="BU232" t="s">
        <v>556</v>
      </c>
      <c r="BV232" t="s">
        <v>79</v>
      </c>
      <c r="BY232">
        <v>20700</v>
      </c>
      <c r="CA232" t="s">
        <v>139</v>
      </c>
      <c r="CC232" t="s">
        <v>189</v>
      </c>
      <c r="CD232">
        <v>157</v>
      </c>
      <c r="CE232" t="s">
        <v>196</v>
      </c>
      <c r="CF232" s="2">
        <v>44368</v>
      </c>
      <c r="CI232">
        <v>0</v>
      </c>
      <c r="CJ232">
        <v>0</v>
      </c>
      <c r="CK232" t="s">
        <v>377</v>
      </c>
      <c r="CL232" t="s">
        <v>80</v>
      </c>
    </row>
    <row r="233" spans="1:90" x14ac:dyDescent="0.25">
      <c r="A233" t="s">
        <v>228</v>
      </c>
      <c r="B233" t="s">
        <v>229</v>
      </c>
      <c r="C233" t="s">
        <v>72</v>
      </c>
      <c r="E233" t="str">
        <f>"080010145496"</f>
        <v>080010145496</v>
      </c>
      <c r="F233" s="2">
        <v>44364</v>
      </c>
      <c r="G233">
        <v>202112</v>
      </c>
      <c r="H233" t="s">
        <v>95</v>
      </c>
      <c r="I233" t="s">
        <v>96</v>
      </c>
      <c r="J233" t="s">
        <v>234</v>
      </c>
      <c r="K233" t="s">
        <v>75</v>
      </c>
      <c r="L233" t="s">
        <v>315</v>
      </c>
      <c r="M233" t="s">
        <v>316</v>
      </c>
      <c r="N233" t="s">
        <v>473</v>
      </c>
      <c r="O233" t="s">
        <v>157</v>
      </c>
      <c r="P233" t="str">
        <f t="shared" si="7"/>
        <v xml:space="preserve">-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18.059999999999999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4</v>
      </c>
      <c r="BJ233">
        <v>4.0999999999999996</v>
      </c>
      <c r="BK233">
        <v>5</v>
      </c>
      <c r="BL233">
        <v>101.56</v>
      </c>
      <c r="BM233">
        <v>15.23</v>
      </c>
      <c r="BN233">
        <v>116.79</v>
      </c>
      <c r="BO233">
        <v>116.79</v>
      </c>
      <c r="BP233" t="s">
        <v>154</v>
      </c>
      <c r="BQ233" t="s">
        <v>209</v>
      </c>
      <c r="BR233" t="s">
        <v>518</v>
      </c>
      <c r="BS233" s="2">
        <v>44368</v>
      </c>
      <c r="BT233" s="3">
        <v>0.65625</v>
      </c>
      <c r="BU233" t="s">
        <v>557</v>
      </c>
      <c r="BV233" t="s">
        <v>79</v>
      </c>
      <c r="BY233">
        <v>20700</v>
      </c>
      <c r="CA233" t="s">
        <v>140</v>
      </c>
      <c r="CC233" t="s">
        <v>316</v>
      </c>
      <c r="CD233">
        <v>4265</v>
      </c>
      <c r="CE233" t="s">
        <v>196</v>
      </c>
      <c r="CF233" s="2">
        <v>44369</v>
      </c>
      <c r="CI233">
        <v>2</v>
      </c>
      <c r="CJ233">
        <v>1</v>
      </c>
      <c r="CK233" t="s">
        <v>187</v>
      </c>
      <c r="CL233" t="s">
        <v>80</v>
      </c>
    </row>
    <row r="234" spans="1:90" x14ac:dyDescent="0.25">
      <c r="A234" t="s">
        <v>228</v>
      </c>
      <c r="B234" t="s">
        <v>229</v>
      </c>
      <c r="C234" t="s">
        <v>72</v>
      </c>
      <c r="E234" t="str">
        <f>"080010145501"</f>
        <v>080010145501</v>
      </c>
      <c r="F234" s="2">
        <v>44364</v>
      </c>
      <c r="G234">
        <v>202112</v>
      </c>
      <c r="H234" t="s">
        <v>95</v>
      </c>
      <c r="I234" t="s">
        <v>96</v>
      </c>
      <c r="J234" t="s">
        <v>234</v>
      </c>
      <c r="K234" t="s">
        <v>75</v>
      </c>
      <c r="L234" t="s">
        <v>541</v>
      </c>
      <c r="M234" t="s">
        <v>542</v>
      </c>
      <c r="N234" t="s">
        <v>415</v>
      </c>
      <c r="O234" t="s">
        <v>157</v>
      </c>
      <c r="P234" t="str">
        <f t="shared" si="7"/>
        <v xml:space="preserve">-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18.059999999999999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4</v>
      </c>
      <c r="BJ234">
        <v>4.0999999999999996</v>
      </c>
      <c r="BK234">
        <v>5</v>
      </c>
      <c r="BL234">
        <v>101.56</v>
      </c>
      <c r="BM234">
        <v>15.23</v>
      </c>
      <c r="BN234">
        <v>116.79</v>
      </c>
      <c r="BO234">
        <v>116.79</v>
      </c>
      <c r="BP234" t="s">
        <v>154</v>
      </c>
      <c r="BQ234" t="s">
        <v>209</v>
      </c>
      <c r="BR234" t="s">
        <v>518</v>
      </c>
      <c r="BS234" s="2">
        <v>44368</v>
      </c>
      <c r="BT234" s="3">
        <v>0.44444444444444442</v>
      </c>
      <c r="BU234" t="s">
        <v>416</v>
      </c>
      <c r="BV234" t="s">
        <v>79</v>
      </c>
      <c r="BY234">
        <v>20700</v>
      </c>
      <c r="CA234" t="s">
        <v>417</v>
      </c>
      <c r="CC234" t="s">
        <v>542</v>
      </c>
      <c r="CD234">
        <v>2146</v>
      </c>
      <c r="CE234" t="s">
        <v>196</v>
      </c>
      <c r="CF234" s="2">
        <v>44369</v>
      </c>
      <c r="CI234">
        <v>1</v>
      </c>
      <c r="CJ234">
        <v>1</v>
      </c>
      <c r="CK234" t="s">
        <v>198</v>
      </c>
      <c r="CL234" t="s">
        <v>80</v>
      </c>
    </row>
    <row r="235" spans="1:90" x14ac:dyDescent="0.25">
      <c r="A235" t="s">
        <v>228</v>
      </c>
      <c r="B235" t="s">
        <v>229</v>
      </c>
      <c r="C235" t="s">
        <v>72</v>
      </c>
      <c r="E235" t="str">
        <f>"080010145511"</f>
        <v>080010145511</v>
      </c>
      <c r="F235" s="2">
        <v>44364</v>
      </c>
      <c r="G235">
        <v>202112</v>
      </c>
      <c r="H235" t="s">
        <v>95</v>
      </c>
      <c r="I235" t="s">
        <v>96</v>
      </c>
      <c r="J235" t="s">
        <v>234</v>
      </c>
      <c r="K235" t="s">
        <v>75</v>
      </c>
      <c r="L235" t="s">
        <v>99</v>
      </c>
      <c r="M235" t="s">
        <v>100</v>
      </c>
      <c r="N235" t="s">
        <v>457</v>
      </c>
      <c r="O235" t="s">
        <v>157</v>
      </c>
      <c r="P235" t="str">
        <f t="shared" si="7"/>
        <v xml:space="preserve">-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18.059999999999999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4</v>
      </c>
      <c r="BJ235">
        <v>4.0999999999999996</v>
      </c>
      <c r="BK235">
        <v>5</v>
      </c>
      <c r="BL235">
        <v>101.56</v>
      </c>
      <c r="BM235">
        <v>15.23</v>
      </c>
      <c r="BN235">
        <v>116.79</v>
      </c>
      <c r="BO235">
        <v>116.79</v>
      </c>
      <c r="BP235" t="s">
        <v>154</v>
      </c>
      <c r="BQ235" t="s">
        <v>209</v>
      </c>
      <c r="BR235" t="s">
        <v>518</v>
      </c>
      <c r="BS235" s="2">
        <v>44368</v>
      </c>
      <c r="BT235" s="3">
        <v>0.36874999999999997</v>
      </c>
      <c r="BU235" t="s">
        <v>558</v>
      </c>
      <c r="BV235" t="s">
        <v>79</v>
      </c>
      <c r="BY235">
        <v>20700</v>
      </c>
      <c r="CA235" t="s">
        <v>459</v>
      </c>
      <c r="CC235" t="s">
        <v>100</v>
      </c>
      <c r="CD235">
        <v>2196</v>
      </c>
      <c r="CE235" t="s">
        <v>196</v>
      </c>
      <c r="CF235" s="2">
        <v>44369</v>
      </c>
      <c r="CI235">
        <v>1</v>
      </c>
      <c r="CJ235">
        <v>1</v>
      </c>
      <c r="CK235" t="s">
        <v>198</v>
      </c>
      <c r="CL235" t="s">
        <v>80</v>
      </c>
    </row>
    <row r="236" spans="1:90" x14ac:dyDescent="0.25">
      <c r="A236" t="s">
        <v>228</v>
      </c>
      <c r="B236" t="s">
        <v>229</v>
      </c>
      <c r="C236" t="s">
        <v>72</v>
      </c>
      <c r="E236" t="str">
        <f>"080010145542"</f>
        <v>080010145542</v>
      </c>
      <c r="F236" s="2">
        <v>44364</v>
      </c>
      <c r="G236">
        <v>202112</v>
      </c>
      <c r="H236" t="s">
        <v>95</v>
      </c>
      <c r="I236" t="s">
        <v>96</v>
      </c>
      <c r="J236" t="s">
        <v>234</v>
      </c>
      <c r="K236" t="s">
        <v>75</v>
      </c>
      <c r="L236" t="s">
        <v>170</v>
      </c>
      <c r="M236" t="s">
        <v>171</v>
      </c>
      <c r="N236" t="s">
        <v>435</v>
      </c>
      <c r="O236" t="s">
        <v>157</v>
      </c>
      <c r="P236" t="str">
        <f t="shared" si="7"/>
        <v xml:space="preserve">-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19.559999999999999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4</v>
      </c>
      <c r="BJ236">
        <v>4.0999999999999996</v>
      </c>
      <c r="BK236">
        <v>5</v>
      </c>
      <c r="BL236">
        <v>109.6</v>
      </c>
      <c r="BM236">
        <v>16.440000000000001</v>
      </c>
      <c r="BN236">
        <v>126.04</v>
      </c>
      <c r="BO236">
        <v>126.04</v>
      </c>
      <c r="BP236" t="s">
        <v>154</v>
      </c>
      <c r="BQ236" t="s">
        <v>436</v>
      </c>
      <c r="BR236" t="s">
        <v>518</v>
      </c>
      <c r="BS236" s="2">
        <v>44368</v>
      </c>
      <c r="BT236" s="3">
        <v>0.4548611111111111</v>
      </c>
      <c r="BU236" t="s">
        <v>212</v>
      </c>
      <c r="BV236" t="s">
        <v>79</v>
      </c>
      <c r="BY236">
        <v>20700</v>
      </c>
      <c r="CA236" t="s">
        <v>437</v>
      </c>
      <c r="CC236" t="s">
        <v>171</v>
      </c>
      <c r="CD236">
        <v>700</v>
      </c>
      <c r="CE236" t="s">
        <v>196</v>
      </c>
      <c r="CF236" s="2">
        <v>44368</v>
      </c>
      <c r="CI236">
        <v>2</v>
      </c>
      <c r="CJ236">
        <v>1</v>
      </c>
      <c r="CK236" t="s">
        <v>203</v>
      </c>
      <c r="CL236" t="s">
        <v>80</v>
      </c>
    </row>
    <row r="237" spans="1:90" x14ac:dyDescent="0.25">
      <c r="A237" t="s">
        <v>228</v>
      </c>
      <c r="B237" t="s">
        <v>229</v>
      </c>
      <c r="C237" t="s">
        <v>72</v>
      </c>
      <c r="E237" t="str">
        <f>"080010145690"</f>
        <v>080010145690</v>
      </c>
      <c r="F237" s="2">
        <v>44364</v>
      </c>
      <c r="G237">
        <v>202112</v>
      </c>
      <c r="H237" t="s">
        <v>95</v>
      </c>
      <c r="I237" t="s">
        <v>96</v>
      </c>
      <c r="J237" t="s">
        <v>234</v>
      </c>
      <c r="K237" t="s">
        <v>75</v>
      </c>
      <c r="L237" t="s">
        <v>99</v>
      </c>
      <c r="M237" t="s">
        <v>100</v>
      </c>
      <c r="N237" t="s">
        <v>313</v>
      </c>
      <c r="O237" t="s">
        <v>157</v>
      </c>
      <c r="P237" t="str">
        <f t="shared" si="7"/>
        <v xml:space="preserve">-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18.059999999999999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4</v>
      </c>
      <c r="BJ237">
        <v>4.0999999999999996</v>
      </c>
      <c r="BK237">
        <v>5</v>
      </c>
      <c r="BL237">
        <v>101.56</v>
      </c>
      <c r="BM237">
        <v>15.23</v>
      </c>
      <c r="BN237">
        <v>116.79</v>
      </c>
      <c r="BO237">
        <v>116.79</v>
      </c>
      <c r="BP237" t="s">
        <v>154</v>
      </c>
      <c r="BQ237" t="s">
        <v>209</v>
      </c>
      <c r="BR237" t="s">
        <v>518</v>
      </c>
      <c r="BS237" s="2">
        <v>44370</v>
      </c>
      <c r="BT237" s="3">
        <v>0.47291666666666665</v>
      </c>
      <c r="BU237" t="s">
        <v>559</v>
      </c>
      <c r="BV237" t="s">
        <v>80</v>
      </c>
      <c r="BW237" t="s">
        <v>131</v>
      </c>
      <c r="BX237" t="s">
        <v>197</v>
      </c>
      <c r="BY237">
        <v>20700</v>
      </c>
      <c r="CA237" t="s">
        <v>207</v>
      </c>
      <c r="CC237" t="s">
        <v>100</v>
      </c>
      <c r="CD237">
        <v>2059</v>
      </c>
      <c r="CE237" t="s">
        <v>196</v>
      </c>
      <c r="CF237" s="2">
        <v>44370</v>
      </c>
      <c r="CI237">
        <v>1</v>
      </c>
      <c r="CJ237">
        <v>3</v>
      </c>
      <c r="CK237" t="s">
        <v>198</v>
      </c>
      <c r="CL237" t="s">
        <v>80</v>
      </c>
    </row>
    <row r="238" spans="1:90" x14ac:dyDescent="0.25">
      <c r="A238" t="s">
        <v>228</v>
      </c>
      <c r="B238" t="s">
        <v>229</v>
      </c>
      <c r="C238" t="s">
        <v>72</v>
      </c>
      <c r="E238" t="str">
        <f>"080010145468"</f>
        <v>080010145468</v>
      </c>
      <c r="F238" s="2">
        <v>44364</v>
      </c>
      <c r="G238">
        <v>202112</v>
      </c>
      <c r="H238" t="s">
        <v>95</v>
      </c>
      <c r="I238" t="s">
        <v>96</v>
      </c>
      <c r="J238" t="s">
        <v>234</v>
      </c>
      <c r="K238" t="s">
        <v>75</v>
      </c>
      <c r="L238" t="s">
        <v>151</v>
      </c>
      <c r="M238" t="s">
        <v>152</v>
      </c>
      <c r="N238" t="s">
        <v>274</v>
      </c>
      <c r="O238" t="s">
        <v>157</v>
      </c>
      <c r="P238" t="str">
        <f t="shared" si="7"/>
        <v xml:space="preserve">-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13.54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4</v>
      </c>
      <c r="BJ238">
        <v>4.0999999999999996</v>
      </c>
      <c r="BK238">
        <v>5</v>
      </c>
      <c r="BL238">
        <v>77.42</v>
      </c>
      <c r="BM238">
        <v>11.61</v>
      </c>
      <c r="BN238">
        <v>89.03</v>
      </c>
      <c r="BO238">
        <v>89.03</v>
      </c>
      <c r="BP238" t="s">
        <v>154</v>
      </c>
      <c r="BQ238" t="s">
        <v>209</v>
      </c>
      <c r="BR238" t="s">
        <v>518</v>
      </c>
      <c r="BS238" s="2">
        <v>44368</v>
      </c>
      <c r="BT238" s="3">
        <v>0.4694444444444445</v>
      </c>
      <c r="BU238" t="s">
        <v>560</v>
      </c>
      <c r="BV238" t="s">
        <v>79</v>
      </c>
      <c r="BY238">
        <v>20700</v>
      </c>
      <c r="CA238" t="s">
        <v>153</v>
      </c>
      <c r="CC238" t="s">
        <v>152</v>
      </c>
      <c r="CD238">
        <v>1900</v>
      </c>
      <c r="CE238" t="s">
        <v>196</v>
      </c>
      <c r="CF238" s="2">
        <v>44369</v>
      </c>
      <c r="CI238">
        <v>2</v>
      </c>
      <c r="CJ238">
        <v>1</v>
      </c>
      <c r="CK238" t="s">
        <v>377</v>
      </c>
      <c r="CL238" t="s">
        <v>80</v>
      </c>
    </row>
    <row r="239" spans="1:90" x14ac:dyDescent="0.25">
      <c r="A239" t="s">
        <v>228</v>
      </c>
      <c r="B239" t="s">
        <v>229</v>
      </c>
      <c r="C239" t="s">
        <v>72</v>
      </c>
      <c r="E239" t="str">
        <f>"080010145515"</f>
        <v>080010145515</v>
      </c>
      <c r="F239" s="2">
        <v>44364</v>
      </c>
      <c r="G239">
        <v>202112</v>
      </c>
      <c r="H239" t="s">
        <v>95</v>
      </c>
      <c r="I239" t="s">
        <v>96</v>
      </c>
      <c r="J239" t="s">
        <v>234</v>
      </c>
      <c r="K239" t="s">
        <v>75</v>
      </c>
      <c r="L239" t="s">
        <v>193</v>
      </c>
      <c r="M239" t="s">
        <v>194</v>
      </c>
      <c r="N239" t="s">
        <v>340</v>
      </c>
      <c r="O239" t="s">
        <v>157</v>
      </c>
      <c r="P239" t="str">
        <f t="shared" si="7"/>
        <v xml:space="preserve">-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16.55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4.0999999999999996</v>
      </c>
      <c r="BK239">
        <v>5</v>
      </c>
      <c r="BL239">
        <v>93.51</v>
      </c>
      <c r="BM239">
        <v>14.03</v>
      </c>
      <c r="BN239">
        <v>107.54</v>
      </c>
      <c r="BO239">
        <v>107.54</v>
      </c>
      <c r="BP239" t="s">
        <v>154</v>
      </c>
      <c r="BQ239" t="s">
        <v>209</v>
      </c>
      <c r="BR239" t="s">
        <v>518</v>
      </c>
      <c r="BS239" s="2">
        <v>44368</v>
      </c>
      <c r="BT239" s="3">
        <v>0.63402777777777775</v>
      </c>
      <c r="BU239" t="s">
        <v>561</v>
      </c>
      <c r="BV239" t="s">
        <v>79</v>
      </c>
      <c r="BY239">
        <v>20700</v>
      </c>
      <c r="CA239" t="s">
        <v>132</v>
      </c>
      <c r="CC239" t="s">
        <v>194</v>
      </c>
      <c r="CD239">
        <v>4420</v>
      </c>
      <c r="CE239" t="s">
        <v>196</v>
      </c>
      <c r="CF239" s="2">
        <v>44369</v>
      </c>
      <c r="CI239">
        <v>1</v>
      </c>
      <c r="CJ239">
        <v>1</v>
      </c>
      <c r="CK239" t="s">
        <v>186</v>
      </c>
      <c r="CL239" t="s">
        <v>80</v>
      </c>
    </row>
    <row r="240" spans="1:90" x14ac:dyDescent="0.25">
      <c r="A240" t="s">
        <v>228</v>
      </c>
      <c r="B240" t="s">
        <v>229</v>
      </c>
      <c r="C240" t="s">
        <v>72</v>
      </c>
      <c r="E240" t="str">
        <f>"009941783976"</f>
        <v>009941783976</v>
      </c>
      <c r="F240" s="2">
        <v>44365</v>
      </c>
      <c r="G240">
        <v>202112</v>
      </c>
      <c r="H240" t="s">
        <v>170</v>
      </c>
      <c r="I240" t="s">
        <v>171</v>
      </c>
      <c r="J240" t="s">
        <v>246</v>
      </c>
      <c r="K240" t="s">
        <v>75</v>
      </c>
      <c r="L240" t="s">
        <v>99</v>
      </c>
      <c r="M240" t="s">
        <v>100</v>
      </c>
      <c r="N240" t="s">
        <v>234</v>
      </c>
      <c r="O240" t="s">
        <v>157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18.059999999999999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101.56</v>
      </c>
      <c r="BM240">
        <v>15.23</v>
      </c>
      <c r="BN240">
        <v>116.79</v>
      </c>
      <c r="BO240">
        <v>116.79</v>
      </c>
      <c r="BR240" t="s">
        <v>562</v>
      </c>
      <c r="BS240" s="2">
        <v>44368</v>
      </c>
      <c r="BT240" s="3">
        <v>0.34027777777777773</v>
      </c>
      <c r="BU240" t="s">
        <v>220</v>
      </c>
      <c r="BV240" t="s">
        <v>79</v>
      </c>
      <c r="BY240">
        <v>1200</v>
      </c>
      <c r="CA240" t="s">
        <v>150</v>
      </c>
      <c r="CC240" t="s">
        <v>100</v>
      </c>
      <c r="CD240">
        <v>2013</v>
      </c>
      <c r="CE240" t="s">
        <v>94</v>
      </c>
      <c r="CF240" s="2">
        <v>44368</v>
      </c>
      <c r="CI240">
        <v>1</v>
      </c>
      <c r="CJ240">
        <v>1</v>
      </c>
      <c r="CK240" t="s">
        <v>187</v>
      </c>
      <c r="CL240" t="s">
        <v>80</v>
      </c>
    </row>
    <row r="241" spans="1:90" x14ac:dyDescent="0.25">
      <c r="A241" t="s">
        <v>228</v>
      </c>
      <c r="B241" t="s">
        <v>229</v>
      </c>
      <c r="C241" t="s">
        <v>72</v>
      </c>
      <c r="E241" t="str">
        <f>"080010145550"</f>
        <v>080010145550</v>
      </c>
      <c r="F241" s="2">
        <v>44364</v>
      </c>
      <c r="G241">
        <v>202112</v>
      </c>
      <c r="H241" t="s">
        <v>95</v>
      </c>
      <c r="I241" t="s">
        <v>96</v>
      </c>
      <c r="J241" t="s">
        <v>234</v>
      </c>
      <c r="K241" t="s">
        <v>75</v>
      </c>
      <c r="L241" t="s">
        <v>99</v>
      </c>
      <c r="M241" t="s">
        <v>100</v>
      </c>
      <c r="N241" t="s">
        <v>266</v>
      </c>
      <c r="O241" t="s">
        <v>157</v>
      </c>
      <c r="P241" t="str">
        <f>"-                             "</f>
        <v xml:space="preserve">-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18.059999999999999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4.0999999999999996</v>
      </c>
      <c r="BK241">
        <v>5</v>
      </c>
      <c r="BL241">
        <v>101.56</v>
      </c>
      <c r="BM241">
        <v>15.23</v>
      </c>
      <c r="BN241">
        <v>116.79</v>
      </c>
      <c r="BO241">
        <v>116.79</v>
      </c>
      <c r="BP241" t="s">
        <v>154</v>
      </c>
      <c r="BQ241" t="s">
        <v>209</v>
      </c>
      <c r="BR241" t="s">
        <v>518</v>
      </c>
      <c r="BS241" s="2">
        <v>44368</v>
      </c>
      <c r="BT241" s="3">
        <v>0.40972222222222227</v>
      </c>
      <c r="BU241" t="s">
        <v>563</v>
      </c>
      <c r="BV241" t="s">
        <v>79</v>
      </c>
      <c r="BY241">
        <v>20700</v>
      </c>
      <c r="CA241" t="s">
        <v>199</v>
      </c>
      <c r="CC241" t="s">
        <v>100</v>
      </c>
      <c r="CD241">
        <v>2007</v>
      </c>
      <c r="CE241" t="s">
        <v>196</v>
      </c>
      <c r="CF241" s="2">
        <v>44368</v>
      </c>
      <c r="CI241">
        <v>1</v>
      </c>
      <c r="CJ241">
        <v>1</v>
      </c>
      <c r="CK241" t="s">
        <v>198</v>
      </c>
      <c r="CL241" t="s">
        <v>80</v>
      </c>
    </row>
    <row r="242" spans="1:90" x14ac:dyDescent="0.25">
      <c r="A242" t="s">
        <v>228</v>
      </c>
      <c r="B242" t="s">
        <v>229</v>
      </c>
      <c r="C242" t="s">
        <v>72</v>
      </c>
      <c r="E242" t="str">
        <f>"009940898956"</f>
        <v>009940898956</v>
      </c>
      <c r="F242" s="2">
        <v>44365</v>
      </c>
      <c r="G242">
        <v>202112</v>
      </c>
      <c r="H242" t="s">
        <v>109</v>
      </c>
      <c r="I242" t="s">
        <v>110</v>
      </c>
      <c r="J242" t="s">
        <v>246</v>
      </c>
      <c r="K242" t="s">
        <v>75</v>
      </c>
      <c r="L242" t="s">
        <v>99</v>
      </c>
      <c r="M242" t="s">
        <v>100</v>
      </c>
      <c r="N242" t="s">
        <v>234</v>
      </c>
      <c r="O242" t="s">
        <v>157</v>
      </c>
      <c r="P242" t="str">
        <f>"NA                            "</f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19.71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0.3</v>
      </c>
      <c r="BJ242">
        <v>1.1000000000000001</v>
      </c>
      <c r="BK242">
        <v>2</v>
      </c>
      <c r="BL242">
        <v>110.42</v>
      </c>
      <c r="BM242">
        <v>16.559999999999999</v>
      </c>
      <c r="BN242">
        <v>126.98</v>
      </c>
      <c r="BO242">
        <v>126.98</v>
      </c>
      <c r="BQ242" t="s">
        <v>268</v>
      </c>
      <c r="BR242" t="s">
        <v>304</v>
      </c>
      <c r="BS242" s="2">
        <v>44368</v>
      </c>
      <c r="BT242" s="3">
        <v>0.34027777777777773</v>
      </c>
      <c r="BU242" t="s">
        <v>220</v>
      </c>
      <c r="BV242" t="s">
        <v>79</v>
      </c>
      <c r="BY242">
        <v>5730</v>
      </c>
      <c r="CA242" t="s">
        <v>150</v>
      </c>
      <c r="CC242" t="s">
        <v>100</v>
      </c>
      <c r="CD242">
        <v>2016</v>
      </c>
      <c r="CE242" t="s">
        <v>94</v>
      </c>
      <c r="CF242" s="2">
        <v>44368</v>
      </c>
      <c r="CI242">
        <v>2</v>
      </c>
      <c r="CJ242">
        <v>1</v>
      </c>
      <c r="CK242" t="s">
        <v>162</v>
      </c>
      <c r="CL242" t="s">
        <v>80</v>
      </c>
    </row>
    <row r="243" spans="1:90" x14ac:dyDescent="0.25">
      <c r="A243" t="s">
        <v>228</v>
      </c>
      <c r="B243" t="s">
        <v>229</v>
      </c>
      <c r="C243" t="s">
        <v>72</v>
      </c>
      <c r="E243" t="str">
        <f>"080010145560"</f>
        <v>080010145560</v>
      </c>
      <c r="F243" s="2">
        <v>44364</v>
      </c>
      <c r="G243">
        <v>202112</v>
      </c>
      <c r="H243" t="s">
        <v>95</v>
      </c>
      <c r="I243" t="s">
        <v>96</v>
      </c>
      <c r="J243" t="s">
        <v>234</v>
      </c>
      <c r="K243" t="s">
        <v>75</v>
      </c>
      <c r="L243" t="s">
        <v>164</v>
      </c>
      <c r="M243" t="s">
        <v>110</v>
      </c>
      <c r="N243" t="s">
        <v>444</v>
      </c>
      <c r="O243" t="s">
        <v>157</v>
      </c>
      <c r="P243" t="str">
        <f>"-                             "</f>
        <v xml:space="preserve">-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19.71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4.0999999999999996</v>
      </c>
      <c r="BK243">
        <v>5</v>
      </c>
      <c r="BL243">
        <v>110.42</v>
      </c>
      <c r="BM243">
        <v>16.559999999999999</v>
      </c>
      <c r="BN243">
        <v>126.98</v>
      </c>
      <c r="BO243">
        <v>126.98</v>
      </c>
      <c r="BP243" t="s">
        <v>154</v>
      </c>
      <c r="BQ243" t="s">
        <v>209</v>
      </c>
      <c r="BR243" t="s">
        <v>518</v>
      </c>
      <c r="BS243" s="2">
        <v>44368</v>
      </c>
      <c r="BT243" s="3">
        <v>0.53611111111111109</v>
      </c>
      <c r="BU243" t="s">
        <v>564</v>
      </c>
      <c r="BV243" t="s">
        <v>79</v>
      </c>
      <c r="BY243">
        <v>20700</v>
      </c>
      <c r="CA243" t="s">
        <v>216</v>
      </c>
      <c r="CC243" t="s">
        <v>110</v>
      </c>
      <c r="CD243">
        <v>7441</v>
      </c>
      <c r="CE243" t="s">
        <v>196</v>
      </c>
      <c r="CF243" s="2">
        <v>44369</v>
      </c>
      <c r="CI243">
        <v>3</v>
      </c>
      <c r="CJ243">
        <v>1</v>
      </c>
      <c r="CK243" t="s">
        <v>162</v>
      </c>
      <c r="CL243" t="s">
        <v>80</v>
      </c>
    </row>
    <row r="244" spans="1:90" x14ac:dyDescent="0.25">
      <c r="A244" t="s">
        <v>228</v>
      </c>
      <c r="B244" t="s">
        <v>229</v>
      </c>
      <c r="C244" t="s">
        <v>72</v>
      </c>
      <c r="E244" t="str">
        <f>"080010145527"</f>
        <v>080010145527</v>
      </c>
      <c r="F244" s="2">
        <v>44364</v>
      </c>
      <c r="G244">
        <v>202112</v>
      </c>
      <c r="H244" t="s">
        <v>95</v>
      </c>
      <c r="I244" t="s">
        <v>96</v>
      </c>
      <c r="J244" t="s">
        <v>234</v>
      </c>
      <c r="K244" t="s">
        <v>75</v>
      </c>
      <c r="L244" t="s">
        <v>164</v>
      </c>
      <c r="M244" t="s">
        <v>110</v>
      </c>
      <c r="N244" t="s">
        <v>412</v>
      </c>
      <c r="O244" t="s">
        <v>157</v>
      </c>
      <c r="P244" t="str">
        <f>"-                             "</f>
        <v xml:space="preserve">-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19.71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4.0999999999999996</v>
      </c>
      <c r="BK244">
        <v>5</v>
      </c>
      <c r="BL244">
        <v>110.42</v>
      </c>
      <c r="BM244">
        <v>16.559999999999999</v>
      </c>
      <c r="BN244">
        <v>126.98</v>
      </c>
      <c r="BO244">
        <v>126.98</v>
      </c>
      <c r="BP244" t="s">
        <v>154</v>
      </c>
      <c r="BQ244" t="s">
        <v>209</v>
      </c>
      <c r="BR244" t="s">
        <v>518</v>
      </c>
      <c r="BS244" s="2">
        <v>44368</v>
      </c>
      <c r="BT244" s="3">
        <v>0.50069444444444444</v>
      </c>
      <c r="BU244" t="s">
        <v>565</v>
      </c>
      <c r="BV244" t="s">
        <v>79</v>
      </c>
      <c r="BY244">
        <v>20700</v>
      </c>
      <c r="CA244" t="s">
        <v>115</v>
      </c>
      <c r="CC244" t="s">
        <v>110</v>
      </c>
      <c r="CD244">
        <v>7441</v>
      </c>
      <c r="CE244" t="s">
        <v>196</v>
      </c>
      <c r="CF244" s="2">
        <v>44369</v>
      </c>
      <c r="CI244">
        <v>3</v>
      </c>
      <c r="CJ244">
        <v>1</v>
      </c>
      <c r="CK244" t="s">
        <v>162</v>
      </c>
      <c r="CL244" t="s">
        <v>80</v>
      </c>
    </row>
    <row r="245" spans="1:90" x14ac:dyDescent="0.25">
      <c r="A245" t="s">
        <v>228</v>
      </c>
      <c r="B245" t="s">
        <v>229</v>
      </c>
      <c r="C245" t="s">
        <v>72</v>
      </c>
      <c r="E245" t="str">
        <f>"009940568046"</f>
        <v>009940568046</v>
      </c>
      <c r="F245" s="2">
        <v>44365</v>
      </c>
      <c r="G245">
        <v>202112</v>
      </c>
      <c r="H245" t="s">
        <v>109</v>
      </c>
      <c r="I245" t="s">
        <v>110</v>
      </c>
      <c r="J245" t="s">
        <v>246</v>
      </c>
      <c r="K245" t="s">
        <v>75</v>
      </c>
      <c r="L245" t="s">
        <v>99</v>
      </c>
      <c r="M245" t="s">
        <v>100</v>
      </c>
      <c r="N245" t="s">
        <v>234</v>
      </c>
      <c r="O245" t="s">
        <v>157</v>
      </c>
      <c r="P245" t="str">
        <f>"NA                            "</f>
        <v xml:space="preserve">NA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19.71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0.4</v>
      </c>
      <c r="BJ245">
        <v>2</v>
      </c>
      <c r="BK245">
        <v>2</v>
      </c>
      <c r="BL245">
        <v>110.42</v>
      </c>
      <c r="BM245">
        <v>16.559999999999999</v>
      </c>
      <c r="BN245">
        <v>126.98</v>
      </c>
      <c r="BO245">
        <v>126.98</v>
      </c>
      <c r="BQ245" t="s">
        <v>318</v>
      </c>
      <c r="BR245" t="s">
        <v>566</v>
      </c>
      <c r="BS245" s="2">
        <v>44368</v>
      </c>
      <c r="BT245" s="3">
        <v>0.34236111111111112</v>
      </c>
      <c r="BU245" t="s">
        <v>178</v>
      </c>
      <c r="BV245" t="s">
        <v>79</v>
      </c>
      <c r="BY245">
        <v>10059.799999999999</v>
      </c>
      <c r="CA245" t="s">
        <v>150</v>
      </c>
      <c r="CC245" t="s">
        <v>100</v>
      </c>
      <c r="CD245">
        <v>2001</v>
      </c>
      <c r="CE245" t="s">
        <v>94</v>
      </c>
      <c r="CF245" s="2">
        <v>44368</v>
      </c>
      <c r="CI245">
        <v>2</v>
      </c>
      <c r="CJ245">
        <v>1</v>
      </c>
      <c r="CK245" t="s">
        <v>162</v>
      </c>
      <c r="CL245" t="s">
        <v>80</v>
      </c>
    </row>
    <row r="246" spans="1:90" x14ac:dyDescent="0.25">
      <c r="A246" t="s">
        <v>228</v>
      </c>
      <c r="B246" t="s">
        <v>229</v>
      </c>
      <c r="C246" t="s">
        <v>72</v>
      </c>
      <c r="E246" t="str">
        <f>"080010145534"</f>
        <v>080010145534</v>
      </c>
      <c r="F246" s="2">
        <v>44364</v>
      </c>
      <c r="G246">
        <v>202112</v>
      </c>
      <c r="H246" t="s">
        <v>95</v>
      </c>
      <c r="I246" t="s">
        <v>96</v>
      </c>
      <c r="J246" t="s">
        <v>234</v>
      </c>
      <c r="K246" t="s">
        <v>75</v>
      </c>
      <c r="L246" t="s">
        <v>185</v>
      </c>
      <c r="M246" t="s">
        <v>74</v>
      </c>
      <c r="N246" t="s">
        <v>461</v>
      </c>
      <c r="O246" t="s">
        <v>157</v>
      </c>
      <c r="P246" t="str">
        <f t="shared" ref="P246:P255" si="8">"-                             "</f>
        <v xml:space="preserve">-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13.54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4</v>
      </c>
      <c r="BJ246">
        <v>4.0999999999999996</v>
      </c>
      <c r="BK246">
        <v>5</v>
      </c>
      <c r="BL246">
        <v>77.42</v>
      </c>
      <c r="BM246">
        <v>11.61</v>
      </c>
      <c r="BN246">
        <v>89.03</v>
      </c>
      <c r="BO246">
        <v>89.03</v>
      </c>
      <c r="BP246" t="s">
        <v>154</v>
      </c>
      <c r="BQ246" t="s">
        <v>436</v>
      </c>
      <c r="BR246" t="s">
        <v>518</v>
      </c>
      <c r="BS246" s="2">
        <v>44368</v>
      </c>
      <c r="BT246" s="3">
        <v>0.46319444444444446</v>
      </c>
      <c r="BU246" t="s">
        <v>567</v>
      </c>
      <c r="BV246" t="s">
        <v>79</v>
      </c>
      <c r="BY246">
        <v>20700</v>
      </c>
      <c r="CA246" t="s">
        <v>463</v>
      </c>
      <c r="CC246" t="s">
        <v>74</v>
      </c>
      <c r="CD246">
        <v>81</v>
      </c>
      <c r="CE246" t="s">
        <v>196</v>
      </c>
      <c r="CF246" s="2">
        <v>44368</v>
      </c>
      <c r="CI246">
        <v>0</v>
      </c>
      <c r="CJ246">
        <v>0</v>
      </c>
      <c r="CK246" t="s">
        <v>377</v>
      </c>
      <c r="CL246" t="s">
        <v>80</v>
      </c>
    </row>
    <row r="247" spans="1:90" x14ac:dyDescent="0.25">
      <c r="A247" t="s">
        <v>228</v>
      </c>
      <c r="B247" t="s">
        <v>229</v>
      </c>
      <c r="C247" t="s">
        <v>72</v>
      </c>
      <c r="E247" t="str">
        <f>"080010145537"</f>
        <v>080010145537</v>
      </c>
      <c r="F247" s="2">
        <v>44364</v>
      </c>
      <c r="G247">
        <v>202112</v>
      </c>
      <c r="H247" t="s">
        <v>95</v>
      </c>
      <c r="I247" t="s">
        <v>96</v>
      </c>
      <c r="J247" t="s">
        <v>234</v>
      </c>
      <c r="K247" t="s">
        <v>75</v>
      </c>
      <c r="L247" t="s">
        <v>89</v>
      </c>
      <c r="M247" t="s">
        <v>90</v>
      </c>
      <c r="N247" t="s">
        <v>601</v>
      </c>
      <c r="O247" t="s">
        <v>157</v>
      </c>
      <c r="P247" t="str">
        <f t="shared" si="8"/>
        <v xml:space="preserve">-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19.559999999999999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4.0999999999999996</v>
      </c>
      <c r="BK247">
        <v>5</v>
      </c>
      <c r="BL247">
        <v>109.6</v>
      </c>
      <c r="BM247">
        <v>16.440000000000001</v>
      </c>
      <c r="BN247">
        <v>126.04</v>
      </c>
      <c r="BO247">
        <v>126.04</v>
      </c>
      <c r="BP247" t="s">
        <v>154</v>
      </c>
      <c r="BQ247" t="s">
        <v>209</v>
      </c>
      <c r="BR247" t="s">
        <v>518</v>
      </c>
      <c r="BS247" s="2">
        <v>44368</v>
      </c>
      <c r="BT247" s="3">
        <v>0.59930555555555554</v>
      </c>
      <c r="BU247" t="s">
        <v>568</v>
      </c>
      <c r="BV247" t="s">
        <v>79</v>
      </c>
      <c r="BY247">
        <v>20700</v>
      </c>
      <c r="CA247" t="s">
        <v>172</v>
      </c>
      <c r="CC247" t="s">
        <v>90</v>
      </c>
      <c r="CD247">
        <v>6000</v>
      </c>
      <c r="CE247" t="s">
        <v>196</v>
      </c>
      <c r="CF247" s="2">
        <v>44369</v>
      </c>
      <c r="CI247">
        <v>2</v>
      </c>
      <c r="CJ247">
        <v>1</v>
      </c>
      <c r="CK247" t="s">
        <v>203</v>
      </c>
      <c r="CL247" t="s">
        <v>80</v>
      </c>
    </row>
    <row r="248" spans="1:90" x14ac:dyDescent="0.25">
      <c r="A248" t="s">
        <v>228</v>
      </c>
      <c r="B248" t="s">
        <v>229</v>
      </c>
      <c r="C248" t="s">
        <v>72</v>
      </c>
      <c r="E248" t="str">
        <f>"080010145544"</f>
        <v>080010145544</v>
      </c>
      <c r="F248" s="2">
        <v>44364</v>
      </c>
      <c r="G248">
        <v>202112</v>
      </c>
      <c r="H248" t="s">
        <v>95</v>
      </c>
      <c r="I248" t="s">
        <v>96</v>
      </c>
      <c r="J248" t="s">
        <v>234</v>
      </c>
      <c r="K248" t="s">
        <v>75</v>
      </c>
      <c r="L248" t="s">
        <v>145</v>
      </c>
      <c r="M248" t="s">
        <v>146</v>
      </c>
      <c r="N248" t="s">
        <v>263</v>
      </c>
      <c r="O248" t="s">
        <v>157</v>
      </c>
      <c r="P248" t="str">
        <f t="shared" si="8"/>
        <v xml:space="preserve">-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18.059999999999999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4</v>
      </c>
      <c r="BJ248">
        <v>4.0999999999999996</v>
      </c>
      <c r="BK248">
        <v>5</v>
      </c>
      <c r="BL248">
        <v>101.56</v>
      </c>
      <c r="BM248">
        <v>15.23</v>
      </c>
      <c r="BN248">
        <v>116.79</v>
      </c>
      <c r="BO248">
        <v>116.79</v>
      </c>
      <c r="BP248" t="s">
        <v>154</v>
      </c>
      <c r="BQ248" t="s">
        <v>209</v>
      </c>
      <c r="BR248" t="s">
        <v>518</v>
      </c>
      <c r="BS248" s="2">
        <v>44368</v>
      </c>
      <c r="BT248" s="3">
        <v>0.66249999999999998</v>
      </c>
      <c r="BU248" t="s">
        <v>569</v>
      </c>
      <c r="BV248" t="s">
        <v>79</v>
      </c>
      <c r="BY248">
        <v>20700</v>
      </c>
      <c r="CA248" t="s">
        <v>570</v>
      </c>
      <c r="CC248" t="s">
        <v>146</v>
      </c>
      <c r="CD248">
        <v>1682</v>
      </c>
      <c r="CE248" t="s">
        <v>196</v>
      </c>
      <c r="CF248" s="2">
        <v>44368</v>
      </c>
      <c r="CI248">
        <v>1</v>
      </c>
      <c r="CJ248">
        <v>1</v>
      </c>
      <c r="CK248" t="s">
        <v>198</v>
      </c>
      <c r="CL248" t="s">
        <v>80</v>
      </c>
    </row>
    <row r="249" spans="1:90" x14ac:dyDescent="0.25">
      <c r="A249" t="s">
        <v>228</v>
      </c>
      <c r="B249" t="s">
        <v>229</v>
      </c>
      <c r="C249" t="s">
        <v>72</v>
      </c>
      <c r="E249" t="str">
        <f>"080010145576"</f>
        <v>080010145576</v>
      </c>
      <c r="F249" s="2">
        <v>44364</v>
      </c>
      <c r="G249">
        <v>202112</v>
      </c>
      <c r="H249" t="s">
        <v>95</v>
      </c>
      <c r="I249" t="s">
        <v>96</v>
      </c>
      <c r="J249" t="s">
        <v>234</v>
      </c>
      <c r="K249" t="s">
        <v>75</v>
      </c>
      <c r="L249" t="s">
        <v>104</v>
      </c>
      <c r="M249" t="s">
        <v>105</v>
      </c>
      <c r="N249" t="s">
        <v>446</v>
      </c>
      <c r="O249" t="s">
        <v>157</v>
      </c>
      <c r="P249" t="str">
        <f t="shared" si="8"/>
        <v xml:space="preserve">-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18.059999999999999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4</v>
      </c>
      <c r="BJ249">
        <v>4.0999999999999996</v>
      </c>
      <c r="BK249">
        <v>5</v>
      </c>
      <c r="BL249">
        <v>101.56</v>
      </c>
      <c r="BM249">
        <v>15.23</v>
      </c>
      <c r="BN249">
        <v>116.79</v>
      </c>
      <c r="BO249">
        <v>116.79</v>
      </c>
      <c r="BP249" t="s">
        <v>154</v>
      </c>
      <c r="BQ249" t="s">
        <v>209</v>
      </c>
      <c r="BR249" t="s">
        <v>518</v>
      </c>
      <c r="BS249" s="2">
        <v>44368</v>
      </c>
      <c r="BT249" s="3">
        <v>0.44375000000000003</v>
      </c>
      <c r="BU249" t="s">
        <v>571</v>
      </c>
      <c r="BV249" t="s">
        <v>79</v>
      </c>
      <c r="BY249">
        <v>20700</v>
      </c>
      <c r="CA249" t="s">
        <v>121</v>
      </c>
      <c r="CC249" t="s">
        <v>105</v>
      </c>
      <c r="CD249">
        <v>1459</v>
      </c>
      <c r="CE249" t="s">
        <v>196</v>
      </c>
      <c r="CF249" s="2">
        <v>44368</v>
      </c>
      <c r="CI249">
        <v>1</v>
      </c>
      <c r="CJ249">
        <v>1</v>
      </c>
      <c r="CK249" t="s">
        <v>198</v>
      </c>
      <c r="CL249" t="s">
        <v>80</v>
      </c>
    </row>
    <row r="250" spans="1:90" x14ac:dyDescent="0.25">
      <c r="A250" t="s">
        <v>228</v>
      </c>
      <c r="B250" t="s">
        <v>229</v>
      </c>
      <c r="C250" t="s">
        <v>72</v>
      </c>
      <c r="E250" t="str">
        <f>"080010145568"</f>
        <v>080010145568</v>
      </c>
      <c r="F250" s="2">
        <v>44364</v>
      </c>
      <c r="G250">
        <v>202112</v>
      </c>
      <c r="H250" t="s">
        <v>95</v>
      </c>
      <c r="I250" t="s">
        <v>96</v>
      </c>
      <c r="J250" t="s">
        <v>234</v>
      </c>
      <c r="K250" t="s">
        <v>75</v>
      </c>
      <c r="L250" t="s">
        <v>164</v>
      </c>
      <c r="M250" t="s">
        <v>110</v>
      </c>
      <c r="N250" t="s">
        <v>448</v>
      </c>
      <c r="O250" t="s">
        <v>157</v>
      </c>
      <c r="P250" t="str">
        <f t="shared" si="8"/>
        <v xml:space="preserve">-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19.71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4.0999999999999996</v>
      </c>
      <c r="BK250">
        <v>5</v>
      </c>
      <c r="BL250">
        <v>110.42</v>
      </c>
      <c r="BM250">
        <v>16.559999999999999</v>
      </c>
      <c r="BN250">
        <v>126.98</v>
      </c>
      <c r="BO250">
        <v>126.98</v>
      </c>
      <c r="BP250" t="s">
        <v>154</v>
      </c>
      <c r="BQ250" t="s">
        <v>209</v>
      </c>
      <c r="BR250" t="s">
        <v>518</v>
      </c>
      <c r="BS250" s="2">
        <v>44368</v>
      </c>
      <c r="BT250" s="3">
        <v>0.7416666666666667</v>
      </c>
      <c r="BU250" t="s">
        <v>572</v>
      </c>
      <c r="BV250" t="s">
        <v>79</v>
      </c>
      <c r="BY250">
        <v>20700</v>
      </c>
      <c r="CA250" t="s">
        <v>123</v>
      </c>
      <c r="CC250" t="s">
        <v>110</v>
      </c>
      <c r="CD250">
        <v>7560</v>
      </c>
      <c r="CE250" t="s">
        <v>196</v>
      </c>
      <c r="CF250" s="2">
        <v>44369</v>
      </c>
      <c r="CI250">
        <v>3</v>
      </c>
      <c r="CJ250">
        <v>1</v>
      </c>
      <c r="CK250" t="s">
        <v>162</v>
      </c>
      <c r="CL250" t="s">
        <v>80</v>
      </c>
    </row>
    <row r="251" spans="1:90" x14ac:dyDescent="0.25">
      <c r="A251" t="s">
        <v>228</v>
      </c>
      <c r="B251" t="s">
        <v>229</v>
      </c>
      <c r="C251" t="s">
        <v>72</v>
      </c>
      <c r="E251" t="str">
        <f>"080010145598"</f>
        <v>080010145598</v>
      </c>
      <c r="F251" s="2">
        <v>44364</v>
      </c>
      <c r="G251">
        <v>202112</v>
      </c>
      <c r="H251" t="s">
        <v>95</v>
      </c>
      <c r="I251" t="s">
        <v>96</v>
      </c>
      <c r="J251" t="s">
        <v>573</v>
      </c>
      <c r="K251" t="s">
        <v>75</v>
      </c>
      <c r="L251" t="s">
        <v>91</v>
      </c>
      <c r="M251" t="s">
        <v>92</v>
      </c>
      <c r="N251" t="s">
        <v>452</v>
      </c>
      <c r="O251" t="s">
        <v>157</v>
      </c>
      <c r="P251" t="str">
        <f t="shared" si="8"/>
        <v xml:space="preserve">-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18.059999999999999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2</v>
      </c>
      <c r="BJ251">
        <v>4.0999999999999996</v>
      </c>
      <c r="BK251">
        <v>5</v>
      </c>
      <c r="BL251">
        <v>101.56</v>
      </c>
      <c r="BM251">
        <v>15.23</v>
      </c>
      <c r="BN251">
        <v>116.79</v>
      </c>
      <c r="BO251">
        <v>116.79</v>
      </c>
      <c r="BP251" t="s">
        <v>154</v>
      </c>
      <c r="BQ251" t="s">
        <v>209</v>
      </c>
      <c r="BR251" t="s">
        <v>487</v>
      </c>
      <c r="BS251" s="2">
        <v>44368</v>
      </c>
      <c r="BT251" s="3">
        <v>0.4055555555555555</v>
      </c>
      <c r="BU251" t="s">
        <v>574</v>
      </c>
      <c r="BV251" t="s">
        <v>79</v>
      </c>
      <c r="BY251">
        <v>20700</v>
      </c>
      <c r="CA251" t="s">
        <v>221</v>
      </c>
      <c r="CC251" t="s">
        <v>92</v>
      </c>
      <c r="CD251">
        <v>2194</v>
      </c>
      <c r="CE251" t="s">
        <v>196</v>
      </c>
      <c r="CF251" s="2">
        <v>44369</v>
      </c>
      <c r="CI251">
        <v>1</v>
      </c>
      <c r="CJ251">
        <v>1</v>
      </c>
      <c r="CK251" t="s">
        <v>198</v>
      </c>
      <c r="CL251" t="s">
        <v>80</v>
      </c>
    </row>
    <row r="252" spans="1:90" x14ac:dyDescent="0.25">
      <c r="A252" t="s">
        <v>228</v>
      </c>
      <c r="B252" t="s">
        <v>229</v>
      </c>
      <c r="C252" t="s">
        <v>72</v>
      </c>
      <c r="E252" t="str">
        <f>"080010145541"</f>
        <v>080010145541</v>
      </c>
      <c r="F252" s="2">
        <v>44364</v>
      </c>
      <c r="G252">
        <v>202112</v>
      </c>
      <c r="H252" t="s">
        <v>95</v>
      </c>
      <c r="I252" t="s">
        <v>96</v>
      </c>
      <c r="J252" t="s">
        <v>234</v>
      </c>
      <c r="K252" t="s">
        <v>75</v>
      </c>
      <c r="L252" t="s">
        <v>185</v>
      </c>
      <c r="M252" t="s">
        <v>74</v>
      </c>
      <c r="N252" t="s">
        <v>438</v>
      </c>
      <c r="O252" t="s">
        <v>157</v>
      </c>
      <c r="P252" t="str">
        <f t="shared" si="8"/>
        <v xml:space="preserve">-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13.54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4</v>
      </c>
      <c r="BJ252">
        <v>4.0999999999999996</v>
      </c>
      <c r="BK252">
        <v>5</v>
      </c>
      <c r="BL252">
        <v>77.42</v>
      </c>
      <c r="BM252">
        <v>11.61</v>
      </c>
      <c r="BN252">
        <v>89.03</v>
      </c>
      <c r="BO252">
        <v>89.03</v>
      </c>
      <c r="BP252" t="s">
        <v>154</v>
      </c>
      <c r="BQ252" t="s">
        <v>436</v>
      </c>
      <c r="BR252" t="s">
        <v>518</v>
      </c>
      <c r="BS252" s="2">
        <v>44368</v>
      </c>
      <c r="BT252" s="3">
        <v>0.45</v>
      </c>
      <c r="BU252" t="s">
        <v>439</v>
      </c>
      <c r="BV252" t="s">
        <v>79</v>
      </c>
      <c r="BY252">
        <v>20700</v>
      </c>
      <c r="CA252" t="s">
        <v>463</v>
      </c>
      <c r="CC252" t="s">
        <v>74</v>
      </c>
      <c r="CD252">
        <v>181</v>
      </c>
      <c r="CE252" t="s">
        <v>196</v>
      </c>
      <c r="CF252" s="2">
        <v>44368</v>
      </c>
      <c r="CI252">
        <v>0</v>
      </c>
      <c r="CJ252">
        <v>0</v>
      </c>
      <c r="CK252" t="s">
        <v>377</v>
      </c>
      <c r="CL252" t="s">
        <v>80</v>
      </c>
    </row>
    <row r="253" spans="1:90" x14ac:dyDescent="0.25">
      <c r="A253" t="s">
        <v>228</v>
      </c>
      <c r="B253" t="s">
        <v>229</v>
      </c>
      <c r="C253" t="s">
        <v>72</v>
      </c>
      <c r="E253" t="str">
        <f>"080010145588"</f>
        <v>080010145588</v>
      </c>
      <c r="F253" s="2">
        <v>44364</v>
      </c>
      <c r="G253">
        <v>202112</v>
      </c>
      <c r="H253" t="s">
        <v>95</v>
      </c>
      <c r="I253" t="s">
        <v>96</v>
      </c>
      <c r="J253" t="s">
        <v>234</v>
      </c>
      <c r="K253" t="s">
        <v>75</v>
      </c>
      <c r="L253" t="s">
        <v>168</v>
      </c>
      <c r="M253" t="s">
        <v>169</v>
      </c>
      <c r="N253" t="s">
        <v>440</v>
      </c>
      <c r="O253" t="s">
        <v>157</v>
      </c>
      <c r="P253" t="str">
        <f t="shared" si="8"/>
        <v xml:space="preserve">-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18.059999999999999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4.0999999999999996</v>
      </c>
      <c r="BK253">
        <v>5</v>
      </c>
      <c r="BL253">
        <v>101.56</v>
      </c>
      <c r="BM253">
        <v>15.23</v>
      </c>
      <c r="BN253">
        <v>116.79</v>
      </c>
      <c r="BO253">
        <v>116.79</v>
      </c>
      <c r="BP253" t="s">
        <v>154</v>
      </c>
      <c r="BQ253" t="s">
        <v>209</v>
      </c>
      <c r="BR253" t="s">
        <v>518</v>
      </c>
      <c r="BS253" s="2">
        <v>44368</v>
      </c>
      <c r="BT253" s="3">
        <v>0.38680555555555557</v>
      </c>
      <c r="BU253" t="s">
        <v>575</v>
      </c>
      <c r="BV253" t="s">
        <v>79</v>
      </c>
      <c r="BY253">
        <v>20700</v>
      </c>
      <c r="CA253" t="s">
        <v>223</v>
      </c>
      <c r="CC253" t="s">
        <v>169</v>
      </c>
      <c r="CD253">
        <v>1724</v>
      </c>
      <c r="CE253" t="s">
        <v>196</v>
      </c>
      <c r="CF253" s="2">
        <v>44368</v>
      </c>
      <c r="CI253">
        <v>1</v>
      </c>
      <c r="CJ253">
        <v>1</v>
      </c>
      <c r="CK253" t="s">
        <v>198</v>
      </c>
      <c r="CL253" t="s">
        <v>80</v>
      </c>
    </row>
    <row r="254" spans="1:90" x14ac:dyDescent="0.25">
      <c r="A254" t="s">
        <v>228</v>
      </c>
      <c r="B254" t="s">
        <v>229</v>
      </c>
      <c r="C254" t="s">
        <v>72</v>
      </c>
      <c r="E254" t="str">
        <f>"080010145586"</f>
        <v>080010145586</v>
      </c>
      <c r="F254" s="2">
        <v>44364</v>
      </c>
      <c r="G254">
        <v>202112</v>
      </c>
      <c r="H254" t="s">
        <v>95</v>
      </c>
      <c r="I254" t="s">
        <v>96</v>
      </c>
      <c r="J254" t="s">
        <v>234</v>
      </c>
      <c r="K254" t="s">
        <v>75</v>
      </c>
      <c r="L254" t="s">
        <v>99</v>
      </c>
      <c r="M254" t="s">
        <v>100</v>
      </c>
      <c r="N254" t="s">
        <v>419</v>
      </c>
      <c r="O254" t="s">
        <v>157</v>
      </c>
      <c r="P254" t="str">
        <f t="shared" si="8"/>
        <v xml:space="preserve">-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18.059999999999999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4</v>
      </c>
      <c r="BJ254">
        <v>4.0999999999999996</v>
      </c>
      <c r="BK254">
        <v>5</v>
      </c>
      <c r="BL254">
        <v>101.56</v>
      </c>
      <c r="BM254">
        <v>15.23</v>
      </c>
      <c r="BN254">
        <v>116.79</v>
      </c>
      <c r="BO254">
        <v>116.79</v>
      </c>
      <c r="BP254" t="s">
        <v>154</v>
      </c>
      <c r="BQ254" t="s">
        <v>209</v>
      </c>
      <c r="BR254" t="s">
        <v>518</v>
      </c>
      <c r="BS254" s="2">
        <v>44368</v>
      </c>
      <c r="BT254" s="3">
        <v>0.50277777777777777</v>
      </c>
      <c r="BU254" t="s">
        <v>576</v>
      </c>
      <c r="BV254" t="s">
        <v>79</v>
      </c>
      <c r="BY254">
        <v>20700</v>
      </c>
      <c r="CA254" t="s">
        <v>199</v>
      </c>
      <c r="CC254" t="s">
        <v>100</v>
      </c>
      <c r="CD254">
        <v>2007</v>
      </c>
      <c r="CE254" t="s">
        <v>196</v>
      </c>
      <c r="CF254" s="2">
        <v>44368</v>
      </c>
      <c r="CI254">
        <v>1</v>
      </c>
      <c r="CJ254">
        <v>1</v>
      </c>
      <c r="CK254" t="s">
        <v>198</v>
      </c>
      <c r="CL254" t="s">
        <v>80</v>
      </c>
    </row>
    <row r="255" spans="1:90" x14ac:dyDescent="0.25">
      <c r="A255" t="s">
        <v>228</v>
      </c>
      <c r="B255" t="s">
        <v>229</v>
      </c>
      <c r="C255" t="s">
        <v>72</v>
      </c>
      <c r="E255" t="str">
        <f>"080010145516"</f>
        <v>080010145516</v>
      </c>
      <c r="F255" s="2">
        <v>44364</v>
      </c>
      <c r="G255">
        <v>202112</v>
      </c>
      <c r="H255" t="s">
        <v>95</v>
      </c>
      <c r="I255" t="s">
        <v>96</v>
      </c>
      <c r="J255" t="s">
        <v>234</v>
      </c>
      <c r="K255" t="s">
        <v>75</v>
      </c>
      <c r="L255" t="s">
        <v>99</v>
      </c>
      <c r="M255" t="s">
        <v>100</v>
      </c>
      <c r="N255" t="s">
        <v>470</v>
      </c>
      <c r="O255" t="s">
        <v>157</v>
      </c>
      <c r="P255" t="str">
        <f t="shared" si="8"/>
        <v xml:space="preserve">-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18.059999999999999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4</v>
      </c>
      <c r="BJ255">
        <v>4.0999999999999996</v>
      </c>
      <c r="BK255">
        <v>5</v>
      </c>
      <c r="BL255">
        <v>101.56</v>
      </c>
      <c r="BM255">
        <v>15.23</v>
      </c>
      <c r="BN255">
        <v>116.79</v>
      </c>
      <c r="BO255">
        <v>116.79</v>
      </c>
      <c r="BP255" t="s">
        <v>154</v>
      </c>
      <c r="BQ255" t="s">
        <v>209</v>
      </c>
      <c r="BR255" t="s">
        <v>518</v>
      </c>
      <c r="BS255" s="2">
        <v>44368</v>
      </c>
      <c r="BT255" s="3">
        <v>0.39930555555555558</v>
      </c>
      <c r="BU255" t="s">
        <v>577</v>
      </c>
      <c r="BV255" t="s">
        <v>79</v>
      </c>
      <c r="BY255">
        <v>20700</v>
      </c>
      <c r="CA255" t="s">
        <v>578</v>
      </c>
      <c r="CC255" t="s">
        <v>100</v>
      </c>
      <c r="CD255">
        <v>2021</v>
      </c>
      <c r="CE255" t="s">
        <v>196</v>
      </c>
      <c r="CF255" s="2">
        <v>44368</v>
      </c>
      <c r="CI255">
        <v>1</v>
      </c>
      <c r="CJ255">
        <v>1</v>
      </c>
      <c r="CK255" t="s">
        <v>198</v>
      </c>
      <c r="CL255" t="s">
        <v>80</v>
      </c>
    </row>
    <row r="256" spans="1:90" x14ac:dyDescent="0.25">
      <c r="A256" t="s">
        <v>228</v>
      </c>
      <c r="B256" t="s">
        <v>229</v>
      </c>
      <c r="C256" t="s">
        <v>72</v>
      </c>
      <c r="E256" t="str">
        <f>"009941427538"</f>
        <v>009941427538</v>
      </c>
      <c r="F256" s="2">
        <v>44365</v>
      </c>
      <c r="G256">
        <v>202112</v>
      </c>
      <c r="H256" t="s">
        <v>145</v>
      </c>
      <c r="I256" t="s">
        <v>146</v>
      </c>
      <c r="J256" t="s">
        <v>263</v>
      </c>
      <c r="K256" t="s">
        <v>75</v>
      </c>
      <c r="L256" t="s">
        <v>99</v>
      </c>
      <c r="M256" t="s">
        <v>100</v>
      </c>
      <c r="N256" t="s">
        <v>234</v>
      </c>
      <c r="O256" t="s">
        <v>157</v>
      </c>
      <c r="P256" t="str">
        <f>"..                            "</f>
        <v xml:space="preserve">..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13.54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77.42</v>
      </c>
      <c r="BM256">
        <v>11.61</v>
      </c>
      <c r="BN256">
        <v>89.03</v>
      </c>
      <c r="BO256">
        <v>89.03</v>
      </c>
      <c r="BQ256" t="s">
        <v>579</v>
      </c>
      <c r="BR256" t="s">
        <v>368</v>
      </c>
      <c r="BS256" s="2">
        <v>44368</v>
      </c>
      <c r="BT256" s="3">
        <v>0.33958333333333335</v>
      </c>
      <c r="BU256" t="s">
        <v>220</v>
      </c>
      <c r="BV256" t="s">
        <v>79</v>
      </c>
      <c r="BY256">
        <v>1200</v>
      </c>
      <c r="CA256" t="s">
        <v>150</v>
      </c>
      <c r="CC256" t="s">
        <v>100</v>
      </c>
      <c r="CD256">
        <v>2000</v>
      </c>
      <c r="CE256" t="s">
        <v>94</v>
      </c>
      <c r="CF256" s="2">
        <v>44368</v>
      </c>
      <c r="CI256">
        <v>1</v>
      </c>
      <c r="CJ256">
        <v>1</v>
      </c>
      <c r="CK256" t="s">
        <v>160</v>
      </c>
      <c r="CL256" t="s">
        <v>80</v>
      </c>
    </row>
    <row r="257" spans="1:90" x14ac:dyDescent="0.25">
      <c r="A257" t="s">
        <v>228</v>
      </c>
      <c r="B257" t="s">
        <v>229</v>
      </c>
      <c r="C257" t="s">
        <v>72</v>
      </c>
      <c r="E257" t="str">
        <f>"009941855293"</f>
        <v>009941855293</v>
      </c>
      <c r="F257" s="2">
        <v>44365</v>
      </c>
      <c r="G257">
        <v>202112</v>
      </c>
      <c r="H257" t="s">
        <v>91</v>
      </c>
      <c r="I257" t="s">
        <v>92</v>
      </c>
      <c r="J257" t="s">
        <v>592</v>
      </c>
      <c r="K257" t="s">
        <v>75</v>
      </c>
      <c r="L257" t="s">
        <v>99</v>
      </c>
      <c r="M257" t="s">
        <v>100</v>
      </c>
      <c r="N257" t="s">
        <v>234</v>
      </c>
      <c r="O257" t="s">
        <v>157</v>
      </c>
      <c r="P257" t="str">
        <f>"..                            "</f>
        <v xml:space="preserve">..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13.54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77.42</v>
      </c>
      <c r="BM257">
        <v>11.61</v>
      </c>
      <c r="BN257">
        <v>89.03</v>
      </c>
      <c r="BO257">
        <v>89.03</v>
      </c>
      <c r="BQ257" t="s">
        <v>226</v>
      </c>
      <c r="BR257" t="s">
        <v>226</v>
      </c>
      <c r="BS257" s="2">
        <v>44368</v>
      </c>
      <c r="BT257" s="3">
        <v>0.3430555555555555</v>
      </c>
      <c r="BU257" t="s">
        <v>220</v>
      </c>
      <c r="BV257" t="s">
        <v>79</v>
      </c>
      <c r="BY257">
        <v>1200</v>
      </c>
      <c r="CA257" t="s">
        <v>150</v>
      </c>
      <c r="CC257" t="s">
        <v>100</v>
      </c>
      <c r="CD257">
        <v>2013</v>
      </c>
      <c r="CE257" t="s">
        <v>94</v>
      </c>
      <c r="CF257" s="2">
        <v>44368</v>
      </c>
      <c r="CI257">
        <v>1</v>
      </c>
      <c r="CJ257">
        <v>1</v>
      </c>
      <c r="CK257" t="s">
        <v>160</v>
      </c>
      <c r="CL257" t="s">
        <v>80</v>
      </c>
    </row>
    <row r="258" spans="1:90" x14ac:dyDescent="0.25">
      <c r="A258" t="s">
        <v>228</v>
      </c>
      <c r="B258" t="s">
        <v>229</v>
      </c>
      <c r="C258" t="s">
        <v>72</v>
      </c>
      <c r="E258" t="str">
        <f>"009941474737"</f>
        <v>009941474737</v>
      </c>
      <c r="F258" s="2">
        <v>44365</v>
      </c>
      <c r="G258">
        <v>202112</v>
      </c>
      <c r="H258" t="s">
        <v>104</v>
      </c>
      <c r="I258" t="s">
        <v>105</v>
      </c>
      <c r="J258" t="s">
        <v>246</v>
      </c>
      <c r="K258" t="s">
        <v>75</v>
      </c>
      <c r="L258" t="s">
        <v>99</v>
      </c>
      <c r="M258" t="s">
        <v>100</v>
      </c>
      <c r="N258" t="s">
        <v>234</v>
      </c>
      <c r="O258" t="s">
        <v>157</v>
      </c>
      <c r="P258" t="str">
        <f>"..                            "</f>
        <v xml:space="preserve">..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13.54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77.42</v>
      </c>
      <c r="BM258">
        <v>11.61</v>
      </c>
      <c r="BN258">
        <v>89.03</v>
      </c>
      <c r="BO258">
        <v>89.03</v>
      </c>
      <c r="BQ258" t="s">
        <v>226</v>
      </c>
      <c r="BR258" t="s">
        <v>580</v>
      </c>
      <c r="BS258" s="2">
        <v>44368</v>
      </c>
      <c r="BT258" s="3">
        <v>0.34097222222222223</v>
      </c>
      <c r="BU258" t="s">
        <v>220</v>
      </c>
      <c r="BV258" t="s">
        <v>79</v>
      </c>
      <c r="BY258">
        <v>1200</v>
      </c>
      <c r="CA258" t="s">
        <v>150</v>
      </c>
      <c r="CC258" t="s">
        <v>100</v>
      </c>
      <c r="CD258">
        <v>2013</v>
      </c>
      <c r="CE258" t="s">
        <v>94</v>
      </c>
      <c r="CF258" s="2">
        <v>44368</v>
      </c>
      <c r="CI258">
        <v>1</v>
      </c>
      <c r="CJ258">
        <v>1</v>
      </c>
      <c r="CK258" t="s">
        <v>160</v>
      </c>
      <c r="CL258" t="s">
        <v>80</v>
      </c>
    </row>
    <row r="261" spans="1:90" x14ac:dyDescent="0.25">
      <c r="F261" s="2"/>
      <c r="BS261" s="2"/>
      <c r="BT261" s="3"/>
      <c r="CF261" s="2"/>
    </row>
    <row r="262" spans="1:90" x14ac:dyDescent="0.25">
      <c r="F262" s="2"/>
      <c r="BS262" s="2"/>
      <c r="BT262" s="3"/>
      <c r="CF262" s="2"/>
    </row>
    <row r="263" spans="1:90" x14ac:dyDescent="0.25">
      <c r="F263" s="2"/>
      <c r="BS263" s="2"/>
      <c r="BT263" s="3"/>
      <c r="CF263" s="2"/>
    </row>
    <row r="264" spans="1:90" x14ac:dyDescent="0.25">
      <c r="F264" s="2"/>
      <c r="BS264" s="2"/>
      <c r="BT264" s="3"/>
      <c r="CF264" s="2"/>
    </row>
    <row r="265" spans="1:90" x14ac:dyDescent="0.25">
      <c r="F265" s="2"/>
      <c r="BS265" s="2"/>
      <c r="BT265" s="3"/>
      <c r="CF265" s="2"/>
    </row>
    <row r="266" spans="1:90" x14ac:dyDescent="0.25">
      <c r="F266" s="2"/>
      <c r="BS266" s="2"/>
      <c r="BT266" s="3"/>
      <c r="CF266" s="2"/>
    </row>
    <row r="267" spans="1:90" x14ac:dyDescent="0.25">
      <c r="F267" s="2"/>
      <c r="BS267" s="2"/>
      <c r="BT267" s="3"/>
      <c r="CF267" s="2"/>
    </row>
    <row r="268" spans="1:90" x14ac:dyDescent="0.25">
      <c r="F268" s="2"/>
      <c r="BS268" s="2"/>
      <c r="BT268" s="3"/>
      <c r="CF268" s="2"/>
    </row>
    <row r="269" spans="1:90" x14ac:dyDescent="0.25">
      <c r="F269" s="2"/>
      <c r="BS269" s="2"/>
      <c r="BT269" s="3"/>
      <c r="CF269" s="2"/>
    </row>
    <row r="270" spans="1:90" x14ac:dyDescent="0.25">
      <c r="F270" s="2"/>
      <c r="BS270" s="2"/>
      <c r="BT270" s="3"/>
      <c r="CF270" s="2"/>
    </row>
    <row r="271" spans="1:90" x14ac:dyDescent="0.25">
      <c r="F271" s="2"/>
      <c r="BS271" s="2"/>
      <c r="BT271" s="3"/>
      <c r="CF271" s="2"/>
    </row>
    <row r="272" spans="1:90" x14ac:dyDescent="0.25">
      <c r="F272" s="2"/>
      <c r="BS272" s="2"/>
      <c r="BT272" s="3"/>
      <c r="CF272" s="2"/>
    </row>
    <row r="273" spans="6:84" x14ac:dyDescent="0.25">
      <c r="F273" s="2"/>
      <c r="BS273" s="2"/>
      <c r="BT273" s="3"/>
      <c r="CF273" s="2"/>
    </row>
    <row r="274" spans="6:84" x14ac:dyDescent="0.25">
      <c r="F274" s="2"/>
      <c r="BS274" s="2"/>
      <c r="BT274" s="3"/>
      <c r="CF274" s="2"/>
    </row>
    <row r="275" spans="6:84" x14ac:dyDescent="0.25">
      <c r="F275" s="2"/>
      <c r="BS275" s="2"/>
      <c r="BT275" s="3"/>
      <c r="CF275" s="2"/>
    </row>
    <row r="276" spans="6:84" x14ac:dyDescent="0.25">
      <c r="F276" s="2"/>
      <c r="BS276" s="2"/>
      <c r="BT276" s="3"/>
      <c r="CF276" s="2"/>
    </row>
    <row r="277" spans="6:84" x14ac:dyDescent="0.25">
      <c r="F277" s="2"/>
      <c r="BS277" s="2"/>
      <c r="BT277" s="3"/>
      <c r="CF277" s="2"/>
    </row>
    <row r="278" spans="6:84" x14ac:dyDescent="0.25">
      <c r="F278" s="2"/>
      <c r="BS278" s="2"/>
      <c r="BT278" s="3"/>
      <c r="CF278" s="2"/>
    </row>
    <row r="279" spans="6:84" x14ac:dyDescent="0.25">
      <c r="F279" s="2"/>
      <c r="BS279" s="2"/>
      <c r="BT279" s="3"/>
      <c r="CF279" s="2"/>
    </row>
    <row r="280" spans="6:84" x14ac:dyDescent="0.25">
      <c r="F280" s="2"/>
      <c r="BS280" s="2"/>
      <c r="BT280" s="3"/>
      <c r="CF280" s="2"/>
    </row>
    <row r="281" spans="6:84" x14ac:dyDescent="0.25">
      <c r="F281" s="2"/>
      <c r="BS281" s="2"/>
      <c r="BT281" s="3"/>
      <c r="CF281" s="2"/>
    </row>
    <row r="282" spans="6:84" x14ac:dyDescent="0.25">
      <c r="F282" s="2"/>
      <c r="BS282" s="2"/>
      <c r="BT282" s="3"/>
      <c r="CF282" s="2"/>
    </row>
    <row r="283" spans="6:84" x14ac:dyDescent="0.25">
      <c r="F283" s="2"/>
      <c r="BS283" s="2"/>
      <c r="BT283" s="3"/>
      <c r="CF283" s="2"/>
    </row>
    <row r="284" spans="6:84" x14ac:dyDescent="0.25">
      <c r="F284" s="2"/>
      <c r="BS284" s="2"/>
      <c r="BT284" s="3"/>
      <c r="CF284" s="2"/>
    </row>
    <row r="285" spans="6:84" x14ac:dyDescent="0.25">
      <c r="F285" s="2"/>
    </row>
    <row r="286" spans="6:84" x14ac:dyDescent="0.25">
      <c r="F286" s="2"/>
      <c r="BS286" s="2"/>
      <c r="BT286" s="3"/>
      <c r="CF286" s="2"/>
    </row>
    <row r="287" spans="6:84" x14ac:dyDescent="0.25">
      <c r="F287" s="2"/>
      <c r="BS287" s="2"/>
      <c r="BT287" s="3"/>
      <c r="CF287" s="2"/>
    </row>
    <row r="288" spans="6:84" x14ac:dyDescent="0.25">
      <c r="F288" s="2"/>
      <c r="BS288" s="2"/>
      <c r="BT288" s="3"/>
      <c r="CF288" s="2"/>
    </row>
    <row r="289" spans="6:84" x14ac:dyDescent="0.25">
      <c r="F289" s="2"/>
      <c r="BS289" s="2"/>
      <c r="BT289" s="3"/>
      <c r="CF289" s="2"/>
    </row>
    <row r="290" spans="6:84" x14ac:dyDescent="0.25">
      <c r="F290" s="2"/>
      <c r="BS290" s="2"/>
      <c r="BT290" s="3"/>
      <c r="CF290" s="2"/>
    </row>
    <row r="291" spans="6:84" x14ac:dyDescent="0.25">
      <c r="F291" s="2"/>
      <c r="BS291" s="2"/>
      <c r="BT291" s="3"/>
      <c r="CF291" s="2"/>
    </row>
    <row r="292" spans="6:84" x14ac:dyDescent="0.25">
      <c r="F292" s="2"/>
      <c r="BS292" s="2"/>
      <c r="BT292" s="3"/>
      <c r="CF292" s="2"/>
    </row>
    <row r="293" spans="6:84" x14ac:dyDescent="0.25">
      <c r="F293" s="2"/>
      <c r="BS293" s="2"/>
      <c r="BT293" s="3"/>
      <c r="CF293" s="2"/>
    </row>
    <row r="294" spans="6:84" x14ac:dyDescent="0.25">
      <c r="F294" s="2"/>
      <c r="BS294" s="2"/>
      <c r="BT294" s="3"/>
      <c r="CF294" s="2"/>
    </row>
    <row r="295" spans="6:84" x14ac:dyDescent="0.25">
      <c r="F295" s="2"/>
      <c r="BS295" s="2"/>
      <c r="BT295" s="3"/>
      <c r="CF295" s="2"/>
    </row>
    <row r="296" spans="6:84" x14ac:dyDescent="0.25">
      <c r="F296" s="2"/>
      <c r="BS296" s="2"/>
      <c r="BT296" s="3"/>
      <c r="CF296" s="2"/>
    </row>
    <row r="297" spans="6:84" x14ac:dyDescent="0.25">
      <c r="F297" s="2"/>
      <c r="BS297" s="2"/>
      <c r="BT297" s="3"/>
      <c r="CF297" s="2"/>
    </row>
    <row r="298" spans="6:84" x14ac:dyDescent="0.25">
      <c r="F298" s="2"/>
      <c r="BS298" s="2"/>
      <c r="BT298" s="3"/>
      <c r="CF298" s="2"/>
    </row>
    <row r="299" spans="6:84" x14ac:dyDescent="0.25">
      <c r="F299" s="2"/>
      <c r="BS299" s="2"/>
      <c r="BT299" s="3"/>
      <c r="CF299" s="2"/>
    </row>
    <row r="300" spans="6:84" x14ac:dyDescent="0.25">
      <c r="F300" s="2"/>
      <c r="BS300" s="2"/>
      <c r="BT300" s="3"/>
      <c r="CF300" s="2"/>
    </row>
    <row r="301" spans="6:84" x14ac:dyDescent="0.25">
      <c r="F301" s="2"/>
      <c r="BS301" s="2"/>
      <c r="BT301" s="3"/>
      <c r="CF301" s="2"/>
    </row>
    <row r="302" spans="6:84" x14ac:dyDescent="0.25">
      <c r="F302" s="2"/>
      <c r="BS302" s="2"/>
      <c r="BT302" s="3"/>
      <c r="CF302" s="2"/>
    </row>
    <row r="303" spans="6:84" x14ac:dyDescent="0.25">
      <c r="F303" s="2"/>
      <c r="BS303" s="2"/>
      <c r="BT303" s="3"/>
      <c r="CF303" s="2"/>
    </row>
    <row r="304" spans="6:84" x14ac:dyDescent="0.25">
      <c r="F304" s="2"/>
      <c r="BS304" s="2"/>
      <c r="BT304" s="3"/>
      <c r="CF304" s="2"/>
    </row>
    <row r="305" spans="6:84" x14ac:dyDescent="0.25">
      <c r="F305" s="2"/>
      <c r="BS305" s="2"/>
      <c r="BT305" s="3"/>
      <c r="CF305" s="2"/>
    </row>
    <row r="306" spans="6:84" x14ac:dyDescent="0.25">
      <c r="F306" s="2"/>
      <c r="BS306" s="2"/>
      <c r="BT306" s="3"/>
      <c r="CF306" s="2"/>
    </row>
    <row r="307" spans="6:84" x14ac:dyDescent="0.25">
      <c r="F307" s="2"/>
      <c r="BS307" s="2"/>
      <c r="BT307" s="3"/>
      <c r="CF307" s="2"/>
    </row>
    <row r="308" spans="6:84" x14ac:dyDescent="0.25">
      <c r="F308" s="2"/>
      <c r="BS308" s="2"/>
      <c r="BT308" s="3"/>
      <c r="CF308" s="2"/>
    </row>
    <row r="309" spans="6:84" x14ac:dyDescent="0.25">
      <c r="F309" s="2"/>
      <c r="BS309" s="2"/>
      <c r="BT309" s="3"/>
      <c r="CF309" s="2"/>
    </row>
    <row r="310" spans="6:84" x14ac:dyDescent="0.25">
      <c r="F310" s="2"/>
      <c r="BS310" s="2"/>
      <c r="BT310" s="3"/>
      <c r="CF310" s="2"/>
    </row>
    <row r="311" spans="6:84" x14ac:dyDescent="0.25">
      <c r="F311" s="2"/>
      <c r="BS311" s="2"/>
      <c r="BT311" s="3"/>
      <c r="CF311" s="2"/>
    </row>
    <row r="312" spans="6:84" x14ac:dyDescent="0.25">
      <c r="F312" s="2"/>
      <c r="BS312" s="2"/>
      <c r="BT312" s="3"/>
      <c r="CF312" s="2"/>
    </row>
    <row r="313" spans="6:84" x14ac:dyDescent="0.25">
      <c r="F313" s="2"/>
      <c r="BS313" s="2"/>
      <c r="BT313" s="3"/>
      <c r="CF313" s="2"/>
    </row>
    <row r="314" spans="6:84" x14ac:dyDescent="0.25">
      <c r="F314" s="2"/>
      <c r="BS314" s="2"/>
      <c r="BT314" s="3"/>
      <c r="CF314" s="2"/>
    </row>
    <row r="315" spans="6:84" x14ac:dyDescent="0.25">
      <c r="F315" s="2"/>
      <c r="BS315" s="2"/>
      <c r="BT315" s="3"/>
      <c r="CF315" s="2"/>
    </row>
    <row r="316" spans="6:84" x14ac:dyDescent="0.25">
      <c r="F316" s="2"/>
      <c r="BS316" s="2"/>
      <c r="BT316" s="3"/>
      <c r="CF316" s="2"/>
    </row>
    <row r="317" spans="6:84" x14ac:dyDescent="0.25">
      <c r="F317" s="2"/>
      <c r="BS317" s="2"/>
      <c r="BT317" s="3"/>
      <c r="CF317" s="2"/>
    </row>
    <row r="318" spans="6:84" x14ac:dyDescent="0.25">
      <c r="F318" s="2"/>
      <c r="BS318" s="2"/>
      <c r="BT318" s="3"/>
      <c r="CF318" s="2"/>
    </row>
    <row r="319" spans="6:84" x14ac:dyDescent="0.25">
      <c r="F319" s="2"/>
      <c r="BS319" s="2"/>
      <c r="BT319" s="3"/>
      <c r="CF319" s="2"/>
    </row>
    <row r="320" spans="6:84" x14ac:dyDescent="0.25">
      <c r="F320" s="2"/>
      <c r="BS320" s="2"/>
      <c r="BT320" s="3"/>
      <c r="CF320" s="2"/>
    </row>
    <row r="321" spans="6:84" x14ac:dyDescent="0.25">
      <c r="F321" s="2"/>
      <c r="BS321" s="2"/>
      <c r="BT321" s="3"/>
      <c r="CF321" s="2"/>
    </row>
    <row r="322" spans="6:84" x14ac:dyDescent="0.25">
      <c r="F322" s="2"/>
      <c r="BS322" s="2"/>
      <c r="BT322" s="3"/>
      <c r="CF322" s="2"/>
    </row>
    <row r="323" spans="6:84" x14ac:dyDescent="0.25">
      <c r="F323" s="2"/>
      <c r="BS323" s="2"/>
      <c r="BT323" s="3"/>
      <c r="CF323" s="2"/>
    </row>
    <row r="324" spans="6:84" x14ac:dyDescent="0.25">
      <c r="F324" s="2"/>
      <c r="BS324" s="2"/>
      <c r="BT324" s="3"/>
      <c r="CF324" s="2"/>
    </row>
    <row r="325" spans="6:84" x14ac:dyDescent="0.25">
      <c r="F325" s="2"/>
      <c r="BS325" s="2"/>
      <c r="BT325" s="3"/>
      <c r="CF325" s="2"/>
    </row>
    <row r="326" spans="6:84" x14ac:dyDescent="0.25">
      <c r="F326" s="2"/>
      <c r="BS326" s="2"/>
      <c r="BT326" s="3"/>
      <c r="CF326" s="2"/>
    </row>
    <row r="327" spans="6:84" x14ac:dyDescent="0.25">
      <c r="F327" s="2"/>
      <c r="BS327" s="2"/>
      <c r="BT327" s="3"/>
      <c r="CF327" s="2"/>
    </row>
    <row r="328" spans="6:84" x14ac:dyDescent="0.25">
      <c r="F328" s="2"/>
      <c r="BS328" s="2"/>
      <c r="BT328" s="3"/>
      <c r="CF328" s="2"/>
    </row>
    <row r="329" spans="6:84" x14ac:dyDescent="0.25">
      <c r="F329" s="2"/>
      <c r="BS329" s="2"/>
      <c r="BT329" s="3"/>
      <c r="CF329" s="2"/>
    </row>
    <row r="330" spans="6:84" x14ac:dyDescent="0.25">
      <c r="F330" s="2"/>
      <c r="BS330" s="2"/>
      <c r="BT330" s="3"/>
      <c r="CF330" s="2"/>
    </row>
    <row r="331" spans="6:84" x14ac:dyDescent="0.25">
      <c r="F331" s="2"/>
      <c r="BS331" s="2"/>
      <c r="BT331" s="3"/>
      <c r="CF331" s="2"/>
    </row>
    <row r="332" spans="6:84" x14ac:dyDescent="0.25">
      <c r="F332" s="2"/>
      <c r="BS332" s="2"/>
      <c r="BT332" s="3"/>
      <c r="CF332" s="2"/>
    </row>
    <row r="333" spans="6:84" x14ac:dyDescent="0.25">
      <c r="F333" s="2"/>
      <c r="BS333" s="2"/>
      <c r="BT333" s="3"/>
      <c r="CF333" s="2"/>
    </row>
    <row r="334" spans="6:84" x14ac:dyDescent="0.25">
      <c r="F334" s="2"/>
      <c r="BS334" s="2"/>
      <c r="BT334" s="3"/>
      <c r="CF334" s="2"/>
    </row>
    <row r="335" spans="6:84" x14ac:dyDescent="0.25">
      <c r="F335" s="2"/>
      <c r="BS335" s="2"/>
      <c r="BT335" s="3"/>
      <c r="CF335" s="2"/>
    </row>
    <row r="336" spans="6:84" x14ac:dyDescent="0.25">
      <c r="F336" s="2"/>
      <c r="BS336" s="2"/>
      <c r="BT336" s="3"/>
      <c r="CF336" s="2"/>
    </row>
    <row r="337" spans="6:84" x14ac:dyDescent="0.25">
      <c r="F337" s="2"/>
      <c r="BS337" s="2"/>
      <c r="BT337" s="3"/>
      <c r="CF337" s="2"/>
    </row>
    <row r="338" spans="6:84" x14ac:dyDescent="0.25">
      <c r="F338" s="2"/>
      <c r="BS338" s="2"/>
      <c r="BT338" s="3"/>
      <c r="CF338" s="2"/>
    </row>
    <row r="339" spans="6:84" x14ac:dyDescent="0.25">
      <c r="F339" s="2"/>
      <c r="BS339" s="2"/>
      <c r="BT339" s="3"/>
      <c r="CF339" s="2"/>
    </row>
    <row r="340" spans="6:84" x14ac:dyDescent="0.25">
      <c r="F340" s="2"/>
      <c r="BS340" s="2"/>
      <c r="BT340" s="3"/>
      <c r="CF340" s="2"/>
    </row>
    <row r="341" spans="6:84" x14ac:dyDescent="0.25">
      <c r="F341" s="2"/>
      <c r="BS341" s="2"/>
      <c r="BT341" s="3"/>
      <c r="CF341" s="2"/>
    </row>
    <row r="342" spans="6:84" x14ac:dyDescent="0.25">
      <c r="F342" s="2"/>
      <c r="BS342" s="2"/>
      <c r="BT342" s="3"/>
      <c r="CF342" s="2"/>
    </row>
    <row r="343" spans="6:84" x14ac:dyDescent="0.25">
      <c r="F343" s="2"/>
      <c r="BS343" s="2"/>
      <c r="BT343" s="3"/>
      <c r="CF343" s="2"/>
    </row>
    <row r="344" spans="6:84" x14ac:dyDescent="0.25">
      <c r="F344" s="2"/>
      <c r="BS344" s="2"/>
      <c r="BT344" s="3"/>
      <c r="CF344" s="2"/>
    </row>
    <row r="345" spans="6:84" x14ac:dyDescent="0.25">
      <c r="F345" s="2"/>
      <c r="BS345" s="2"/>
      <c r="BT345" s="3"/>
      <c r="CF345" s="2"/>
    </row>
    <row r="346" spans="6:84" x14ac:dyDescent="0.25">
      <c r="F346" s="2"/>
      <c r="BS346" s="2"/>
      <c r="BT346" s="3"/>
      <c r="CF346" s="2"/>
    </row>
    <row r="347" spans="6:84" x14ac:dyDescent="0.25">
      <c r="F347" s="2"/>
      <c r="BS347" s="2"/>
      <c r="BT347" s="3"/>
      <c r="CF347" s="2"/>
    </row>
    <row r="348" spans="6:84" x14ac:dyDescent="0.25">
      <c r="F348" s="2"/>
    </row>
    <row r="349" spans="6:84" x14ac:dyDescent="0.25">
      <c r="F349" s="2"/>
    </row>
    <row r="350" spans="6:84" x14ac:dyDescent="0.25">
      <c r="F350" s="2"/>
    </row>
    <row r="351" spans="6:84" x14ac:dyDescent="0.25">
      <c r="F351" s="2"/>
    </row>
    <row r="352" spans="6:84" x14ac:dyDescent="0.25">
      <c r="F352" s="2"/>
      <c r="BS352" s="2"/>
      <c r="BT352" s="3"/>
      <c r="CF352" s="2"/>
    </row>
    <row r="353" spans="6:84" x14ac:dyDescent="0.25">
      <c r="F353" s="2"/>
    </row>
    <row r="354" spans="6:84" x14ac:dyDescent="0.25">
      <c r="F354" s="2"/>
      <c r="BS354" s="2"/>
      <c r="BT354" s="3"/>
    </row>
    <row r="355" spans="6:84" x14ac:dyDescent="0.25">
      <c r="F355" s="2"/>
    </row>
    <row r="356" spans="6:84" x14ac:dyDescent="0.25">
      <c r="F356" s="2"/>
      <c r="BS356" s="2"/>
      <c r="BT356" s="3"/>
    </row>
    <row r="357" spans="6:84" x14ac:dyDescent="0.25">
      <c r="F357" s="2"/>
      <c r="BS357" s="2"/>
      <c r="BT357" s="3"/>
      <c r="CF357" s="2"/>
    </row>
    <row r="358" spans="6:84" x14ac:dyDescent="0.25">
      <c r="F358" s="2"/>
      <c r="BS358" s="2"/>
      <c r="BT358" s="3"/>
      <c r="CF358" s="2"/>
    </row>
    <row r="359" spans="6:84" x14ac:dyDescent="0.25">
      <c r="F359" s="2"/>
      <c r="BS359" s="2"/>
      <c r="BT359" s="3"/>
    </row>
    <row r="360" spans="6:84" x14ac:dyDescent="0.25">
      <c r="F360" s="2"/>
      <c r="BS360" s="2"/>
      <c r="BT360" s="3"/>
      <c r="CF360" s="2"/>
    </row>
    <row r="361" spans="6:84" x14ac:dyDescent="0.25">
      <c r="F361" s="2"/>
      <c r="BS361" s="2"/>
      <c r="BT361" s="3"/>
      <c r="CF361" s="2"/>
    </row>
    <row r="362" spans="6:84" x14ac:dyDescent="0.25">
      <c r="F362" s="2"/>
    </row>
    <row r="363" spans="6:84" x14ac:dyDescent="0.25">
      <c r="F363" s="2"/>
      <c r="BS363" s="2"/>
      <c r="BT363" s="3"/>
    </row>
    <row r="364" spans="6:84" x14ac:dyDescent="0.25">
      <c r="F364" s="2"/>
      <c r="BS364" s="2"/>
      <c r="BT364" s="3"/>
      <c r="CF364" s="2"/>
    </row>
    <row r="365" spans="6:84" x14ac:dyDescent="0.25">
      <c r="F365" s="2"/>
      <c r="BS365" s="2"/>
      <c r="BT365" s="3"/>
      <c r="CF365" s="2"/>
    </row>
    <row r="366" spans="6:84" x14ac:dyDescent="0.25">
      <c r="F366" s="2"/>
      <c r="BS366" s="2"/>
      <c r="BT366" s="3"/>
      <c r="CF366" s="2"/>
    </row>
    <row r="367" spans="6:84" x14ac:dyDescent="0.25">
      <c r="F367" s="2"/>
      <c r="BS367" s="2"/>
      <c r="BT367" s="3"/>
    </row>
    <row r="368" spans="6:84" x14ac:dyDescent="0.25">
      <c r="F368" s="2"/>
      <c r="BS368" s="2"/>
      <c r="BT368" s="3"/>
    </row>
    <row r="369" spans="6:84" x14ac:dyDescent="0.25">
      <c r="F369" s="2"/>
      <c r="BS369" s="2"/>
      <c r="BT369" s="3"/>
    </row>
    <row r="370" spans="6:84" x14ac:dyDescent="0.25">
      <c r="F370" s="2"/>
      <c r="BS370" s="2"/>
      <c r="BT370" s="3"/>
      <c r="CF370" s="2"/>
    </row>
    <row r="371" spans="6:84" x14ac:dyDescent="0.25">
      <c r="F371" s="2"/>
      <c r="BS371" s="2"/>
      <c r="BT371" s="3"/>
      <c r="CF371" s="2"/>
    </row>
    <row r="372" spans="6:84" x14ac:dyDescent="0.25">
      <c r="F372" s="2"/>
      <c r="BS372" s="2"/>
      <c r="BT372" s="3"/>
    </row>
    <row r="373" spans="6:84" x14ac:dyDescent="0.25">
      <c r="F373" s="2"/>
    </row>
    <row r="374" spans="6:84" x14ac:dyDescent="0.25">
      <c r="F374" s="2"/>
    </row>
    <row r="375" spans="6:84" x14ac:dyDescent="0.25">
      <c r="F375" s="2"/>
    </row>
    <row r="376" spans="6:84" x14ac:dyDescent="0.25">
      <c r="F376" s="2"/>
    </row>
    <row r="377" spans="6:84" x14ac:dyDescent="0.25">
      <c r="F377" s="2"/>
    </row>
    <row r="378" spans="6:84" x14ac:dyDescent="0.25">
      <c r="F378" s="2"/>
      <c r="BS378" s="2"/>
      <c r="BT378" s="3"/>
    </row>
    <row r="379" spans="6:84" x14ac:dyDescent="0.25">
      <c r="F379" s="2"/>
    </row>
    <row r="380" spans="6:84" x14ac:dyDescent="0.25">
      <c r="F380" s="2"/>
    </row>
    <row r="381" spans="6:84" x14ac:dyDescent="0.25">
      <c r="F381" s="2"/>
    </row>
    <row r="382" spans="6:84" x14ac:dyDescent="0.25">
      <c r="F382" s="2"/>
    </row>
    <row r="383" spans="6:84" x14ac:dyDescent="0.25">
      <c r="F383" s="2"/>
    </row>
    <row r="384" spans="6:84" x14ac:dyDescent="0.25">
      <c r="F384" s="2"/>
    </row>
    <row r="385" spans="6:84" x14ac:dyDescent="0.25">
      <c r="F385" s="2"/>
    </row>
    <row r="386" spans="6:84" x14ac:dyDescent="0.25">
      <c r="F386" s="2"/>
    </row>
    <row r="387" spans="6:84" x14ac:dyDescent="0.25">
      <c r="F387" s="2"/>
    </row>
    <row r="388" spans="6:84" x14ac:dyDescent="0.25">
      <c r="F388" s="2"/>
      <c r="BS388" s="2"/>
      <c r="BT388" s="3"/>
      <c r="CF388" s="2"/>
    </row>
    <row r="389" spans="6:84" x14ac:dyDescent="0.25">
      <c r="F389" s="2"/>
      <c r="BS389" s="2"/>
      <c r="BT389" s="3"/>
      <c r="CF389" s="2"/>
    </row>
    <row r="390" spans="6:84" x14ac:dyDescent="0.25">
      <c r="F390" s="2"/>
      <c r="BS390" s="2"/>
      <c r="BT390" s="3"/>
      <c r="CF390" s="2"/>
    </row>
    <row r="391" spans="6:84" x14ac:dyDescent="0.25">
      <c r="F391" s="2"/>
      <c r="BS391" s="2"/>
      <c r="BT391" s="3"/>
      <c r="CF391" s="2"/>
    </row>
    <row r="392" spans="6:84" x14ac:dyDescent="0.25">
      <c r="F392" s="2"/>
      <c r="BS392" s="2"/>
      <c r="BT392" s="3"/>
      <c r="CF392" s="2"/>
    </row>
    <row r="393" spans="6:84" x14ac:dyDescent="0.25">
      <c r="F393" s="2"/>
      <c r="BS393" s="2"/>
      <c r="BT393" s="3"/>
      <c r="CF393" s="2"/>
    </row>
    <row r="394" spans="6:84" x14ac:dyDescent="0.25">
      <c r="F394" s="2"/>
      <c r="BS394" s="2"/>
      <c r="BT394" s="3"/>
      <c r="CF394" s="2"/>
    </row>
    <row r="395" spans="6:84" x14ac:dyDescent="0.25">
      <c r="F395" s="2"/>
      <c r="BS395" s="2"/>
      <c r="BT395" s="3"/>
      <c r="CF395" s="2"/>
    </row>
    <row r="396" spans="6:84" x14ac:dyDescent="0.25">
      <c r="F396" s="2"/>
      <c r="BS396" s="2"/>
      <c r="BT396" s="3"/>
      <c r="CF396" s="2"/>
    </row>
    <row r="397" spans="6:84" x14ac:dyDescent="0.25">
      <c r="F397" s="2"/>
      <c r="BS397" s="2"/>
      <c r="BT397" s="3"/>
      <c r="CF397" s="2"/>
    </row>
    <row r="398" spans="6:84" x14ac:dyDescent="0.25">
      <c r="F398" s="2"/>
      <c r="BS398" s="2"/>
      <c r="BT398" s="3"/>
      <c r="CF398" s="2"/>
    </row>
    <row r="399" spans="6:84" x14ac:dyDescent="0.25">
      <c r="F399" s="2"/>
      <c r="BS399" s="2"/>
      <c r="BT399" s="3"/>
      <c r="CF399" s="2"/>
    </row>
    <row r="400" spans="6:84" x14ac:dyDescent="0.25">
      <c r="F400" s="2"/>
      <c r="BS400" s="2"/>
      <c r="BT400" s="3"/>
      <c r="CF400" s="2"/>
    </row>
    <row r="401" spans="6:84" x14ac:dyDescent="0.25">
      <c r="F401" s="2"/>
      <c r="BS401" s="2"/>
      <c r="BT401" s="3"/>
      <c r="CF401" s="2"/>
    </row>
    <row r="402" spans="6:84" x14ac:dyDescent="0.25">
      <c r="F402" s="2"/>
      <c r="BS402" s="2"/>
      <c r="BT402" s="3"/>
    </row>
    <row r="403" spans="6:84" x14ac:dyDescent="0.25">
      <c r="F403" s="2"/>
    </row>
    <row r="404" spans="6:84" x14ac:dyDescent="0.25">
      <c r="F404" s="2"/>
      <c r="BS404" s="2"/>
      <c r="BT404" s="3"/>
    </row>
    <row r="405" spans="6:84" x14ac:dyDescent="0.25">
      <c r="F405" s="2"/>
    </row>
    <row r="406" spans="6:84" x14ac:dyDescent="0.25">
      <c r="F406" s="2"/>
    </row>
    <row r="407" spans="6:84" x14ac:dyDescent="0.25">
      <c r="F407" s="2"/>
    </row>
    <row r="408" spans="6:84" x14ac:dyDescent="0.25">
      <c r="F408" s="2"/>
    </row>
    <row r="409" spans="6:84" x14ac:dyDescent="0.25">
      <c r="F409" s="2"/>
    </row>
    <row r="410" spans="6:84" x14ac:dyDescent="0.25">
      <c r="F410" s="2"/>
      <c r="BS410" s="2"/>
      <c r="BT410" s="3"/>
      <c r="CF410" s="2"/>
    </row>
    <row r="411" spans="6:84" x14ac:dyDescent="0.25">
      <c r="F411" s="2"/>
      <c r="BS411" s="2"/>
      <c r="BT411" s="3"/>
      <c r="CF411" s="2"/>
    </row>
    <row r="412" spans="6:84" x14ac:dyDescent="0.25">
      <c r="F412" s="2"/>
      <c r="BS412" s="2"/>
      <c r="BT412" s="3"/>
      <c r="CF412" s="2"/>
    </row>
    <row r="413" spans="6:84" x14ac:dyDescent="0.25">
      <c r="F413" s="2"/>
      <c r="BS413" s="2"/>
      <c r="BT413" s="3"/>
      <c r="CF413" s="2"/>
    </row>
    <row r="414" spans="6:84" x14ac:dyDescent="0.25">
      <c r="F414" s="2"/>
      <c r="BS414" s="2"/>
      <c r="BT414" s="3"/>
      <c r="CF414" s="2"/>
    </row>
    <row r="415" spans="6:84" x14ac:dyDescent="0.25">
      <c r="F415" s="2"/>
      <c r="BS415" s="2"/>
      <c r="BT415" s="3"/>
      <c r="CF415" s="2"/>
    </row>
    <row r="416" spans="6:84" x14ac:dyDescent="0.25">
      <c r="F416" s="2"/>
      <c r="BS416" s="2"/>
      <c r="BT416" s="3"/>
      <c r="CF416" s="2"/>
    </row>
    <row r="417" spans="6:84" x14ac:dyDescent="0.25">
      <c r="F417" s="2"/>
      <c r="BS417" s="2"/>
      <c r="BT417" s="3"/>
      <c r="CF417" s="2"/>
    </row>
    <row r="418" spans="6:84" x14ac:dyDescent="0.25">
      <c r="F418" s="2"/>
      <c r="BS418" s="2"/>
      <c r="BT418" s="3"/>
      <c r="CF418" s="2"/>
    </row>
    <row r="419" spans="6:84" x14ac:dyDescent="0.25">
      <c r="F419" s="2"/>
      <c r="BS419" s="2"/>
      <c r="BT419" s="3"/>
      <c r="CF419" s="2"/>
    </row>
    <row r="420" spans="6:84" x14ac:dyDescent="0.25">
      <c r="F420" s="2"/>
      <c r="BS420" s="2"/>
      <c r="BT420" s="3"/>
      <c r="CF420" s="2"/>
    </row>
    <row r="421" spans="6:84" x14ac:dyDescent="0.25">
      <c r="F421" s="2"/>
      <c r="BS421" s="2"/>
      <c r="BT421" s="3"/>
      <c r="CF421" s="2"/>
    </row>
    <row r="422" spans="6:84" x14ac:dyDescent="0.25">
      <c r="F422" s="2"/>
      <c r="BS422" s="2"/>
      <c r="BT422" s="3"/>
      <c r="CF422" s="2"/>
    </row>
    <row r="423" spans="6:84" x14ac:dyDescent="0.25">
      <c r="F423" s="2"/>
      <c r="BS423" s="2"/>
      <c r="BT423" s="3"/>
      <c r="CF423" s="2"/>
    </row>
    <row r="424" spans="6:84" x14ac:dyDescent="0.25">
      <c r="F424" s="2"/>
      <c r="BS424" s="2"/>
      <c r="BT424" s="3"/>
      <c r="CF424" s="2"/>
    </row>
    <row r="425" spans="6:84" x14ac:dyDescent="0.25">
      <c r="F425" s="2"/>
      <c r="BS425" s="2"/>
      <c r="BT425" s="3"/>
      <c r="CF425" s="2"/>
    </row>
    <row r="426" spans="6:84" x14ac:dyDescent="0.25">
      <c r="F426" s="2"/>
      <c r="BS426" s="2"/>
      <c r="BT426" s="3"/>
      <c r="CF426" s="2"/>
    </row>
    <row r="427" spans="6:84" x14ac:dyDescent="0.25">
      <c r="F427" s="2"/>
      <c r="BS427" s="2"/>
      <c r="BT427" s="3"/>
      <c r="CF427" s="2"/>
    </row>
    <row r="428" spans="6:84" x14ac:dyDescent="0.25">
      <c r="F428" s="2"/>
      <c r="BS428" s="2"/>
      <c r="BT428" s="3"/>
      <c r="CF428" s="2"/>
    </row>
    <row r="429" spans="6:84" x14ac:dyDescent="0.25">
      <c r="F429" s="2"/>
      <c r="BS429" s="2"/>
      <c r="BT429" s="3"/>
      <c r="CF429" s="2"/>
    </row>
    <row r="430" spans="6:84" x14ac:dyDescent="0.25">
      <c r="F430" s="2"/>
      <c r="BS430" s="2"/>
      <c r="BT430" s="3"/>
      <c r="CF430" s="2"/>
    </row>
    <row r="431" spans="6:84" x14ac:dyDescent="0.25">
      <c r="F431" s="2"/>
      <c r="BS431" s="2"/>
      <c r="BT431" s="3"/>
      <c r="CF431" s="2"/>
    </row>
    <row r="432" spans="6:84" x14ac:dyDescent="0.25">
      <c r="F432" s="2"/>
      <c r="BS432" s="2"/>
      <c r="BT432" s="3"/>
      <c r="CF432" s="2"/>
    </row>
    <row r="433" spans="6:84" x14ac:dyDescent="0.25">
      <c r="F433" s="2"/>
      <c r="BS433" s="2"/>
      <c r="BT433" s="3"/>
      <c r="CF433" s="2"/>
    </row>
    <row r="434" spans="6:84" x14ac:dyDescent="0.25">
      <c r="F434" s="2"/>
      <c r="BS434" s="2"/>
      <c r="BT434" s="3"/>
      <c r="CF434" s="2"/>
    </row>
    <row r="435" spans="6:84" x14ac:dyDescent="0.25">
      <c r="F435" s="2"/>
      <c r="BS435" s="2"/>
      <c r="BT435" s="3"/>
      <c r="CF435" s="2"/>
    </row>
    <row r="436" spans="6:84" x14ac:dyDescent="0.25">
      <c r="F436" s="2"/>
    </row>
    <row r="437" spans="6:84" x14ac:dyDescent="0.25">
      <c r="F437" s="2"/>
      <c r="BS437" s="2"/>
      <c r="BT437" s="3"/>
      <c r="CF437" s="2"/>
    </row>
    <row r="438" spans="6:84" x14ac:dyDescent="0.25">
      <c r="F438" s="2"/>
      <c r="BS438" s="2"/>
      <c r="BT438" s="3"/>
      <c r="CF438" s="2"/>
    </row>
    <row r="439" spans="6:84" x14ac:dyDescent="0.25">
      <c r="F439" s="2"/>
      <c r="BS439" s="2"/>
      <c r="BT439" s="3"/>
    </row>
    <row r="440" spans="6:84" x14ac:dyDescent="0.25">
      <c r="F440" s="2"/>
      <c r="BS440" s="2"/>
      <c r="BT440" s="3"/>
      <c r="CF440" s="2"/>
    </row>
    <row r="441" spans="6:84" x14ac:dyDescent="0.25">
      <c r="F441" s="2"/>
      <c r="BS441" s="2"/>
      <c r="BT441" s="3"/>
      <c r="CF441" s="2"/>
    </row>
    <row r="442" spans="6:84" x14ac:dyDescent="0.25">
      <c r="F442" s="2"/>
    </row>
    <row r="443" spans="6:84" x14ac:dyDescent="0.25">
      <c r="F443" s="2"/>
      <c r="BS443" s="2"/>
      <c r="BT443" s="3"/>
      <c r="CF443" s="2"/>
    </row>
    <row r="444" spans="6:84" x14ac:dyDescent="0.25">
      <c r="F444" s="2"/>
      <c r="BS444" s="2"/>
      <c r="BT444" s="3"/>
      <c r="CF444" s="2"/>
    </row>
    <row r="445" spans="6:84" x14ac:dyDescent="0.25">
      <c r="F445" s="2"/>
      <c r="BS445" s="2"/>
      <c r="BT445" s="3"/>
      <c r="CF445" s="2"/>
    </row>
    <row r="446" spans="6:84" x14ac:dyDescent="0.25">
      <c r="F446" s="2"/>
      <c r="BS446" s="2"/>
      <c r="BT446" s="3"/>
      <c r="CF446" s="2"/>
    </row>
    <row r="447" spans="6:84" x14ac:dyDescent="0.25">
      <c r="F447" s="2"/>
      <c r="BS447" s="2"/>
      <c r="BT447" s="3"/>
      <c r="CF447" s="2"/>
    </row>
    <row r="448" spans="6:84" x14ac:dyDescent="0.25">
      <c r="F448" s="2"/>
      <c r="BS448" s="2"/>
      <c r="BT448" s="3"/>
      <c r="CF448" s="2"/>
    </row>
    <row r="449" spans="6:84" x14ac:dyDescent="0.25">
      <c r="F449" s="2"/>
      <c r="BS449" s="2"/>
      <c r="BT449" s="3"/>
      <c r="CF449" s="2"/>
    </row>
    <row r="450" spans="6:84" x14ac:dyDescent="0.25">
      <c r="F450" s="2"/>
      <c r="BS450" s="2"/>
      <c r="BT450" s="3"/>
      <c r="CF450" s="2"/>
    </row>
    <row r="451" spans="6:84" x14ac:dyDescent="0.25">
      <c r="F451" s="2"/>
      <c r="BS451" s="2"/>
      <c r="BT451" s="3"/>
      <c r="CF451" s="2"/>
    </row>
    <row r="452" spans="6:84" x14ac:dyDescent="0.25">
      <c r="F452" s="2"/>
      <c r="BS452" s="2"/>
      <c r="BT452" s="3"/>
      <c r="CF452" s="2"/>
    </row>
    <row r="453" spans="6:84" x14ac:dyDescent="0.25">
      <c r="F453" s="2"/>
      <c r="BS453" s="2"/>
      <c r="BT453" s="3"/>
      <c r="CF453" s="2"/>
    </row>
    <row r="454" spans="6:84" x14ac:dyDescent="0.25">
      <c r="F454" s="2"/>
      <c r="BS454" s="2"/>
      <c r="BT454" s="3"/>
      <c r="CF454" s="2"/>
    </row>
    <row r="455" spans="6:84" x14ac:dyDescent="0.25">
      <c r="F455" s="2"/>
      <c r="BS455" s="2"/>
      <c r="BT455" s="3"/>
      <c r="CF455" s="2"/>
    </row>
    <row r="456" spans="6:84" x14ac:dyDescent="0.25">
      <c r="F456" s="2"/>
      <c r="BS456" s="2"/>
      <c r="BT456" s="3"/>
      <c r="CF456" s="2"/>
    </row>
    <row r="457" spans="6:84" x14ac:dyDescent="0.25">
      <c r="F457" s="2"/>
      <c r="BS457" s="2"/>
      <c r="BT457" s="3"/>
      <c r="CF457" s="2"/>
    </row>
    <row r="458" spans="6:84" x14ac:dyDescent="0.25">
      <c r="F458" s="2"/>
      <c r="BS458" s="2"/>
      <c r="BT458" s="3"/>
      <c r="CF458" s="2"/>
    </row>
    <row r="459" spans="6:84" x14ac:dyDescent="0.25">
      <c r="F459" s="2"/>
      <c r="BS459" s="2"/>
      <c r="BT459" s="3"/>
      <c r="CF459" s="2"/>
    </row>
    <row r="460" spans="6:84" x14ac:dyDescent="0.25">
      <c r="F460" s="2"/>
      <c r="BS460" s="2"/>
      <c r="BT460" s="3"/>
      <c r="CF460" s="2"/>
    </row>
    <row r="461" spans="6:84" x14ac:dyDescent="0.25">
      <c r="F461" s="2"/>
      <c r="BS461" s="2"/>
      <c r="BT461" s="3"/>
      <c r="CF461" s="2"/>
    </row>
    <row r="462" spans="6:84" x14ac:dyDescent="0.25">
      <c r="F462" s="2"/>
      <c r="BS462" s="2"/>
      <c r="BT462" s="3"/>
      <c r="CF462" s="2"/>
    </row>
    <row r="463" spans="6:84" x14ac:dyDescent="0.25">
      <c r="F463" s="2"/>
      <c r="BS463" s="2"/>
      <c r="BT463" s="3"/>
      <c r="CF463" s="2"/>
    </row>
    <row r="464" spans="6:84" x14ac:dyDescent="0.25">
      <c r="F464" s="2"/>
      <c r="BS464" s="2"/>
      <c r="BT464" s="3"/>
      <c r="CF464" s="2"/>
    </row>
    <row r="465" spans="6:84" x14ac:dyDescent="0.25">
      <c r="F465" s="2"/>
      <c r="BS465" s="2"/>
      <c r="BT465" s="3"/>
      <c r="CF465" s="2"/>
    </row>
    <row r="466" spans="6:84" x14ac:dyDescent="0.25">
      <c r="F466" s="2"/>
      <c r="BS466" s="2"/>
      <c r="BT466" s="3"/>
      <c r="CF466" s="2"/>
    </row>
    <row r="467" spans="6:84" x14ac:dyDescent="0.25">
      <c r="F467" s="2"/>
      <c r="BS467" s="2"/>
      <c r="BT467" s="3"/>
      <c r="CF467" s="2"/>
    </row>
    <row r="468" spans="6:84" x14ac:dyDescent="0.25">
      <c r="F468" s="2"/>
      <c r="BS468" s="2"/>
      <c r="BT468" s="3"/>
      <c r="CF468" s="2"/>
    </row>
    <row r="469" spans="6:84" x14ac:dyDescent="0.25">
      <c r="F469" s="2"/>
      <c r="BS469" s="2"/>
      <c r="BT469" s="3"/>
      <c r="CF469" s="2"/>
    </row>
    <row r="470" spans="6:84" x14ac:dyDescent="0.25">
      <c r="F470" s="2"/>
      <c r="BS470" s="2"/>
      <c r="BT470" s="3"/>
      <c r="CF470" s="2"/>
    </row>
    <row r="471" spans="6:84" x14ac:dyDescent="0.25">
      <c r="F471" s="2"/>
      <c r="BS471" s="2"/>
      <c r="BT471" s="3"/>
      <c r="CF471" s="2"/>
    </row>
    <row r="472" spans="6:84" x14ac:dyDescent="0.25">
      <c r="F472" s="2"/>
      <c r="BS472" s="2"/>
      <c r="BT472" s="3"/>
      <c r="CF472" s="2"/>
    </row>
    <row r="473" spans="6:84" x14ac:dyDescent="0.25">
      <c r="F473" s="2"/>
      <c r="BS473" s="2"/>
      <c r="BT473" s="3"/>
      <c r="CF473" s="2"/>
    </row>
    <row r="474" spans="6:84" x14ac:dyDescent="0.25">
      <c r="F474" s="2"/>
      <c r="BS474" s="2"/>
      <c r="BT474" s="3"/>
      <c r="CF474" s="2"/>
    </row>
    <row r="475" spans="6:84" x14ac:dyDescent="0.25">
      <c r="F475" s="2"/>
      <c r="BS475" s="2"/>
      <c r="BT475" s="3"/>
      <c r="CF475" s="2"/>
    </row>
    <row r="476" spans="6:84" x14ac:dyDescent="0.25">
      <c r="F476" s="2"/>
      <c r="BS476" s="2"/>
      <c r="BT476" s="3"/>
      <c r="CF476" s="2"/>
    </row>
    <row r="477" spans="6:84" x14ac:dyDescent="0.25">
      <c r="F477" s="2"/>
      <c r="BS477" s="2"/>
      <c r="BT477" s="3"/>
      <c r="CF477" s="2"/>
    </row>
    <row r="478" spans="6:84" x14ac:dyDescent="0.25">
      <c r="F478" s="2"/>
      <c r="BS478" s="2"/>
      <c r="BT478" s="3"/>
      <c r="CF478" s="2"/>
    </row>
    <row r="479" spans="6:84" x14ac:dyDescent="0.25">
      <c r="F479" s="2"/>
      <c r="BS479" s="2"/>
      <c r="BT479" s="3"/>
      <c r="CF479" s="2"/>
    </row>
    <row r="480" spans="6:84" x14ac:dyDescent="0.25">
      <c r="F480" s="2"/>
      <c r="BS480" s="2"/>
      <c r="BT480" s="3"/>
      <c r="CF480" s="2"/>
    </row>
    <row r="481" spans="6:84" x14ac:dyDescent="0.25">
      <c r="F481" s="2"/>
      <c r="BS481" s="2"/>
      <c r="BT481" s="3"/>
      <c r="CF481" s="2"/>
    </row>
    <row r="482" spans="6:84" x14ac:dyDescent="0.25">
      <c r="F482" s="2"/>
      <c r="BS482" s="2"/>
      <c r="BT482" s="3"/>
      <c r="CF482" s="2"/>
    </row>
    <row r="483" spans="6:84" x14ac:dyDescent="0.25">
      <c r="F483" s="2"/>
      <c r="BS483" s="2"/>
      <c r="BT483" s="3"/>
      <c r="CF483" s="2"/>
    </row>
    <row r="484" spans="6:84" x14ac:dyDescent="0.25">
      <c r="F484" s="2"/>
      <c r="BS484" s="2"/>
      <c r="BT484" s="3"/>
      <c r="CF484" s="2"/>
    </row>
    <row r="485" spans="6:84" x14ac:dyDescent="0.25">
      <c r="F485" s="2"/>
      <c r="BS485" s="2"/>
      <c r="BT485" s="3"/>
      <c r="CF485" s="2"/>
    </row>
    <row r="486" spans="6:84" x14ac:dyDescent="0.25">
      <c r="F486" s="2"/>
      <c r="BS486" s="2"/>
      <c r="BT486" s="3"/>
      <c r="CF486" s="2"/>
    </row>
    <row r="487" spans="6:84" x14ac:dyDescent="0.25">
      <c r="F487" s="2"/>
      <c r="BS487" s="2"/>
      <c r="BT487" s="3"/>
      <c r="CF487" s="2"/>
    </row>
    <row r="488" spans="6:84" x14ac:dyDescent="0.25">
      <c r="F488" s="2"/>
      <c r="BS488" s="2"/>
      <c r="BT488" s="3"/>
      <c r="CF488" s="2"/>
    </row>
    <row r="489" spans="6:84" x14ac:dyDescent="0.25">
      <c r="F489" s="2"/>
      <c r="BS489" s="2"/>
      <c r="BT489" s="3"/>
      <c r="CF489" s="2"/>
    </row>
    <row r="490" spans="6:84" x14ac:dyDescent="0.25">
      <c r="F490" s="2"/>
      <c r="BS490" s="2"/>
      <c r="BT490" s="3"/>
      <c r="CF490" s="2"/>
    </row>
    <row r="491" spans="6:84" x14ac:dyDescent="0.25">
      <c r="F491" s="2"/>
      <c r="BS491" s="2"/>
      <c r="BT491" s="3"/>
      <c r="CF491" s="2"/>
    </row>
    <row r="492" spans="6:84" x14ac:dyDescent="0.25">
      <c r="F492" s="2"/>
      <c r="BS492" s="2"/>
      <c r="BT492" s="3"/>
      <c r="CF492" s="2"/>
    </row>
    <row r="493" spans="6:84" x14ac:dyDescent="0.25">
      <c r="F493" s="2"/>
      <c r="BS493" s="2"/>
      <c r="BT493" s="3"/>
      <c r="CF493" s="2"/>
    </row>
    <row r="494" spans="6:84" x14ac:dyDescent="0.25">
      <c r="F494" s="2"/>
      <c r="BS494" s="2"/>
      <c r="BT494" s="3"/>
      <c r="CF494" s="2"/>
    </row>
    <row r="495" spans="6:84" x14ac:dyDescent="0.25">
      <c r="F495" s="2"/>
      <c r="BS495" s="2"/>
      <c r="BT495" s="3"/>
      <c r="CF495" s="2"/>
    </row>
    <row r="496" spans="6:84" x14ac:dyDescent="0.25">
      <c r="F496" s="2"/>
      <c r="BS496" s="2"/>
      <c r="BT496" s="3"/>
      <c r="CF496" s="2"/>
    </row>
    <row r="497" spans="6:84" x14ac:dyDescent="0.25">
      <c r="F497" s="2"/>
      <c r="BS497" s="2"/>
      <c r="BT497" s="3"/>
      <c r="CF497" s="2"/>
    </row>
    <row r="498" spans="6:84" x14ac:dyDescent="0.25">
      <c r="F498" s="2"/>
      <c r="BS498" s="2"/>
      <c r="BT498" s="3"/>
      <c r="CF498" s="2"/>
    </row>
    <row r="499" spans="6:84" x14ac:dyDescent="0.25">
      <c r="F499" s="2"/>
      <c r="BS499" s="2"/>
      <c r="BT499" s="3"/>
      <c r="CF499" s="2"/>
    </row>
    <row r="500" spans="6:84" x14ac:dyDescent="0.25">
      <c r="F500" s="2"/>
      <c r="BS500" s="2"/>
      <c r="BT500" s="3"/>
      <c r="CF500" s="2"/>
    </row>
    <row r="501" spans="6:84" x14ac:dyDescent="0.25">
      <c r="F501" s="2"/>
      <c r="BS501" s="2"/>
      <c r="BT501" s="3"/>
      <c r="CF501" s="2"/>
    </row>
    <row r="502" spans="6:84" x14ac:dyDescent="0.25">
      <c r="F502" s="2"/>
      <c r="BS502" s="2"/>
      <c r="BT502" s="3"/>
      <c r="CF502" s="2"/>
    </row>
    <row r="503" spans="6:84" x14ac:dyDescent="0.25">
      <c r="F503" s="2"/>
      <c r="BS503" s="2"/>
      <c r="BT503" s="3"/>
      <c r="CF503" s="2"/>
    </row>
    <row r="504" spans="6:84" x14ac:dyDescent="0.25">
      <c r="F504" s="2"/>
      <c r="BS504" s="2"/>
      <c r="BT504" s="3"/>
      <c r="CF504" s="2"/>
    </row>
    <row r="505" spans="6:84" x14ac:dyDescent="0.25">
      <c r="F505" s="2"/>
      <c r="BS505" s="2"/>
      <c r="BT505" s="3"/>
      <c r="CF505" s="2"/>
    </row>
    <row r="506" spans="6:84" x14ac:dyDescent="0.25">
      <c r="F506" s="2"/>
      <c r="BS506" s="2"/>
      <c r="BT506" s="3"/>
      <c r="CF506" s="2"/>
    </row>
    <row r="507" spans="6:84" x14ac:dyDescent="0.25">
      <c r="F507" s="2"/>
      <c r="BS507" s="2"/>
      <c r="BT507" s="3"/>
      <c r="CF507" s="2"/>
    </row>
    <row r="508" spans="6:84" x14ac:dyDescent="0.25">
      <c r="F508" s="2"/>
      <c r="BS508" s="2"/>
      <c r="BT508" s="3"/>
      <c r="CF508" s="2"/>
    </row>
    <row r="509" spans="6:84" x14ac:dyDescent="0.25">
      <c r="F509" s="2"/>
      <c r="BS509" s="2"/>
      <c r="BT509" s="3"/>
      <c r="CF509" s="2"/>
    </row>
    <row r="510" spans="6:84" x14ac:dyDescent="0.25">
      <c r="F510" s="2"/>
      <c r="BS510" s="2"/>
      <c r="BT510" s="3"/>
      <c r="CF510" s="2"/>
    </row>
    <row r="511" spans="6:84" x14ac:dyDescent="0.25">
      <c r="F511" s="2"/>
      <c r="BS511" s="2"/>
      <c r="BT511" s="3"/>
      <c r="CF511" s="2"/>
    </row>
    <row r="512" spans="6:84" x14ac:dyDescent="0.25">
      <c r="F512" s="2"/>
      <c r="BS512" s="2"/>
      <c r="BT512" s="3"/>
      <c r="CF512" s="2"/>
    </row>
    <row r="513" spans="6:91" x14ac:dyDescent="0.25">
      <c r="F513" s="2"/>
      <c r="BS513" s="2"/>
      <c r="BT513" s="3"/>
      <c r="CF513" s="2"/>
    </row>
    <row r="514" spans="6:91" x14ac:dyDescent="0.25">
      <c r="F514" s="2"/>
      <c r="BS514" s="2"/>
      <c r="BT514" s="3"/>
      <c r="CF514" s="2"/>
    </row>
    <row r="515" spans="6:91" x14ac:dyDescent="0.25">
      <c r="F515" s="2"/>
      <c r="BS515" s="2"/>
      <c r="BT515" s="3"/>
      <c r="CF515" s="2"/>
    </row>
    <row r="516" spans="6:91" x14ac:dyDescent="0.25">
      <c r="F516" s="2"/>
      <c r="BS516" s="2"/>
      <c r="BT516" s="3"/>
      <c r="CF516" s="2"/>
    </row>
    <row r="517" spans="6:91" x14ac:dyDescent="0.25">
      <c r="F517" s="2"/>
      <c r="BS517" s="2"/>
      <c r="BT517" s="3"/>
      <c r="CF517" s="2"/>
    </row>
    <row r="518" spans="6:91" x14ac:dyDescent="0.25">
      <c r="F518" s="2"/>
      <c r="BS518" s="2"/>
      <c r="BT518" s="3"/>
      <c r="CF518" s="2"/>
    </row>
    <row r="519" spans="6:91" x14ac:dyDescent="0.25">
      <c r="F519" s="2"/>
      <c r="BS519" s="2"/>
      <c r="BT519" s="3"/>
      <c r="CF519" s="2"/>
    </row>
    <row r="520" spans="6:91" x14ac:dyDescent="0.25">
      <c r="F520" s="2"/>
      <c r="BS520" s="2"/>
      <c r="BT520" s="3"/>
      <c r="CF520" s="2"/>
    </row>
    <row r="521" spans="6:91" x14ac:dyDescent="0.25">
      <c r="F521" s="2"/>
      <c r="BS521" s="2"/>
      <c r="BT521" s="3"/>
      <c r="CF521" s="2"/>
    </row>
    <row r="522" spans="6:91" x14ac:dyDescent="0.25">
      <c r="F522" s="2"/>
      <c r="BS522" s="2"/>
      <c r="BT522" s="3"/>
      <c r="CF522" s="2"/>
    </row>
    <row r="523" spans="6:91" x14ac:dyDescent="0.25">
      <c r="F523" s="2"/>
      <c r="BS523" s="2"/>
      <c r="BT523" s="3"/>
      <c r="CF523" s="2"/>
    </row>
    <row r="524" spans="6:91" x14ac:dyDescent="0.25">
      <c r="F524" s="2"/>
      <c r="BS524" s="2"/>
      <c r="BT524" s="3"/>
      <c r="CF524" s="2"/>
      <c r="CM524" s="3"/>
    </row>
    <row r="525" spans="6:91" x14ac:dyDescent="0.25">
      <c r="F525" s="2"/>
      <c r="BS525" s="2"/>
      <c r="BT525" s="3"/>
      <c r="CF525" s="2"/>
    </row>
    <row r="526" spans="6:91" x14ac:dyDescent="0.25">
      <c r="F526" s="2"/>
      <c r="BS526" s="2"/>
      <c r="BT526" s="3"/>
      <c r="CF526" s="2"/>
    </row>
    <row r="527" spans="6:91" x14ac:dyDescent="0.25">
      <c r="F527" s="2"/>
    </row>
    <row r="528" spans="6:91" x14ac:dyDescent="0.25">
      <c r="F528" s="2"/>
      <c r="BS528" s="2"/>
      <c r="BT528" s="3"/>
      <c r="CF528" s="2"/>
    </row>
    <row r="529" spans="6:84" x14ac:dyDescent="0.25">
      <c r="F529" s="2"/>
    </row>
    <row r="530" spans="6:84" x14ac:dyDescent="0.25">
      <c r="F530" s="2"/>
      <c r="BS530" s="2"/>
      <c r="BT530" s="3"/>
      <c r="CF530" s="2"/>
    </row>
    <row r="531" spans="6:84" x14ac:dyDescent="0.25">
      <c r="F531" s="2"/>
      <c r="BS531" s="2"/>
      <c r="BT531" s="3"/>
      <c r="CF531" s="2"/>
    </row>
    <row r="532" spans="6:84" x14ac:dyDescent="0.25">
      <c r="F532" s="2"/>
    </row>
    <row r="533" spans="6:84" x14ac:dyDescent="0.25">
      <c r="F533" s="2"/>
    </row>
    <row r="534" spans="6:84" x14ac:dyDescent="0.25">
      <c r="F534" s="2"/>
      <c r="BS534" s="2"/>
      <c r="BT534" s="3"/>
      <c r="CF534" s="2"/>
    </row>
    <row r="535" spans="6:84" x14ac:dyDescent="0.25">
      <c r="F535" s="2"/>
      <c r="BS535" s="2"/>
      <c r="BT535" s="3"/>
      <c r="CF535" s="2"/>
    </row>
    <row r="536" spans="6:84" x14ac:dyDescent="0.25">
      <c r="F536" s="2"/>
      <c r="BS536" s="2"/>
      <c r="BT536" s="3"/>
      <c r="CF536" s="2"/>
    </row>
    <row r="537" spans="6:84" x14ac:dyDescent="0.25">
      <c r="F537" s="2"/>
      <c r="BS537" s="2"/>
      <c r="BT537" s="3"/>
      <c r="CF537" s="2"/>
    </row>
    <row r="538" spans="6:84" x14ac:dyDescent="0.25">
      <c r="F538" s="2"/>
      <c r="BS538" s="2"/>
      <c r="BT538" s="3"/>
      <c r="CF538" s="2"/>
    </row>
    <row r="539" spans="6:84" x14ac:dyDescent="0.25">
      <c r="F539" s="2"/>
      <c r="BS539" s="2"/>
      <c r="BT539" s="3"/>
      <c r="CF539" s="2"/>
    </row>
    <row r="540" spans="6:84" x14ac:dyDescent="0.25">
      <c r="F540" s="2"/>
      <c r="BS540" s="2"/>
      <c r="BT540" s="3"/>
      <c r="CF540" s="2"/>
    </row>
    <row r="541" spans="6:84" x14ac:dyDescent="0.25">
      <c r="F541" s="2"/>
      <c r="BS541" s="2"/>
      <c r="BT541" s="3"/>
      <c r="CF541" s="2"/>
    </row>
    <row r="542" spans="6:84" x14ac:dyDescent="0.25">
      <c r="F542" s="2"/>
      <c r="BS542" s="2"/>
      <c r="BT542" s="3"/>
      <c r="CF542" s="2"/>
    </row>
    <row r="543" spans="6:84" x14ac:dyDescent="0.25">
      <c r="F543" s="2"/>
      <c r="BS543" s="2"/>
      <c r="BT543" s="3"/>
      <c r="CF543" s="2"/>
    </row>
    <row r="544" spans="6:84" x14ac:dyDescent="0.25">
      <c r="F544" s="2"/>
      <c r="BS544" s="2"/>
      <c r="BT544" s="3"/>
      <c r="CF544" s="2"/>
    </row>
    <row r="545" spans="6:84" x14ac:dyDescent="0.25">
      <c r="F545" s="2"/>
      <c r="BS545" s="2"/>
      <c r="BT545" s="3"/>
      <c r="CF545" s="2"/>
    </row>
    <row r="546" spans="6:84" x14ac:dyDescent="0.25">
      <c r="F546" s="2"/>
      <c r="BS546" s="2"/>
      <c r="BT546" s="3"/>
      <c r="CF546" s="2"/>
    </row>
    <row r="547" spans="6:84" x14ac:dyDescent="0.25">
      <c r="F547" s="2"/>
      <c r="BS547" s="2"/>
      <c r="BT547" s="3"/>
      <c r="CF547" s="2"/>
    </row>
    <row r="548" spans="6:84" x14ac:dyDescent="0.25">
      <c r="F548" s="2"/>
      <c r="BS548" s="2"/>
      <c r="BT548" s="3"/>
      <c r="CF548" s="2"/>
    </row>
    <row r="549" spans="6:84" x14ac:dyDescent="0.25">
      <c r="F549" s="2"/>
      <c r="BS549" s="2"/>
      <c r="BT549" s="3"/>
      <c r="CF549" s="2"/>
    </row>
    <row r="550" spans="6:84" x14ac:dyDescent="0.25">
      <c r="F550" s="2"/>
      <c r="BS550" s="2"/>
      <c r="BT550" s="3"/>
      <c r="CF550" s="2"/>
    </row>
    <row r="551" spans="6:84" x14ac:dyDescent="0.25">
      <c r="F551" s="2"/>
      <c r="BS551" s="2"/>
      <c r="BT551" s="3"/>
      <c r="CF551" s="2"/>
    </row>
    <row r="552" spans="6:84" x14ac:dyDescent="0.25">
      <c r="F552" s="2"/>
      <c r="BS552" s="2"/>
      <c r="BT552" s="3"/>
      <c r="CF552" s="2"/>
    </row>
    <row r="553" spans="6:84" x14ac:dyDescent="0.25">
      <c r="F553" s="2"/>
      <c r="BS553" s="2"/>
      <c r="BT553" s="3"/>
      <c r="CF553" s="2"/>
    </row>
    <row r="554" spans="6:84" x14ac:dyDescent="0.25">
      <c r="F554" s="2"/>
      <c r="BS554" s="2"/>
      <c r="BT554" s="3"/>
      <c r="CF554" s="2"/>
    </row>
    <row r="555" spans="6:84" x14ac:dyDescent="0.25">
      <c r="F555" s="2"/>
      <c r="BS555" s="2"/>
      <c r="BT555" s="3"/>
      <c r="CF555" s="2"/>
    </row>
    <row r="556" spans="6:84" x14ac:dyDescent="0.25">
      <c r="F556" s="2"/>
      <c r="BS556" s="2"/>
      <c r="BT556" s="3"/>
      <c r="CF556" s="2"/>
    </row>
    <row r="557" spans="6:84" x14ac:dyDescent="0.25">
      <c r="F557" s="2"/>
      <c r="BS557" s="2"/>
      <c r="BT557" s="3"/>
      <c r="CF557" s="2"/>
    </row>
    <row r="558" spans="6:84" x14ac:dyDescent="0.25">
      <c r="F558" s="2"/>
      <c r="BS558" s="2"/>
      <c r="BT558" s="3"/>
      <c r="CF558" s="2"/>
    </row>
    <row r="559" spans="6:84" x14ac:dyDescent="0.25">
      <c r="F559" s="2"/>
      <c r="BS559" s="2"/>
      <c r="BT559" s="3"/>
      <c r="CF559" s="2"/>
    </row>
    <row r="560" spans="6:84" x14ac:dyDescent="0.25">
      <c r="F560" s="2"/>
      <c r="BS560" s="2"/>
      <c r="BT560" s="3"/>
      <c r="CF560" s="2"/>
    </row>
    <row r="561" spans="6:84" x14ac:dyDescent="0.25">
      <c r="F561" s="2"/>
      <c r="BS561" s="2"/>
      <c r="BT561" s="3"/>
      <c r="CF561" s="2"/>
    </row>
    <row r="562" spans="6:84" x14ac:dyDescent="0.25">
      <c r="F562" s="2"/>
      <c r="BS562" s="2"/>
      <c r="BT562" s="3"/>
      <c r="CF562" s="2"/>
    </row>
    <row r="563" spans="6:84" x14ac:dyDescent="0.25">
      <c r="F563" s="2"/>
      <c r="BS563" s="2"/>
      <c r="BT563" s="3"/>
      <c r="CF563" s="2"/>
    </row>
    <row r="564" spans="6:84" x14ac:dyDescent="0.25">
      <c r="F564" s="2"/>
      <c r="BS564" s="2"/>
      <c r="BT564" s="3"/>
      <c r="CF564" s="2"/>
    </row>
    <row r="565" spans="6:84" x14ac:dyDescent="0.25">
      <c r="F565" s="2"/>
      <c r="BS565" s="2"/>
      <c r="BT565" s="3"/>
      <c r="CF565" s="2"/>
    </row>
    <row r="566" spans="6:84" x14ac:dyDescent="0.25">
      <c r="F566" s="2"/>
      <c r="BS566" s="2"/>
      <c r="BT566" s="3"/>
      <c r="CF566" s="2"/>
    </row>
    <row r="567" spans="6:84" x14ac:dyDescent="0.25">
      <c r="F567" s="2"/>
      <c r="BS567" s="2"/>
      <c r="BT567" s="3"/>
      <c r="CF567" s="2"/>
    </row>
    <row r="568" spans="6:84" x14ac:dyDescent="0.25">
      <c r="F568" s="2"/>
      <c r="BS568" s="2"/>
      <c r="BT568" s="3"/>
      <c r="CF568" s="2"/>
    </row>
    <row r="569" spans="6:84" x14ac:dyDescent="0.25">
      <c r="F569" s="2"/>
      <c r="BS569" s="2"/>
      <c r="BT569" s="3"/>
      <c r="CF569" s="2"/>
    </row>
    <row r="570" spans="6:84" x14ac:dyDescent="0.25">
      <c r="F570" s="2"/>
      <c r="BS570" s="2"/>
      <c r="BT570" s="3"/>
      <c r="CF570" s="2"/>
    </row>
    <row r="571" spans="6:84" x14ac:dyDescent="0.25">
      <c r="F571" s="2"/>
      <c r="BS571" s="2"/>
      <c r="BT571" s="3"/>
      <c r="CF571" s="2"/>
    </row>
    <row r="572" spans="6:84" x14ac:dyDescent="0.25">
      <c r="F572" s="2"/>
      <c r="BS572" s="2"/>
      <c r="BT572" s="3"/>
      <c r="CF572" s="2"/>
    </row>
    <row r="573" spans="6:84" x14ac:dyDescent="0.25">
      <c r="F573" s="2"/>
      <c r="BS573" s="2"/>
      <c r="BT573" s="3"/>
      <c r="CF573" s="2"/>
    </row>
    <row r="574" spans="6:84" x14ac:dyDescent="0.25">
      <c r="F574" s="2"/>
      <c r="BS574" s="2"/>
      <c r="BT574" s="3"/>
      <c r="CF574" s="2"/>
    </row>
    <row r="575" spans="6:84" x14ac:dyDescent="0.25">
      <c r="F575" s="2"/>
      <c r="BS575" s="2"/>
      <c r="BT575" s="3"/>
      <c r="CF575" s="2"/>
    </row>
    <row r="576" spans="6:84" x14ac:dyDescent="0.25">
      <c r="F576" s="2"/>
      <c r="BS576" s="2"/>
      <c r="BT576" s="3"/>
      <c r="CF576" s="2"/>
    </row>
    <row r="577" spans="6:84" x14ac:dyDescent="0.25">
      <c r="F577" s="2"/>
      <c r="BS577" s="2"/>
      <c r="BT577" s="3"/>
      <c r="CF577" s="2"/>
    </row>
    <row r="578" spans="6:84" x14ac:dyDescent="0.25">
      <c r="F578" s="2"/>
      <c r="BS578" s="2"/>
      <c r="BT578" s="3"/>
      <c r="CF578" s="2"/>
    </row>
    <row r="579" spans="6:84" x14ac:dyDescent="0.25">
      <c r="F579" s="2"/>
      <c r="BS579" s="2"/>
      <c r="BT579" s="3"/>
      <c r="CF579" s="2"/>
    </row>
    <row r="580" spans="6:84" x14ac:dyDescent="0.25">
      <c r="F580" s="2"/>
      <c r="BS580" s="2"/>
      <c r="BT580" s="3"/>
      <c r="CF580" s="2"/>
    </row>
    <row r="581" spans="6:84" x14ac:dyDescent="0.25">
      <c r="F581" s="2"/>
      <c r="BS581" s="2"/>
      <c r="BT581" s="3"/>
      <c r="CF581" s="2"/>
    </row>
    <row r="582" spans="6:84" x14ac:dyDescent="0.25">
      <c r="F582" s="2"/>
      <c r="BS582" s="2"/>
      <c r="BT582" s="3"/>
      <c r="CF582" s="2"/>
    </row>
    <row r="583" spans="6:84" x14ac:dyDescent="0.25">
      <c r="F583" s="2"/>
      <c r="BS583" s="2"/>
      <c r="BT583" s="3"/>
      <c r="CF583" s="2"/>
    </row>
    <row r="584" spans="6:84" x14ac:dyDescent="0.25">
      <c r="F584" s="2"/>
      <c r="BS584" s="2"/>
      <c r="BT584" s="3"/>
      <c r="CF584" s="2"/>
    </row>
    <row r="585" spans="6:84" x14ac:dyDescent="0.25">
      <c r="F585" s="2"/>
      <c r="BS585" s="2"/>
      <c r="BT585" s="3"/>
      <c r="CF585" s="2"/>
    </row>
    <row r="586" spans="6:84" x14ac:dyDescent="0.25">
      <c r="F586" s="2"/>
      <c r="BS586" s="2"/>
      <c r="BT586" s="3"/>
      <c r="CF586" s="2"/>
    </row>
    <row r="587" spans="6:84" x14ac:dyDescent="0.25">
      <c r="F587" s="2"/>
      <c r="BS587" s="2"/>
      <c r="BT587" s="3"/>
      <c r="CF587" s="2"/>
    </row>
    <row r="588" spans="6:84" x14ac:dyDescent="0.25">
      <c r="F588" s="2"/>
      <c r="BS588" s="2"/>
      <c r="BT588" s="3"/>
      <c r="CF588" s="2"/>
    </row>
    <row r="589" spans="6:84" x14ac:dyDescent="0.25">
      <c r="F589" s="2"/>
      <c r="BS589" s="2"/>
      <c r="BT589" s="3"/>
      <c r="CF589" s="2"/>
    </row>
    <row r="590" spans="6:84" x14ac:dyDescent="0.25">
      <c r="F590" s="2"/>
      <c r="BS590" s="2"/>
      <c r="BT590" s="3"/>
      <c r="CF590" s="2"/>
    </row>
    <row r="591" spans="6:84" x14ac:dyDescent="0.25">
      <c r="F591" s="2"/>
      <c r="BS591" s="2"/>
      <c r="BT591" s="3"/>
      <c r="CF591" s="2"/>
    </row>
    <row r="592" spans="6:84" x14ac:dyDescent="0.25">
      <c r="F592" s="2"/>
      <c r="BS592" s="2"/>
      <c r="BT592" s="3"/>
      <c r="CF592" s="2"/>
    </row>
    <row r="593" spans="6:84" x14ac:dyDescent="0.25">
      <c r="F593" s="2"/>
      <c r="BS593" s="2"/>
      <c r="BT593" s="3"/>
      <c r="CF593" s="2"/>
    </row>
    <row r="594" spans="6:84" x14ac:dyDescent="0.25">
      <c r="F594" s="2"/>
      <c r="BS594" s="2"/>
      <c r="BT594" s="3"/>
      <c r="CF594" s="2"/>
    </row>
    <row r="595" spans="6:84" x14ac:dyDescent="0.25">
      <c r="F595" s="2"/>
      <c r="BS595" s="2"/>
      <c r="BT595" s="3"/>
      <c r="CF595" s="2"/>
    </row>
    <row r="596" spans="6:84" x14ac:dyDescent="0.25">
      <c r="F596" s="2"/>
      <c r="BS596" s="2"/>
      <c r="BT596" s="3"/>
      <c r="CF596" s="2"/>
    </row>
    <row r="597" spans="6:84" x14ac:dyDescent="0.25">
      <c r="F597" s="2"/>
      <c r="BS597" s="2"/>
      <c r="BT597" s="3"/>
      <c r="CF597" s="2"/>
    </row>
    <row r="598" spans="6:84" x14ac:dyDescent="0.25">
      <c r="F598" s="2"/>
      <c r="BS598" s="2"/>
      <c r="BT598" s="3"/>
      <c r="CF598" s="2"/>
    </row>
    <row r="599" spans="6:84" x14ac:dyDescent="0.25">
      <c r="F599" s="2"/>
      <c r="BS599" s="2"/>
      <c r="BT599" s="3"/>
      <c r="CF599" s="2"/>
    </row>
    <row r="600" spans="6:84" x14ac:dyDescent="0.25">
      <c r="F600" s="2"/>
      <c r="BS600" s="2"/>
      <c r="BT600" s="3"/>
      <c r="CF600" s="2"/>
    </row>
    <row r="601" spans="6:84" x14ac:dyDescent="0.25">
      <c r="F601" s="2"/>
      <c r="BS601" s="2"/>
      <c r="BT601" s="3"/>
      <c r="CF601" s="2"/>
    </row>
    <row r="602" spans="6:84" x14ac:dyDescent="0.25">
      <c r="F602" s="2"/>
      <c r="BS602" s="2"/>
      <c r="BT602" s="3"/>
      <c r="CF602" s="2"/>
    </row>
    <row r="603" spans="6:84" x14ac:dyDescent="0.25">
      <c r="F603" s="2"/>
      <c r="BS603" s="2"/>
      <c r="BT603" s="3"/>
      <c r="CF603" s="2"/>
    </row>
    <row r="604" spans="6:84" x14ac:dyDescent="0.25">
      <c r="F604" s="2"/>
      <c r="BS604" s="2"/>
      <c r="BT604" s="3"/>
      <c r="CF604" s="2"/>
    </row>
    <row r="605" spans="6:84" x14ac:dyDescent="0.25">
      <c r="F605" s="2"/>
      <c r="BS605" s="2"/>
      <c r="BT605" s="3"/>
      <c r="CF605" s="2"/>
    </row>
    <row r="606" spans="6:84" x14ac:dyDescent="0.25">
      <c r="F606" s="2"/>
      <c r="BS606" s="2"/>
      <c r="BT606" s="3"/>
      <c r="CF606" s="2"/>
    </row>
    <row r="607" spans="6:84" x14ac:dyDescent="0.25">
      <c r="F607" s="2"/>
      <c r="BS607" s="2"/>
      <c r="BT607" s="3"/>
      <c r="CF607" s="2"/>
    </row>
    <row r="608" spans="6:84" x14ac:dyDescent="0.25">
      <c r="F608" s="2"/>
      <c r="BS608" s="2"/>
      <c r="BT608" s="3"/>
      <c r="CF608" s="2"/>
    </row>
    <row r="609" spans="6:84" x14ac:dyDescent="0.25">
      <c r="F609" s="2"/>
      <c r="BS609" s="2"/>
      <c r="BT609" s="3"/>
      <c r="CF609" s="2"/>
    </row>
    <row r="610" spans="6:84" x14ac:dyDescent="0.25">
      <c r="F610" s="2"/>
      <c r="BS610" s="2"/>
      <c r="BT610" s="3"/>
      <c r="CF610" s="2"/>
    </row>
    <row r="611" spans="6:84" x14ac:dyDescent="0.25">
      <c r="F611" s="2"/>
      <c r="BS611" s="2"/>
      <c r="BT611" s="3"/>
      <c r="CF611" s="2"/>
    </row>
    <row r="612" spans="6:84" x14ac:dyDescent="0.25">
      <c r="F612" s="2"/>
      <c r="BS612" s="2"/>
      <c r="BT612" s="3"/>
      <c r="CF612" s="2"/>
    </row>
    <row r="613" spans="6:84" x14ac:dyDescent="0.25">
      <c r="F613" s="2"/>
      <c r="BS613" s="2"/>
      <c r="BT613" s="3"/>
      <c r="CF613" s="2"/>
    </row>
    <row r="614" spans="6:84" x14ac:dyDescent="0.25">
      <c r="F614" s="2"/>
      <c r="BS614" s="2"/>
      <c r="BT614" s="3"/>
      <c r="CF614" s="2"/>
    </row>
    <row r="615" spans="6:84" x14ac:dyDescent="0.25">
      <c r="F615" s="2"/>
      <c r="BS615" s="2"/>
      <c r="BT615" s="3"/>
      <c r="CF615" s="2"/>
    </row>
    <row r="616" spans="6:84" x14ac:dyDescent="0.25">
      <c r="F616" s="2"/>
      <c r="BS616" s="2"/>
      <c r="BT616" s="3"/>
      <c r="CF616" s="2"/>
    </row>
    <row r="617" spans="6:84" x14ac:dyDescent="0.25">
      <c r="F617" s="2"/>
      <c r="BS617" s="2"/>
      <c r="BT617" s="3"/>
      <c r="CF617" s="2"/>
    </row>
    <row r="618" spans="6:84" x14ac:dyDescent="0.25">
      <c r="F618" s="2"/>
      <c r="BS618" s="2"/>
      <c r="BT618" s="3"/>
      <c r="CF618" s="2"/>
    </row>
    <row r="619" spans="6:84" x14ac:dyDescent="0.25">
      <c r="F619" s="2"/>
      <c r="BS619" s="2"/>
      <c r="BT619" s="3"/>
      <c r="CF619" s="2"/>
    </row>
    <row r="620" spans="6:84" x14ac:dyDescent="0.25">
      <c r="F620" s="2"/>
      <c r="BS620" s="2"/>
      <c r="BT620" s="3"/>
      <c r="CF620" s="2"/>
    </row>
    <row r="621" spans="6:84" x14ac:dyDescent="0.25">
      <c r="F621" s="2"/>
      <c r="BS621" s="2"/>
      <c r="BT621" s="3"/>
      <c r="CF621" s="2"/>
    </row>
    <row r="622" spans="6:84" x14ac:dyDescent="0.25">
      <c r="F622" s="2"/>
      <c r="BS622" s="2"/>
      <c r="BT622" s="3"/>
      <c r="CF622" s="2"/>
    </row>
    <row r="623" spans="6:84" x14ac:dyDescent="0.25">
      <c r="F623" s="2"/>
      <c r="BS623" s="2"/>
      <c r="BT623" s="3"/>
      <c r="CF623" s="2"/>
    </row>
    <row r="624" spans="6:84" x14ac:dyDescent="0.25">
      <c r="F624" s="2"/>
      <c r="BS624" s="2"/>
      <c r="BT624" s="3"/>
      <c r="CF624" s="2"/>
    </row>
    <row r="625" spans="6:84" x14ac:dyDescent="0.25">
      <c r="F625" s="2"/>
      <c r="BS625" s="2"/>
      <c r="BT625" s="3"/>
      <c r="CF625" s="2"/>
    </row>
    <row r="626" spans="6:84" x14ac:dyDescent="0.25">
      <c r="F626" s="2"/>
      <c r="BS626" s="2"/>
      <c r="BT626" s="3"/>
      <c r="CF626" s="2"/>
    </row>
    <row r="627" spans="6:84" x14ac:dyDescent="0.25">
      <c r="F627" s="2"/>
      <c r="BS627" s="2"/>
      <c r="BT627" s="3"/>
      <c r="CF627" s="2"/>
    </row>
    <row r="628" spans="6:84" x14ac:dyDescent="0.25">
      <c r="F628" s="2"/>
      <c r="BS628" s="2"/>
      <c r="BT628" s="3"/>
      <c r="CF628" s="2"/>
    </row>
    <row r="629" spans="6:84" x14ac:dyDescent="0.25">
      <c r="F629" s="2"/>
      <c r="BS629" s="2"/>
      <c r="BT629" s="3"/>
      <c r="CF629" s="2"/>
    </row>
    <row r="630" spans="6:84" x14ac:dyDescent="0.25">
      <c r="F630" s="2"/>
      <c r="BS630" s="2"/>
      <c r="BT630" s="3"/>
      <c r="CF630" s="2"/>
    </row>
    <row r="631" spans="6:84" x14ac:dyDescent="0.25">
      <c r="F631" s="2"/>
      <c r="BS631" s="2"/>
      <c r="BT631" s="3"/>
      <c r="CF631" s="2"/>
    </row>
    <row r="632" spans="6:84" x14ac:dyDescent="0.25">
      <c r="F632" s="2"/>
      <c r="BS632" s="2"/>
      <c r="BT632" s="3"/>
      <c r="CF632" s="2"/>
    </row>
    <row r="633" spans="6:84" x14ac:dyDescent="0.25">
      <c r="F633" s="2"/>
      <c r="BS633" s="2"/>
      <c r="BT633" s="3"/>
      <c r="CF633" s="2"/>
    </row>
    <row r="634" spans="6:84" x14ac:dyDescent="0.25">
      <c r="F634" s="2"/>
      <c r="BS634" s="2"/>
      <c r="BT634" s="3"/>
      <c r="CF634" s="2"/>
    </row>
    <row r="635" spans="6:84" x14ac:dyDescent="0.25">
      <c r="F635" s="2"/>
      <c r="BS635" s="2"/>
      <c r="BT635" s="3"/>
      <c r="CF635" s="2"/>
    </row>
    <row r="636" spans="6:84" x14ac:dyDescent="0.25">
      <c r="F636" s="2"/>
      <c r="BS636" s="2"/>
      <c r="BT636" s="3"/>
      <c r="CF636" s="2"/>
    </row>
    <row r="637" spans="6:84" x14ac:dyDescent="0.25">
      <c r="F637" s="2"/>
      <c r="BS637" s="2"/>
      <c r="BT637" s="3"/>
      <c r="CF637" s="2"/>
    </row>
    <row r="638" spans="6:84" x14ac:dyDescent="0.25">
      <c r="F638" s="2"/>
      <c r="BS638" s="2"/>
      <c r="BT638" s="3"/>
      <c r="CF638" s="2"/>
    </row>
    <row r="639" spans="6:84" x14ac:dyDescent="0.25">
      <c r="F639" s="2"/>
      <c r="BS639" s="2"/>
      <c r="BT639" s="3"/>
      <c r="CF639" s="2"/>
    </row>
    <row r="640" spans="6:84" x14ac:dyDescent="0.25">
      <c r="F640" s="2"/>
      <c r="BS640" s="2"/>
      <c r="BT640" s="3"/>
      <c r="CF640" s="2"/>
    </row>
    <row r="641" spans="6:84" x14ac:dyDescent="0.25">
      <c r="F641" s="2"/>
      <c r="BS641" s="2"/>
      <c r="BT641" s="3"/>
      <c r="CF641" s="2"/>
    </row>
    <row r="642" spans="6:84" x14ac:dyDescent="0.25">
      <c r="F642" s="2"/>
      <c r="BS642" s="2"/>
      <c r="BT642" s="3"/>
      <c r="CF642" s="2"/>
    </row>
    <row r="643" spans="6:84" x14ac:dyDescent="0.25">
      <c r="F643" s="2"/>
      <c r="BS643" s="2"/>
      <c r="BT643" s="3"/>
      <c r="CF643" s="2"/>
    </row>
    <row r="644" spans="6:84" x14ac:dyDescent="0.25">
      <c r="F644" s="2"/>
      <c r="BS644" s="2"/>
      <c r="BT644" s="3"/>
      <c r="CF644" s="2"/>
    </row>
    <row r="645" spans="6:84" x14ac:dyDescent="0.25">
      <c r="F645" s="2"/>
      <c r="BS645" s="2"/>
      <c r="BT645" s="3"/>
      <c r="CF645" s="2"/>
    </row>
    <row r="646" spans="6:84" x14ac:dyDescent="0.25">
      <c r="F646" s="2"/>
      <c r="BS646" s="2"/>
      <c r="BT646" s="3"/>
      <c r="CF646" s="2"/>
    </row>
    <row r="647" spans="6:84" x14ac:dyDescent="0.25">
      <c r="F647" s="2"/>
      <c r="BS647" s="2"/>
      <c r="BT647" s="3"/>
      <c r="CF647" s="2"/>
    </row>
    <row r="648" spans="6:84" x14ac:dyDescent="0.25">
      <c r="F648" s="2"/>
      <c r="BS648" s="2"/>
      <c r="BT648" s="3"/>
      <c r="CF648" s="2"/>
    </row>
    <row r="649" spans="6:84" x14ac:dyDescent="0.25">
      <c r="F649" s="2"/>
      <c r="BS649" s="2"/>
      <c r="BT649" s="3"/>
      <c r="CF649" s="2"/>
    </row>
    <row r="650" spans="6:84" x14ac:dyDescent="0.25">
      <c r="F650" s="2"/>
      <c r="BS650" s="2"/>
      <c r="BT650" s="3"/>
      <c r="CF650" s="2"/>
    </row>
    <row r="651" spans="6:84" x14ac:dyDescent="0.25">
      <c r="F651" s="2"/>
      <c r="BS651" s="2"/>
      <c r="BT651" s="3"/>
      <c r="CF651" s="2"/>
    </row>
    <row r="652" spans="6:84" x14ac:dyDescent="0.25">
      <c r="F652" s="2"/>
      <c r="BS652" s="2"/>
      <c r="BT652" s="3"/>
      <c r="CF652" s="2"/>
    </row>
    <row r="653" spans="6:84" x14ac:dyDescent="0.25">
      <c r="F653" s="2"/>
      <c r="BS653" s="2"/>
      <c r="BT653" s="3"/>
      <c r="CF653" s="2"/>
    </row>
    <row r="654" spans="6:84" x14ac:dyDescent="0.25">
      <c r="F654" s="2"/>
      <c r="BS654" s="2"/>
      <c r="BT654" s="3"/>
      <c r="CF654" s="2"/>
    </row>
    <row r="655" spans="6:84" x14ac:dyDescent="0.25">
      <c r="F655" s="2"/>
      <c r="BS655" s="2"/>
      <c r="BT655" s="3"/>
      <c r="CF655" s="2"/>
    </row>
    <row r="656" spans="6:84" x14ac:dyDescent="0.25">
      <c r="F656" s="2"/>
      <c r="BS656" s="2"/>
      <c r="BT656" s="3"/>
      <c r="CF656" s="2"/>
    </row>
    <row r="657" spans="6:84" x14ac:dyDescent="0.25">
      <c r="F657" s="2"/>
      <c r="BS657" s="2"/>
      <c r="BT657" s="3"/>
      <c r="CF657" s="2"/>
    </row>
    <row r="658" spans="6:84" x14ac:dyDescent="0.25">
      <c r="F658" s="2"/>
      <c r="BS658" s="2"/>
      <c r="BT658" s="3"/>
      <c r="CF658" s="2"/>
    </row>
    <row r="659" spans="6:84" x14ac:dyDescent="0.25">
      <c r="F659" s="2"/>
      <c r="BS659" s="2"/>
      <c r="BT659" s="3"/>
      <c r="CF659" s="2"/>
    </row>
    <row r="660" spans="6:84" x14ac:dyDescent="0.25">
      <c r="F660" s="2"/>
      <c r="BS660" s="2"/>
      <c r="BT660" s="3"/>
      <c r="CF660" s="2"/>
    </row>
    <row r="661" spans="6:84" x14ac:dyDescent="0.25">
      <c r="F661" s="2"/>
      <c r="BS661" s="2"/>
      <c r="BT661" s="3"/>
      <c r="CF661" s="2"/>
    </row>
    <row r="662" spans="6:84" x14ac:dyDescent="0.25">
      <c r="F662" s="2"/>
      <c r="BS662" s="2"/>
      <c r="BT662" s="3"/>
      <c r="CF662" s="2"/>
    </row>
    <row r="663" spans="6:84" x14ac:dyDescent="0.25">
      <c r="F663" s="2"/>
      <c r="BS663" s="2"/>
      <c r="BT663" s="3"/>
      <c r="CF663" s="2"/>
    </row>
    <row r="664" spans="6:84" x14ac:dyDescent="0.25">
      <c r="F664" s="2"/>
      <c r="BS664" s="2"/>
      <c r="BT664" s="3"/>
      <c r="CF664" s="2"/>
    </row>
    <row r="665" spans="6:84" x14ac:dyDescent="0.25">
      <c r="F665" s="2"/>
      <c r="BS665" s="2"/>
      <c r="BT665" s="3"/>
      <c r="CF665" s="2"/>
    </row>
    <row r="666" spans="6:84" x14ac:dyDescent="0.25">
      <c r="F666" s="2"/>
      <c r="BS666" s="2"/>
      <c r="BT666" s="3"/>
      <c r="CF666" s="2"/>
    </row>
    <row r="667" spans="6:84" x14ac:dyDescent="0.25">
      <c r="F667" s="2"/>
      <c r="BS667" s="2"/>
      <c r="BT667" s="3"/>
      <c r="CF667" s="2"/>
    </row>
    <row r="668" spans="6:84" x14ac:dyDescent="0.25">
      <c r="F668" s="2"/>
      <c r="BS668" s="2"/>
      <c r="BT668" s="3"/>
      <c r="CF668" s="2"/>
    </row>
    <row r="669" spans="6:84" x14ac:dyDescent="0.25">
      <c r="F669" s="2"/>
      <c r="BS669" s="2"/>
      <c r="BT669" s="3"/>
      <c r="CF669" s="2"/>
    </row>
    <row r="670" spans="6:84" x14ac:dyDescent="0.25">
      <c r="F670" s="2"/>
      <c r="BS670" s="2"/>
      <c r="BT670" s="3"/>
      <c r="CF670" s="2"/>
    </row>
    <row r="671" spans="6:84" x14ac:dyDescent="0.25">
      <c r="F671" s="2"/>
      <c r="BS671" s="2"/>
      <c r="BT671" s="3"/>
      <c r="CF671" s="2"/>
    </row>
    <row r="672" spans="6:84" x14ac:dyDescent="0.25">
      <c r="F672" s="2"/>
      <c r="BS672" s="2"/>
      <c r="BT672" s="3"/>
      <c r="CF672" s="2"/>
    </row>
    <row r="673" spans="6:84" x14ac:dyDescent="0.25">
      <c r="F673" s="2"/>
      <c r="BS673" s="2"/>
      <c r="BT673" s="3"/>
      <c r="CF673" s="2"/>
    </row>
    <row r="674" spans="6:84" x14ac:dyDescent="0.25">
      <c r="F674" s="2"/>
      <c r="BS674" s="2"/>
      <c r="BT674" s="3"/>
      <c r="CF674" s="2"/>
    </row>
    <row r="675" spans="6:84" x14ac:dyDescent="0.25">
      <c r="F675" s="2"/>
      <c r="BS675" s="2"/>
      <c r="BT675" s="3"/>
      <c r="CF675" s="2"/>
    </row>
    <row r="676" spans="6:84" x14ac:dyDescent="0.25">
      <c r="F676" s="2"/>
      <c r="BS676" s="2"/>
      <c r="BT676" s="3"/>
      <c r="CF676" s="2"/>
    </row>
    <row r="677" spans="6:84" x14ac:dyDescent="0.25">
      <c r="F677" s="2"/>
      <c r="BS677" s="2"/>
      <c r="BT677" s="3"/>
      <c r="CF677" s="2"/>
    </row>
    <row r="678" spans="6:84" x14ac:dyDescent="0.25">
      <c r="F678" s="2"/>
      <c r="BS678" s="2"/>
      <c r="BT678" s="3"/>
      <c r="CF678" s="2"/>
    </row>
    <row r="679" spans="6:84" x14ac:dyDescent="0.25">
      <c r="F679" s="2"/>
      <c r="BS679" s="2"/>
      <c r="BT679" s="3"/>
      <c r="CF679" s="2"/>
    </row>
    <row r="680" spans="6:84" x14ac:dyDescent="0.25">
      <c r="F680" s="2"/>
      <c r="BS680" s="2"/>
      <c r="BT680" s="3"/>
      <c r="CF680" s="2"/>
    </row>
    <row r="681" spans="6:84" x14ac:dyDescent="0.25">
      <c r="F681" s="2"/>
      <c r="BS681" s="2"/>
      <c r="BT681" s="3"/>
      <c r="CF681" s="2"/>
    </row>
    <row r="682" spans="6:84" x14ac:dyDescent="0.25">
      <c r="F682" s="2"/>
      <c r="BS682" s="2"/>
      <c r="BT682" s="3"/>
      <c r="CF682" s="2"/>
    </row>
    <row r="683" spans="6:84" x14ac:dyDescent="0.25">
      <c r="F683" s="2"/>
      <c r="BS683" s="2"/>
      <c r="BT683" s="3"/>
      <c r="CF683" s="2"/>
    </row>
    <row r="684" spans="6:84" x14ac:dyDescent="0.25">
      <c r="F684" s="2"/>
      <c r="BS684" s="2"/>
      <c r="BT684" s="3"/>
      <c r="CF684" s="2"/>
    </row>
    <row r="685" spans="6:84" x14ac:dyDescent="0.25">
      <c r="F685" s="2"/>
      <c r="BS685" s="2"/>
      <c r="BT685" s="3"/>
      <c r="CF685" s="2"/>
    </row>
    <row r="686" spans="6:84" x14ac:dyDescent="0.25">
      <c r="F686" s="2"/>
      <c r="BS686" s="2"/>
      <c r="BT686" s="3"/>
      <c r="CF686" s="2"/>
    </row>
    <row r="687" spans="6:84" x14ac:dyDescent="0.25">
      <c r="F687" s="2"/>
      <c r="BS687" s="2"/>
      <c r="BT687" s="3"/>
      <c r="CF687" s="2"/>
    </row>
    <row r="688" spans="6:84" x14ac:dyDescent="0.25">
      <c r="F688" s="2"/>
      <c r="BS688" s="2"/>
      <c r="BT688" s="3"/>
      <c r="CF688" s="2"/>
    </row>
    <row r="689" spans="6:84" x14ac:dyDescent="0.25">
      <c r="F689" s="2"/>
      <c r="BS689" s="2"/>
      <c r="BT689" s="3"/>
      <c r="CF689" s="2"/>
    </row>
    <row r="690" spans="6:84" x14ac:dyDescent="0.25">
      <c r="F690" s="2"/>
      <c r="BS690" s="2"/>
      <c r="BT690" s="3"/>
      <c r="CF690" s="2"/>
    </row>
    <row r="691" spans="6:84" x14ac:dyDescent="0.25">
      <c r="F691" s="2"/>
      <c r="BS691" s="2"/>
      <c r="BT691" s="3"/>
      <c r="CF691" s="2"/>
    </row>
    <row r="692" spans="6:84" x14ac:dyDescent="0.25">
      <c r="F692" s="2"/>
      <c r="BS692" s="2"/>
      <c r="BT692" s="3"/>
      <c r="CF692" s="2"/>
    </row>
    <row r="693" spans="6:84" x14ac:dyDescent="0.25">
      <c r="F693" s="2"/>
      <c r="BS693" s="2"/>
      <c r="BT693" s="3"/>
      <c r="CF693" s="2"/>
    </row>
    <row r="694" spans="6:84" x14ac:dyDescent="0.25">
      <c r="F694" s="2"/>
      <c r="BS694" s="2"/>
      <c r="BT694" s="3"/>
      <c r="CF694" s="2"/>
    </row>
    <row r="695" spans="6:84" x14ac:dyDescent="0.25">
      <c r="F695" s="2"/>
      <c r="BS695" s="2"/>
      <c r="BT695" s="3"/>
      <c r="CF695" s="2"/>
    </row>
    <row r="696" spans="6:84" x14ac:dyDescent="0.25">
      <c r="F696" s="2"/>
      <c r="BS696" s="2"/>
      <c r="BT696" s="3"/>
      <c r="CF696" s="2"/>
    </row>
    <row r="697" spans="6:84" x14ac:dyDescent="0.25">
      <c r="F697" s="2"/>
      <c r="BS697" s="2"/>
      <c r="BT697" s="3"/>
      <c r="CF697" s="2"/>
    </row>
    <row r="698" spans="6:84" x14ac:dyDescent="0.25">
      <c r="F698" s="2"/>
      <c r="BS698" s="2"/>
      <c r="BT698" s="3"/>
      <c r="CF698" s="2"/>
    </row>
    <row r="699" spans="6:84" x14ac:dyDescent="0.25">
      <c r="F699" s="2"/>
      <c r="BS699" s="2"/>
      <c r="BT699" s="3"/>
      <c r="CF699" s="2"/>
    </row>
    <row r="700" spans="6:84" x14ac:dyDescent="0.25">
      <c r="F700" s="2"/>
      <c r="BS700" s="2"/>
      <c r="BT700" s="3"/>
      <c r="CF700" s="2"/>
    </row>
    <row r="701" spans="6:84" x14ac:dyDescent="0.25">
      <c r="F701" s="2"/>
      <c r="BS701" s="2"/>
      <c r="BT701" s="3"/>
      <c r="CF701" s="2"/>
    </row>
    <row r="702" spans="6:84" x14ac:dyDescent="0.25">
      <c r="F702" s="2"/>
      <c r="BS702" s="2"/>
      <c r="BT702" s="3"/>
      <c r="CF702" s="2"/>
    </row>
    <row r="703" spans="6:84" x14ac:dyDescent="0.25">
      <c r="F703" s="2"/>
      <c r="BS703" s="2"/>
      <c r="BT703" s="3"/>
      <c r="CF703" s="2"/>
    </row>
    <row r="704" spans="6:84" x14ac:dyDescent="0.25">
      <c r="F704" s="2"/>
      <c r="BS704" s="2"/>
      <c r="BT704" s="3"/>
      <c r="CF704" s="2"/>
    </row>
    <row r="705" spans="6:84" x14ac:dyDescent="0.25">
      <c r="F705" s="2"/>
      <c r="BS705" s="2"/>
      <c r="BT705" s="3"/>
      <c r="CF705" s="2"/>
    </row>
    <row r="706" spans="6:84" x14ac:dyDescent="0.25">
      <c r="F706" s="2"/>
      <c r="BS706" s="2"/>
      <c r="BT706" s="3"/>
      <c r="CF706" s="2"/>
    </row>
    <row r="707" spans="6:84" x14ac:dyDescent="0.25">
      <c r="F707" s="2"/>
      <c r="BS707" s="2"/>
      <c r="BT707" s="3"/>
      <c r="CF707" s="2"/>
    </row>
    <row r="708" spans="6:84" x14ac:dyDescent="0.25">
      <c r="F708" s="2"/>
      <c r="BS708" s="2"/>
      <c r="BT708" s="3"/>
      <c r="CF708" s="2"/>
    </row>
    <row r="709" spans="6:84" x14ac:dyDescent="0.25">
      <c r="F709" s="2"/>
      <c r="BS709" s="2"/>
      <c r="BT709" s="3"/>
      <c r="CF709" s="2"/>
    </row>
    <row r="710" spans="6:84" x14ac:dyDescent="0.25">
      <c r="F710" s="2"/>
      <c r="BS710" s="2"/>
      <c r="BT710" s="3"/>
      <c r="CF710" s="2"/>
    </row>
    <row r="711" spans="6:84" x14ac:dyDescent="0.25">
      <c r="F711" s="2"/>
      <c r="BS711" s="2"/>
      <c r="BT711" s="3"/>
      <c r="CF711" s="2"/>
    </row>
    <row r="712" spans="6:84" x14ac:dyDescent="0.25">
      <c r="F712" s="2"/>
      <c r="BS712" s="2"/>
      <c r="BT712" s="3"/>
      <c r="CF712" s="2"/>
    </row>
    <row r="713" spans="6:84" x14ac:dyDescent="0.25">
      <c r="F713" s="2"/>
      <c r="BS713" s="2"/>
      <c r="BT713" s="3"/>
      <c r="CF713" s="2"/>
    </row>
    <row r="714" spans="6:84" x14ac:dyDescent="0.25">
      <c r="F714" s="2"/>
      <c r="BS714" s="2"/>
      <c r="BT714" s="3"/>
      <c r="CF714" s="2"/>
    </row>
    <row r="715" spans="6:84" x14ac:dyDescent="0.25">
      <c r="F715" s="2"/>
      <c r="BS715" s="2"/>
      <c r="BT715" s="3"/>
      <c r="CF715" s="2"/>
    </row>
    <row r="716" spans="6:84" x14ac:dyDescent="0.25">
      <c r="F716" s="2"/>
      <c r="BS716" s="2"/>
      <c r="BT716" s="3"/>
      <c r="CF716" s="2"/>
    </row>
    <row r="717" spans="6:84" x14ac:dyDescent="0.25">
      <c r="F717" s="2"/>
      <c r="BS717" s="2"/>
      <c r="BT717" s="3"/>
      <c r="CF717" s="2"/>
    </row>
    <row r="718" spans="6:84" x14ac:dyDescent="0.25">
      <c r="F718" s="2"/>
      <c r="BS718" s="2"/>
      <c r="BT718" s="3"/>
      <c r="CF718" s="2"/>
    </row>
    <row r="719" spans="6:84" x14ac:dyDescent="0.25">
      <c r="F719" s="2"/>
      <c r="BS719" s="2"/>
      <c r="BT719" s="3"/>
      <c r="CF719" s="2"/>
    </row>
    <row r="720" spans="6:84" x14ac:dyDescent="0.25">
      <c r="F720" s="2"/>
      <c r="BS720" s="2"/>
      <c r="BT720" s="3"/>
      <c r="CF720" s="2"/>
    </row>
    <row r="721" spans="6:84" x14ac:dyDescent="0.25">
      <c r="F721" s="2"/>
      <c r="BS721" s="2"/>
      <c r="BT721" s="3"/>
      <c r="CF721" s="2"/>
    </row>
    <row r="722" spans="6:84" x14ac:dyDescent="0.25">
      <c r="F722" s="2"/>
      <c r="BS722" s="2"/>
      <c r="BT722" s="3"/>
      <c r="CF722" s="2"/>
    </row>
    <row r="723" spans="6:84" x14ac:dyDescent="0.25">
      <c r="F723" s="2"/>
      <c r="BS723" s="2"/>
      <c r="BT723" s="3"/>
      <c r="CF723" s="2"/>
    </row>
    <row r="724" spans="6:84" x14ac:dyDescent="0.25">
      <c r="F724" s="2"/>
      <c r="BS724" s="2"/>
      <c r="BT724" s="3"/>
      <c r="CF724" s="2"/>
    </row>
    <row r="725" spans="6:84" x14ac:dyDescent="0.25">
      <c r="F725" s="2"/>
      <c r="BS725" s="2"/>
      <c r="BT725" s="3"/>
      <c r="CF725" s="2"/>
    </row>
    <row r="726" spans="6:84" x14ac:dyDescent="0.25">
      <c r="F726" s="2"/>
      <c r="BS726" s="2"/>
      <c r="BT726" s="3"/>
      <c r="CF726" s="2"/>
    </row>
    <row r="727" spans="6:84" x14ac:dyDescent="0.25">
      <c r="F727" s="2"/>
      <c r="BS727" s="2"/>
      <c r="BT727" s="3"/>
      <c r="CF727" s="2"/>
    </row>
    <row r="728" spans="6:84" x14ac:dyDescent="0.25">
      <c r="F728" s="2"/>
      <c r="BS728" s="2"/>
      <c r="BT728" s="3"/>
      <c r="CF728" s="2"/>
    </row>
    <row r="729" spans="6:84" x14ac:dyDescent="0.25">
      <c r="F729" s="2"/>
      <c r="BS729" s="2"/>
      <c r="BT729" s="3"/>
      <c r="CF729" s="2"/>
    </row>
    <row r="730" spans="6:84" x14ac:dyDescent="0.25">
      <c r="F730" s="2"/>
      <c r="BS730" s="2"/>
      <c r="BT730" s="3"/>
      <c r="CF730" s="2"/>
    </row>
    <row r="731" spans="6:84" x14ac:dyDescent="0.25">
      <c r="F731" s="2"/>
      <c r="BS731" s="2"/>
      <c r="BT731" s="3"/>
      <c r="CF731" s="2"/>
    </row>
    <row r="732" spans="6:84" x14ac:dyDescent="0.25">
      <c r="F732" s="2"/>
      <c r="BS732" s="2"/>
      <c r="BT732" s="3"/>
      <c r="CF732" s="2"/>
    </row>
    <row r="733" spans="6:84" x14ac:dyDescent="0.25">
      <c r="F733" s="2"/>
      <c r="BS733" s="2"/>
      <c r="BT733" s="3"/>
      <c r="CF733" s="2"/>
    </row>
    <row r="734" spans="6:84" x14ac:dyDescent="0.25">
      <c r="F734" s="2"/>
      <c r="BS734" s="2"/>
      <c r="BT734" s="3"/>
      <c r="CF734" s="2"/>
    </row>
    <row r="735" spans="6:84" x14ac:dyDescent="0.25">
      <c r="F735" s="2"/>
      <c r="BS735" s="2"/>
      <c r="BT735" s="3"/>
      <c r="CF735" s="2"/>
    </row>
    <row r="736" spans="6:84" x14ac:dyDescent="0.25">
      <c r="F736" s="2"/>
      <c r="BS736" s="2"/>
      <c r="BT736" s="3"/>
      <c r="CF736" s="2"/>
    </row>
    <row r="737" spans="6:84" x14ac:dyDescent="0.25">
      <c r="F737" s="2"/>
      <c r="BS737" s="2"/>
      <c r="BT737" s="3"/>
      <c r="CF737" s="2"/>
    </row>
    <row r="738" spans="6:84" x14ac:dyDescent="0.25">
      <c r="F738" s="2"/>
      <c r="BS738" s="2"/>
      <c r="BT738" s="3"/>
      <c r="CF738" s="2"/>
    </row>
    <row r="739" spans="6:84" x14ac:dyDescent="0.25">
      <c r="F739" s="2"/>
      <c r="BS739" s="2"/>
      <c r="BT739" s="3"/>
      <c r="CF739" s="2"/>
    </row>
    <row r="740" spans="6:84" x14ac:dyDescent="0.25">
      <c r="F740" s="2"/>
      <c r="BS740" s="2"/>
      <c r="BT740" s="3"/>
      <c r="CF740" s="2"/>
    </row>
    <row r="741" spans="6:84" x14ac:dyDescent="0.25">
      <c r="F741" s="2"/>
      <c r="BS741" s="2"/>
      <c r="BT741" s="3"/>
      <c r="CF741" s="2"/>
    </row>
    <row r="742" spans="6:84" x14ac:dyDescent="0.25">
      <c r="F742" s="2"/>
      <c r="BS742" s="2"/>
      <c r="BT742" s="3"/>
      <c r="CF742" s="2"/>
    </row>
    <row r="743" spans="6:84" x14ac:dyDescent="0.25">
      <c r="F743" s="2"/>
      <c r="BS743" s="2"/>
      <c r="BT743" s="3"/>
      <c r="CF743" s="2"/>
    </row>
    <row r="744" spans="6:84" x14ac:dyDescent="0.25">
      <c r="F744" s="2"/>
      <c r="BS744" s="2"/>
      <c r="BT744" s="3"/>
      <c r="CF744" s="2"/>
    </row>
    <row r="745" spans="6:84" x14ac:dyDescent="0.25">
      <c r="F745" s="2"/>
      <c r="BS745" s="2"/>
      <c r="BT745" s="3"/>
      <c r="CF745" s="2"/>
    </row>
    <row r="746" spans="6:84" x14ac:dyDescent="0.25">
      <c r="F746" s="2"/>
      <c r="BS746" s="2"/>
      <c r="BT746" s="3"/>
      <c r="CF746" s="2"/>
    </row>
    <row r="747" spans="6:84" x14ac:dyDescent="0.25">
      <c r="F747" s="2"/>
      <c r="BS747" s="2"/>
      <c r="BT747" s="3"/>
      <c r="CF747" s="2"/>
    </row>
    <row r="748" spans="6:84" x14ac:dyDescent="0.25">
      <c r="F748" s="2"/>
      <c r="BS748" s="2"/>
      <c r="BT748" s="3"/>
      <c r="CF748" s="2"/>
    </row>
    <row r="749" spans="6:84" x14ac:dyDescent="0.25">
      <c r="F749" s="2"/>
      <c r="BS749" s="2"/>
      <c r="BT749" s="3"/>
      <c r="CF749" s="2"/>
    </row>
    <row r="750" spans="6:84" x14ac:dyDescent="0.25">
      <c r="F750" s="2"/>
      <c r="BS750" s="2"/>
      <c r="BT750" s="3"/>
      <c r="CF750" s="2"/>
    </row>
    <row r="751" spans="6:84" x14ac:dyDescent="0.25">
      <c r="F751" s="2"/>
      <c r="BS751" s="2"/>
      <c r="BT751" s="3"/>
      <c r="CF751" s="2"/>
    </row>
    <row r="752" spans="6:84" x14ac:dyDescent="0.25">
      <c r="F752" s="2"/>
      <c r="BS752" s="2"/>
      <c r="BT752" s="3"/>
      <c r="CF752" s="2"/>
    </row>
    <row r="753" spans="6:84" x14ac:dyDescent="0.25">
      <c r="F753" s="2"/>
      <c r="BS753" s="2"/>
      <c r="BT753" s="3"/>
      <c r="CF753" s="2"/>
    </row>
    <row r="754" spans="6:84" x14ac:dyDescent="0.25">
      <c r="F754" s="2"/>
      <c r="BS754" s="2"/>
      <c r="BT754" s="3"/>
      <c r="CF754" s="2"/>
    </row>
    <row r="755" spans="6:84" x14ac:dyDescent="0.25">
      <c r="F755" s="2"/>
      <c r="BS755" s="2"/>
      <c r="BT755" s="3"/>
      <c r="CF755" s="2"/>
    </row>
    <row r="756" spans="6:84" x14ac:dyDescent="0.25">
      <c r="F756" s="2"/>
      <c r="BS756" s="2"/>
      <c r="BT756" s="3"/>
      <c r="CF756" s="2"/>
    </row>
    <row r="757" spans="6:84" x14ac:dyDescent="0.25">
      <c r="F757" s="2"/>
      <c r="BS757" s="2"/>
      <c r="BT757" s="3"/>
      <c r="CF757" s="2"/>
    </row>
    <row r="758" spans="6:84" x14ac:dyDescent="0.25">
      <c r="F758" s="2"/>
      <c r="BS758" s="2"/>
      <c r="BT758" s="3"/>
      <c r="CF758" s="2"/>
    </row>
    <row r="759" spans="6:84" x14ac:dyDescent="0.25">
      <c r="F759" s="2"/>
      <c r="BS759" s="2"/>
      <c r="BT759" s="3"/>
      <c r="CF759" s="2"/>
    </row>
    <row r="760" spans="6:84" x14ac:dyDescent="0.25">
      <c r="F760" s="2"/>
      <c r="BS760" s="2"/>
      <c r="BT760" s="3"/>
      <c r="CF760" s="2"/>
    </row>
    <row r="761" spans="6:84" x14ac:dyDescent="0.25">
      <c r="F761" s="2"/>
      <c r="BS761" s="2"/>
      <c r="BT761" s="3"/>
      <c r="CF761" s="2"/>
    </row>
    <row r="762" spans="6:84" x14ac:dyDescent="0.25">
      <c r="F762" s="2"/>
      <c r="BS762" s="2"/>
      <c r="BT762" s="3"/>
      <c r="CF762" s="2"/>
    </row>
    <row r="763" spans="6:84" x14ac:dyDescent="0.25">
      <c r="F763" s="2"/>
      <c r="BS763" s="2"/>
      <c r="BT763" s="3"/>
      <c r="CF763" s="2"/>
    </row>
    <row r="764" spans="6:84" x14ac:dyDescent="0.25">
      <c r="F764" s="2"/>
      <c r="BS764" s="2"/>
      <c r="BT764" s="3"/>
      <c r="CF764" s="2"/>
    </row>
    <row r="765" spans="6:84" x14ac:dyDescent="0.25">
      <c r="F765" s="2"/>
      <c r="BS765" s="2"/>
      <c r="BT765" s="3"/>
      <c r="CF765" s="2"/>
    </row>
    <row r="766" spans="6:84" x14ac:dyDescent="0.25">
      <c r="F766" s="2"/>
      <c r="BS766" s="2"/>
      <c r="BT766" s="3"/>
      <c r="CF766" s="2"/>
    </row>
    <row r="767" spans="6:84" x14ac:dyDescent="0.25">
      <c r="F767" s="2"/>
      <c r="BS767" s="2"/>
      <c r="BT767" s="3"/>
      <c r="CF767" s="2"/>
    </row>
    <row r="768" spans="6:84" x14ac:dyDescent="0.25">
      <c r="F768" s="2"/>
      <c r="BS768" s="2"/>
      <c r="BT768" s="3"/>
      <c r="CF768" s="2"/>
    </row>
    <row r="769" spans="6:84" x14ac:dyDescent="0.25">
      <c r="F769" s="2"/>
      <c r="BS769" s="2"/>
      <c r="BT769" s="3"/>
      <c r="CF769" s="2"/>
    </row>
    <row r="770" spans="6:84" x14ac:dyDescent="0.25">
      <c r="F770" s="2"/>
      <c r="BS770" s="2"/>
      <c r="BT770" s="3"/>
      <c r="CF770" s="2"/>
    </row>
    <row r="771" spans="6:84" x14ac:dyDescent="0.25">
      <c r="F771" s="2"/>
      <c r="BS771" s="2"/>
      <c r="BT771" s="3"/>
      <c r="CF771" s="2"/>
    </row>
    <row r="772" spans="6:84" x14ac:dyDescent="0.25">
      <c r="F772" s="2"/>
      <c r="BS772" s="2"/>
      <c r="BT772" s="3"/>
      <c r="CF772" s="2"/>
    </row>
    <row r="773" spans="6:84" x14ac:dyDescent="0.25">
      <c r="F773" s="2"/>
      <c r="BS773" s="2"/>
      <c r="BT773" s="3"/>
      <c r="CF773" s="2"/>
    </row>
    <row r="774" spans="6:84" x14ac:dyDescent="0.25">
      <c r="F774" s="2"/>
      <c r="BS774" s="2"/>
      <c r="BT774" s="3"/>
      <c r="CF774" s="2"/>
    </row>
    <row r="775" spans="6:84" x14ac:dyDescent="0.25">
      <c r="F775" s="2"/>
      <c r="BS775" s="2"/>
      <c r="BT775" s="3"/>
      <c r="CF775" s="2"/>
    </row>
    <row r="776" spans="6:84" x14ac:dyDescent="0.25">
      <c r="F776" s="2"/>
      <c r="BS776" s="2"/>
      <c r="BT776" s="3"/>
      <c r="CF776" s="2"/>
    </row>
    <row r="777" spans="6:84" x14ac:dyDescent="0.25">
      <c r="F777" s="2"/>
      <c r="BS777" s="2"/>
      <c r="BT777" s="3"/>
      <c r="CF777" s="2"/>
    </row>
    <row r="778" spans="6:84" x14ac:dyDescent="0.25">
      <c r="F778" s="2"/>
      <c r="BS778" s="2"/>
      <c r="BT778" s="3"/>
      <c r="CF778" s="2"/>
    </row>
    <row r="779" spans="6:84" x14ac:dyDescent="0.25">
      <c r="F779" s="2"/>
      <c r="BS779" s="2"/>
      <c r="BT779" s="3"/>
      <c r="CF779" s="2"/>
    </row>
    <row r="780" spans="6:84" x14ac:dyDescent="0.25">
      <c r="F780" s="2"/>
      <c r="BS780" s="2"/>
      <c r="BT780" s="3"/>
      <c r="CF780" s="2"/>
    </row>
    <row r="781" spans="6:84" x14ac:dyDescent="0.25">
      <c r="F781" s="2"/>
      <c r="BS781" s="2"/>
      <c r="BT781" s="3"/>
      <c r="CF781" s="2"/>
    </row>
    <row r="782" spans="6:84" x14ac:dyDescent="0.25">
      <c r="F782" s="2"/>
      <c r="BS782" s="2"/>
      <c r="BT782" s="3"/>
      <c r="CF782" s="2"/>
    </row>
    <row r="783" spans="6:84" x14ac:dyDescent="0.25">
      <c r="F783" s="2"/>
      <c r="BS783" s="2"/>
      <c r="BT783" s="3"/>
      <c r="CF783" s="2"/>
    </row>
    <row r="784" spans="6:84" x14ac:dyDescent="0.25">
      <c r="F784" s="2"/>
      <c r="BS784" s="2"/>
      <c r="BT784" s="3"/>
      <c r="CF784" s="2"/>
    </row>
    <row r="785" spans="6:91" x14ac:dyDescent="0.25">
      <c r="F785" s="2"/>
      <c r="BS785" s="2"/>
      <c r="BT785" s="3"/>
      <c r="CF785" s="2"/>
    </row>
    <row r="786" spans="6:91" x14ac:dyDescent="0.25">
      <c r="F786" s="2"/>
      <c r="BS786" s="2"/>
      <c r="BT786" s="3"/>
      <c r="CF786" s="2"/>
    </row>
    <row r="787" spans="6:91" x14ac:dyDescent="0.25">
      <c r="F787" s="2"/>
      <c r="BS787" s="2"/>
      <c r="BT787" s="3"/>
      <c r="CF787" s="2"/>
    </row>
    <row r="788" spans="6:91" x14ac:dyDescent="0.25">
      <c r="F788" s="2"/>
      <c r="BS788" s="2"/>
      <c r="BT788" s="3"/>
      <c r="CF788" s="2"/>
    </row>
    <row r="789" spans="6:91" x14ac:dyDescent="0.25">
      <c r="F789" s="2"/>
      <c r="BS789" s="2"/>
      <c r="BT789" s="3"/>
      <c r="CF789" s="2"/>
    </row>
    <row r="790" spans="6:91" x14ac:dyDescent="0.25">
      <c r="F790" s="2"/>
      <c r="BS790" s="2"/>
      <c r="BT790" s="3"/>
      <c r="CF790" s="2"/>
    </row>
    <row r="791" spans="6:91" x14ac:dyDescent="0.25">
      <c r="F791" s="2"/>
      <c r="BS791" s="2"/>
      <c r="BT791" s="3"/>
      <c r="CF791" s="2"/>
    </row>
    <row r="792" spans="6:91" x14ac:dyDescent="0.25">
      <c r="F792" s="2"/>
      <c r="BS792" s="2"/>
      <c r="BT792" s="3"/>
      <c r="CF792" s="2"/>
    </row>
    <row r="793" spans="6:91" x14ac:dyDescent="0.25">
      <c r="F793" s="2"/>
      <c r="BS793" s="2"/>
      <c r="BT793" s="3"/>
      <c r="CF793" s="2"/>
    </row>
    <row r="794" spans="6:91" x14ac:dyDescent="0.25">
      <c r="F794" s="2"/>
      <c r="BS794" s="2"/>
      <c r="BT794" s="3"/>
      <c r="CF794" s="2"/>
      <c r="CM794" s="3"/>
    </row>
    <row r="795" spans="6:91" x14ac:dyDescent="0.25">
      <c r="F795" s="2"/>
      <c r="BS795" s="2"/>
      <c r="BT795" s="3"/>
      <c r="CF795" s="2"/>
    </row>
    <row r="796" spans="6:91" x14ac:dyDescent="0.25">
      <c r="F796" s="2"/>
      <c r="BS796" s="2"/>
      <c r="BT796" s="3"/>
      <c r="CF796" s="2"/>
    </row>
    <row r="797" spans="6:91" x14ac:dyDescent="0.25">
      <c r="F797" s="2"/>
      <c r="BS797" s="2"/>
      <c r="BT797" s="3"/>
      <c r="CF797" s="2"/>
    </row>
    <row r="798" spans="6:91" x14ac:dyDescent="0.25">
      <c r="F798" s="2"/>
      <c r="BS798" s="2"/>
      <c r="BT798" s="3"/>
      <c r="CF798" s="2"/>
    </row>
    <row r="799" spans="6:91" x14ac:dyDescent="0.25">
      <c r="F799" s="2"/>
      <c r="BS799" s="2"/>
      <c r="BT799" s="3"/>
      <c r="CF799" s="2"/>
    </row>
    <row r="800" spans="6:91" x14ac:dyDescent="0.25">
      <c r="F800" s="2"/>
      <c r="BS800" s="2"/>
      <c r="BT800" s="3"/>
      <c r="CF800" s="2"/>
    </row>
    <row r="801" spans="6:84" x14ac:dyDescent="0.25">
      <c r="F801" s="2"/>
      <c r="BS801" s="2"/>
      <c r="BT801" s="3"/>
      <c r="CF801" s="2"/>
    </row>
    <row r="802" spans="6:84" x14ac:dyDescent="0.25">
      <c r="F802" s="2"/>
      <c r="BS802" s="2"/>
      <c r="BT802" s="3"/>
      <c r="CF802" s="2"/>
    </row>
    <row r="803" spans="6:84" x14ac:dyDescent="0.25">
      <c r="F803" s="2"/>
      <c r="BS803" s="2"/>
      <c r="BT803" s="3"/>
      <c r="CF803" s="2"/>
    </row>
    <row r="804" spans="6:84" x14ac:dyDescent="0.25">
      <c r="F804" s="2"/>
      <c r="BS804" s="2"/>
      <c r="BT804" s="3"/>
      <c r="CF804" s="2"/>
    </row>
    <row r="805" spans="6:84" x14ac:dyDescent="0.25">
      <c r="F805" s="2"/>
      <c r="BS805" s="2"/>
      <c r="BT805" s="3"/>
      <c r="CF805" s="2"/>
    </row>
    <row r="806" spans="6:84" x14ac:dyDescent="0.25">
      <c r="F806" s="2"/>
      <c r="BS806" s="2"/>
      <c r="BT806" s="3"/>
      <c r="CF806" s="2"/>
    </row>
    <row r="807" spans="6:84" x14ac:dyDescent="0.25">
      <c r="F807" s="2"/>
      <c r="BS807" s="2"/>
      <c r="BT807" s="3"/>
      <c r="CF807" s="2"/>
    </row>
    <row r="808" spans="6:84" x14ac:dyDescent="0.25">
      <c r="F808" s="2"/>
      <c r="BS808" s="2"/>
      <c r="BT808" s="3"/>
      <c r="CF808" s="2"/>
    </row>
    <row r="809" spans="6:84" x14ac:dyDescent="0.25">
      <c r="F809" s="2"/>
      <c r="BS809" s="2"/>
      <c r="BT809" s="3"/>
      <c r="CF809" s="2"/>
    </row>
    <row r="810" spans="6:84" x14ac:dyDescent="0.25">
      <c r="F810" s="2"/>
      <c r="BS810" s="2"/>
      <c r="BT810" s="3"/>
      <c r="CF810" s="2"/>
    </row>
    <row r="811" spans="6:84" x14ac:dyDescent="0.25">
      <c r="F811" s="2"/>
      <c r="BS811" s="2"/>
      <c r="BT811" s="3"/>
      <c r="CF811" s="2"/>
    </row>
    <row r="812" spans="6:84" x14ac:dyDescent="0.25">
      <c r="F812" s="2"/>
      <c r="BS812" s="2"/>
      <c r="BT812" s="3"/>
      <c r="CF812" s="2"/>
    </row>
    <row r="813" spans="6:84" x14ac:dyDescent="0.25">
      <c r="F813" s="2"/>
      <c r="BS813" s="2"/>
      <c r="BT813" s="3"/>
      <c r="CF813" s="2"/>
    </row>
    <row r="814" spans="6:84" x14ac:dyDescent="0.25">
      <c r="F814" s="2"/>
      <c r="BS814" s="2"/>
      <c r="BT814" s="3"/>
      <c r="CF814" s="2"/>
    </row>
    <row r="815" spans="6:84" x14ac:dyDescent="0.25">
      <c r="F815" s="2"/>
      <c r="BS815" s="2"/>
      <c r="BT815" s="3"/>
      <c r="CF815" s="2"/>
    </row>
    <row r="816" spans="6:84" x14ac:dyDescent="0.25">
      <c r="F816" s="2"/>
      <c r="BS816" s="2"/>
      <c r="BT816" s="3"/>
      <c r="CF816" s="2"/>
    </row>
    <row r="817" spans="6:84" x14ac:dyDescent="0.25">
      <c r="F817" s="2"/>
      <c r="BS817" s="2"/>
      <c r="BT817" s="3"/>
      <c r="CF817" s="2"/>
    </row>
    <row r="818" spans="6:84" x14ac:dyDescent="0.25">
      <c r="F818" s="2"/>
      <c r="BS818" s="2"/>
      <c r="BT818" s="3"/>
      <c r="CF818" s="2"/>
    </row>
    <row r="819" spans="6:84" x14ac:dyDescent="0.25">
      <c r="F819" s="2"/>
      <c r="BS819" s="2"/>
      <c r="BT819" s="3"/>
      <c r="CF819" s="2"/>
    </row>
    <row r="820" spans="6:84" x14ac:dyDescent="0.25">
      <c r="F820" s="2"/>
      <c r="BS820" s="2"/>
      <c r="BT820" s="3"/>
      <c r="CF820" s="2"/>
    </row>
    <row r="823" spans="6:84" x14ac:dyDescent="0.25">
      <c r="F823" s="2"/>
      <c r="BS823" s="2"/>
      <c r="BT823" s="3"/>
      <c r="CF823" s="2"/>
    </row>
    <row r="824" spans="6:84" x14ac:dyDescent="0.25">
      <c r="F824" s="2"/>
      <c r="BS824" s="2"/>
      <c r="BT824" s="3"/>
      <c r="CF824" s="2"/>
    </row>
    <row r="825" spans="6:84" x14ac:dyDescent="0.25">
      <c r="F825" s="2"/>
      <c r="BS825" s="2"/>
      <c r="BT825" s="3"/>
      <c r="CF825" s="2"/>
    </row>
    <row r="826" spans="6:84" x14ac:dyDescent="0.25">
      <c r="F826" s="2"/>
      <c r="BS826" s="2"/>
      <c r="BT826" s="3"/>
      <c r="CF826" s="2"/>
    </row>
    <row r="827" spans="6:84" x14ac:dyDescent="0.25">
      <c r="F827" s="2"/>
      <c r="BS827" s="2"/>
      <c r="BT827" s="3"/>
      <c r="CF827" s="2"/>
    </row>
    <row r="828" spans="6:84" x14ac:dyDescent="0.25">
      <c r="F828" s="2"/>
      <c r="BS828" s="2"/>
      <c r="BT828" s="3"/>
      <c r="CF828" s="2"/>
    </row>
    <row r="829" spans="6:84" x14ac:dyDescent="0.25">
      <c r="F829" s="2"/>
      <c r="BS829" s="2"/>
      <c r="BT829" s="3"/>
      <c r="CF829" s="2"/>
    </row>
    <row r="830" spans="6:84" x14ac:dyDescent="0.25">
      <c r="F830" s="2"/>
      <c r="BS830" s="2"/>
      <c r="BT830" s="3"/>
      <c r="CF830" s="2"/>
    </row>
    <row r="831" spans="6:84" x14ac:dyDescent="0.25">
      <c r="F831" s="2"/>
      <c r="BS831" s="2"/>
      <c r="BT831" s="3"/>
      <c r="CF831" s="2"/>
    </row>
    <row r="832" spans="6:84" x14ac:dyDescent="0.25">
      <c r="F832" s="2"/>
      <c r="BS832" s="2"/>
      <c r="BT832" s="3"/>
      <c r="CF832" s="2"/>
    </row>
    <row r="833" spans="6:84" x14ac:dyDescent="0.25">
      <c r="F833" s="2"/>
      <c r="BS833" s="2"/>
      <c r="BT833" s="3"/>
      <c r="CF833" s="2"/>
    </row>
    <row r="834" spans="6:84" x14ac:dyDescent="0.25">
      <c r="F834" s="2"/>
      <c r="BS834" s="2"/>
      <c r="BT834" s="3"/>
      <c r="CF834" s="2"/>
    </row>
    <row r="835" spans="6:84" x14ac:dyDescent="0.25">
      <c r="F835" s="2"/>
      <c r="BS835" s="2"/>
      <c r="BT835" s="3"/>
      <c r="CF835" s="2"/>
    </row>
    <row r="836" spans="6:84" x14ac:dyDescent="0.25">
      <c r="F836" s="2"/>
      <c r="BS836" s="2"/>
      <c r="BT836" s="3"/>
      <c r="CF836" s="2"/>
    </row>
    <row r="837" spans="6:84" x14ac:dyDescent="0.25">
      <c r="F837" s="2"/>
      <c r="BS837" s="2"/>
      <c r="BT837" s="3"/>
      <c r="CF837" s="2"/>
    </row>
    <row r="838" spans="6:84" x14ac:dyDescent="0.25">
      <c r="F838" s="2"/>
      <c r="BS838" s="2"/>
      <c r="BT838" s="3"/>
      <c r="CF838" s="2"/>
    </row>
    <row r="839" spans="6:84" x14ac:dyDescent="0.25">
      <c r="F839" s="2"/>
      <c r="BS839" s="2"/>
      <c r="BT839" s="3"/>
      <c r="CF839" s="2"/>
    </row>
    <row r="840" spans="6:84" x14ac:dyDescent="0.25">
      <c r="F840" s="2"/>
      <c r="BS840" s="2"/>
      <c r="BT840" s="3"/>
      <c r="CF840" s="2"/>
    </row>
    <row r="841" spans="6:84" x14ac:dyDescent="0.25">
      <c r="F841" s="2"/>
      <c r="BS841" s="2"/>
      <c r="BT841" s="3"/>
      <c r="CF841" s="2"/>
    </row>
    <row r="842" spans="6:84" x14ac:dyDescent="0.25">
      <c r="F842" s="2"/>
      <c r="BS842" s="2"/>
      <c r="BT842" s="3"/>
      <c r="CF842" s="2"/>
    </row>
    <row r="843" spans="6:84" x14ac:dyDescent="0.25">
      <c r="F843" s="2"/>
      <c r="BS843" s="2"/>
      <c r="BT843" s="3"/>
      <c r="CF843" s="2"/>
    </row>
    <row r="844" spans="6:84" x14ac:dyDescent="0.25">
      <c r="F844" s="2"/>
      <c r="BS844" s="2"/>
      <c r="BT844" s="3"/>
      <c r="CF844" s="2"/>
    </row>
    <row r="845" spans="6:84" x14ac:dyDescent="0.25">
      <c r="F845" s="2"/>
      <c r="BS845" s="2"/>
      <c r="BT845" s="3"/>
      <c r="CF845" s="2"/>
    </row>
    <row r="846" spans="6:84" x14ac:dyDescent="0.25">
      <c r="F846" s="2"/>
      <c r="BS846" s="2"/>
      <c r="BT846" s="3"/>
      <c r="CF846" s="2"/>
    </row>
    <row r="847" spans="6:84" x14ac:dyDescent="0.25">
      <c r="F847" s="2"/>
      <c r="BS847" s="2"/>
      <c r="BT847" s="3"/>
      <c r="CF847" s="2"/>
    </row>
    <row r="848" spans="6:84" x14ac:dyDescent="0.25">
      <c r="F848" s="2"/>
      <c r="BS848" s="2"/>
      <c r="BT848" s="3"/>
      <c r="CF848" s="2"/>
    </row>
    <row r="849" spans="6:84" x14ac:dyDescent="0.25">
      <c r="F849" s="2"/>
      <c r="BS849" s="2"/>
      <c r="BT849" s="3"/>
      <c r="CF849" s="2"/>
    </row>
    <row r="850" spans="6:84" x14ac:dyDescent="0.25">
      <c r="F850" s="2"/>
      <c r="BS850" s="2"/>
      <c r="BT850" s="3"/>
      <c r="CF850" s="2"/>
    </row>
    <row r="851" spans="6:84" x14ac:dyDescent="0.25">
      <c r="F851" s="2"/>
      <c r="BS851" s="2"/>
      <c r="BT851" s="3"/>
      <c r="CF851" s="2"/>
    </row>
    <row r="852" spans="6:84" x14ac:dyDescent="0.25">
      <c r="F852" s="2"/>
      <c r="BS852" s="2"/>
      <c r="BT852" s="3"/>
      <c r="CF852" s="2"/>
    </row>
    <row r="853" spans="6:84" x14ac:dyDescent="0.25">
      <c r="F853" s="2"/>
      <c r="BS853" s="2"/>
      <c r="BT853" s="3"/>
      <c r="CF853" s="2"/>
    </row>
    <row r="854" spans="6:84" x14ac:dyDescent="0.25">
      <c r="F854" s="2"/>
      <c r="BS854" s="2"/>
      <c r="BT854" s="3"/>
      <c r="CF854" s="2"/>
    </row>
    <row r="855" spans="6:84" x14ac:dyDescent="0.25">
      <c r="F855" s="2"/>
      <c r="BS855" s="2"/>
      <c r="BT855" s="3"/>
      <c r="CF855" s="2"/>
    </row>
    <row r="856" spans="6:84" x14ac:dyDescent="0.25">
      <c r="F856" s="2"/>
      <c r="BS856" s="2"/>
      <c r="BT856" s="3"/>
      <c r="CF856" s="2"/>
    </row>
    <row r="857" spans="6:84" x14ac:dyDescent="0.25">
      <c r="F857" s="2"/>
    </row>
    <row r="858" spans="6:84" x14ac:dyDescent="0.25">
      <c r="F858" s="2"/>
      <c r="BS858" s="2"/>
      <c r="BT858" s="3"/>
      <c r="CF858" s="2"/>
    </row>
    <row r="859" spans="6:84" x14ac:dyDescent="0.25">
      <c r="F859" s="2"/>
    </row>
    <row r="860" spans="6:84" x14ac:dyDescent="0.25">
      <c r="F860" s="2"/>
      <c r="BS860" s="2"/>
      <c r="BT860" s="3"/>
      <c r="CF860" s="2"/>
    </row>
    <row r="861" spans="6:84" x14ac:dyDescent="0.25">
      <c r="F861" s="2"/>
      <c r="BS861" s="2"/>
      <c r="BT861" s="3"/>
    </row>
    <row r="862" spans="6:84" x14ac:dyDescent="0.25">
      <c r="F862" s="2"/>
      <c r="BS862" s="2"/>
      <c r="BT862" s="3"/>
      <c r="CF862" s="2"/>
    </row>
    <row r="863" spans="6:84" x14ac:dyDescent="0.25">
      <c r="F863" s="2"/>
      <c r="BS863" s="2"/>
      <c r="BT863" s="3"/>
    </row>
    <row r="864" spans="6:84" x14ac:dyDescent="0.25">
      <c r="F864" s="2"/>
      <c r="BS864" s="2"/>
      <c r="BT864" s="3"/>
      <c r="CF864" s="2"/>
    </row>
    <row r="865" spans="6:84" x14ac:dyDescent="0.25">
      <c r="F865" s="2"/>
      <c r="BS865" s="2"/>
      <c r="BT865" s="3"/>
      <c r="CF865" s="2"/>
    </row>
    <row r="866" spans="6:84" x14ac:dyDescent="0.25">
      <c r="F866" s="2"/>
      <c r="BS866" s="2"/>
      <c r="BT866" s="3"/>
    </row>
    <row r="867" spans="6:84" x14ac:dyDescent="0.25">
      <c r="F867" s="2"/>
      <c r="BS867" s="2"/>
      <c r="BT867" s="3"/>
      <c r="CF867" s="2"/>
    </row>
    <row r="868" spans="6:84" x14ac:dyDescent="0.25">
      <c r="F868" s="2"/>
      <c r="BS868" s="2"/>
      <c r="BT868" s="3"/>
      <c r="CF868" s="2"/>
    </row>
    <row r="869" spans="6:84" x14ac:dyDescent="0.25">
      <c r="F869" s="2"/>
      <c r="BS869" s="2"/>
      <c r="BT869" s="3"/>
    </row>
    <row r="870" spans="6:84" x14ac:dyDescent="0.25">
      <c r="F870" s="2"/>
    </row>
    <row r="871" spans="6:84" x14ac:dyDescent="0.25">
      <c r="F871" s="2"/>
      <c r="BS871" s="2"/>
      <c r="BT871" s="3"/>
    </row>
    <row r="872" spans="6:84" x14ac:dyDescent="0.25">
      <c r="F872" s="2"/>
      <c r="BS872" s="2"/>
      <c r="BT872" s="3"/>
      <c r="CF872" s="2"/>
    </row>
    <row r="873" spans="6:84" x14ac:dyDescent="0.25">
      <c r="F873" s="2"/>
      <c r="BS873" s="2"/>
      <c r="BT873" s="3"/>
      <c r="CF873" s="2"/>
    </row>
    <row r="874" spans="6:84" x14ac:dyDescent="0.25">
      <c r="F874" s="2"/>
      <c r="BS874" s="2"/>
      <c r="BT874" s="3"/>
      <c r="CF874" s="2"/>
    </row>
    <row r="875" spans="6:84" x14ac:dyDescent="0.25">
      <c r="F875" s="2"/>
      <c r="BS875" s="2"/>
      <c r="BT875" s="3"/>
      <c r="CF875" s="2"/>
    </row>
    <row r="876" spans="6:84" x14ac:dyDescent="0.25">
      <c r="F876" s="2"/>
      <c r="BS876" s="2"/>
      <c r="BT876" s="3"/>
      <c r="CF876" s="2"/>
    </row>
    <row r="877" spans="6:84" x14ac:dyDescent="0.25">
      <c r="F877" s="2"/>
      <c r="BS877" s="2"/>
      <c r="BT877" s="3"/>
      <c r="CF877" s="2"/>
    </row>
    <row r="878" spans="6:84" x14ac:dyDescent="0.25">
      <c r="F878" s="2"/>
      <c r="BS878" s="2"/>
      <c r="BT878" s="3"/>
      <c r="CF878" s="2"/>
    </row>
    <row r="879" spans="6:84" x14ac:dyDescent="0.25">
      <c r="F879" s="2"/>
      <c r="BS879" s="2"/>
      <c r="BT879" s="3"/>
      <c r="CF879" s="2"/>
    </row>
    <row r="880" spans="6:84" x14ac:dyDescent="0.25">
      <c r="F880" s="2"/>
      <c r="BS880" s="2"/>
      <c r="BT880" s="3"/>
      <c r="CF880" s="2"/>
    </row>
    <row r="881" spans="6:84" x14ac:dyDescent="0.25">
      <c r="F881" s="2"/>
    </row>
    <row r="882" spans="6:84" x14ac:dyDescent="0.25">
      <c r="F882" s="2"/>
    </row>
    <row r="883" spans="6:84" x14ac:dyDescent="0.25">
      <c r="F883" s="2"/>
    </row>
    <row r="884" spans="6:84" x14ac:dyDescent="0.25">
      <c r="F884" s="2"/>
    </row>
    <row r="885" spans="6:84" x14ac:dyDescent="0.25">
      <c r="F885" s="2"/>
      <c r="BS885" s="2"/>
      <c r="BT885" s="3"/>
    </row>
    <row r="886" spans="6:84" x14ac:dyDescent="0.25">
      <c r="F886" s="2"/>
    </row>
    <row r="887" spans="6:84" x14ac:dyDescent="0.25">
      <c r="F887" s="2"/>
    </row>
    <row r="888" spans="6:84" x14ac:dyDescent="0.25">
      <c r="F888" s="2"/>
    </row>
    <row r="889" spans="6:84" x14ac:dyDescent="0.25">
      <c r="F889" s="2"/>
    </row>
    <row r="890" spans="6:84" x14ac:dyDescent="0.25">
      <c r="F890" s="2"/>
      <c r="BS890" s="2"/>
      <c r="BT890" s="3"/>
    </row>
    <row r="891" spans="6:84" x14ac:dyDescent="0.25">
      <c r="F891" s="2"/>
    </row>
    <row r="892" spans="6:84" x14ac:dyDescent="0.25">
      <c r="F892" s="2"/>
    </row>
    <row r="893" spans="6:84" x14ac:dyDescent="0.25">
      <c r="F893" s="2"/>
      <c r="BS893" s="2"/>
      <c r="BT893" s="3"/>
      <c r="CF893" s="2"/>
    </row>
    <row r="894" spans="6:84" x14ac:dyDescent="0.25">
      <c r="F894" s="2"/>
      <c r="BS894" s="2"/>
      <c r="BT894" s="3"/>
      <c r="CF894" s="2"/>
    </row>
    <row r="895" spans="6:84" x14ac:dyDescent="0.25">
      <c r="F895" s="2"/>
      <c r="BS895" s="2"/>
      <c r="BT895" s="3"/>
      <c r="CF895" s="2"/>
    </row>
    <row r="896" spans="6:84" x14ac:dyDescent="0.25">
      <c r="F896" s="2"/>
      <c r="BS896" s="2"/>
      <c r="BT896" s="3"/>
      <c r="CF896" s="2"/>
    </row>
    <row r="897" spans="6:84" x14ac:dyDescent="0.25">
      <c r="F897" s="2"/>
      <c r="BS897" s="2"/>
      <c r="BT897" s="3"/>
      <c r="CF897" s="2"/>
    </row>
    <row r="898" spans="6:84" x14ac:dyDescent="0.25">
      <c r="F898" s="2"/>
      <c r="BS898" s="2"/>
      <c r="BT898" s="3"/>
      <c r="CF898" s="2"/>
    </row>
    <row r="899" spans="6:84" x14ac:dyDescent="0.25">
      <c r="F899" s="2"/>
      <c r="BS899" s="2"/>
      <c r="BT899" s="3"/>
      <c r="CF899" s="2"/>
    </row>
    <row r="900" spans="6:84" x14ac:dyDescent="0.25">
      <c r="F900" s="2"/>
      <c r="BS900" s="2"/>
      <c r="BT900" s="3"/>
      <c r="CF900" s="2"/>
    </row>
    <row r="901" spans="6:84" x14ac:dyDescent="0.25">
      <c r="F901" s="2"/>
      <c r="BS901" s="2"/>
      <c r="BT901" s="3"/>
    </row>
    <row r="902" spans="6:84" x14ac:dyDescent="0.25">
      <c r="F902" s="2"/>
      <c r="BS902" s="2"/>
      <c r="BT902" s="3"/>
      <c r="CF902" s="2"/>
    </row>
    <row r="903" spans="6:84" x14ac:dyDescent="0.25">
      <c r="F903" s="2"/>
      <c r="BS903" s="2"/>
      <c r="BT903" s="3"/>
      <c r="CF903" s="2"/>
    </row>
    <row r="904" spans="6:84" x14ac:dyDescent="0.25">
      <c r="F904" s="2"/>
      <c r="BS904" s="2"/>
      <c r="BT904" s="3"/>
      <c r="CF904" s="2"/>
    </row>
    <row r="905" spans="6:84" x14ac:dyDescent="0.25">
      <c r="F905" s="2"/>
      <c r="BS905" s="2"/>
      <c r="BT905" s="3"/>
      <c r="CF905" s="2"/>
    </row>
    <row r="906" spans="6:84" x14ac:dyDescent="0.25">
      <c r="F906" s="2"/>
      <c r="BS906" s="2"/>
      <c r="BT906" s="3"/>
      <c r="CF906" s="2"/>
    </row>
    <row r="907" spans="6:84" x14ac:dyDescent="0.25">
      <c r="F907" s="2"/>
      <c r="BS907" s="2"/>
      <c r="BT907" s="3"/>
      <c r="CF907" s="2"/>
    </row>
    <row r="908" spans="6:84" x14ac:dyDescent="0.25">
      <c r="F908" s="2"/>
      <c r="BS908" s="2"/>
      <c r="BT908" s="3"/>
      <c r="CF908" s="2"/>
    </row>
    <row r="909" spans="6:84" x14ac:dyDescent="0.25">
      <c r="F909" s="2"/>
      <c r="BS909" s="2"/>
      <c r="BT909" s="3"/>
      <c r="CF909" s="2"/>
    </row>
    <row r="910" spans="6:84" x14ac:dyDescent="0.25">
      <c r="F910" s="2"/>
      <c r="BS910" s="2"/>
      <c r="BT910" s="3"/>
      <c r="CF910" s="2"/>
    </row>
    <row r="911" spans="6:84" x14ac:dyDescent="0.25">
      <c r="F911" s="2"/>
      <c r="BS911" s="2"/>
      <c r="BT911" s="3"/>
      <c r="CF911" s="2"/>
    </row>
    <row r="912" spans="6:84" x14ac:dyDescent="0.25">
      <c r="F912" s="2"/>
      <c r="BS912" s="2"/>
      <c r="BT912" s="3"/>
      <c r="CF912" s="2"/>
    </row>
    <row r="913" spans="6:84" x14ac:dyDescent="0.25">
      <c r="F913" s="2"/>
      <c r="BS913" s="2"/>
      <c r="BT913" s="3"/>
      <c r="CF913" s="2"/>
    </row>
    <row r="914" spans="6:84" x14ac:dyDescent="0.25">
      <c r="F914" s="2"/>
      <c r="BS914" s="2"/>
      <c r="BT914" s="3"/>
      <c r="CF914" s="2"/>
    </row>
    <row r="915" spans="6:84" x14ac:dyDescent="0.25">
      <c r="F915" s="2"/>
      <c r="BS915" s="2"/>
      <c r="BT915" s="3"/>
      <c r="CF915" s="2"/>
    </row>
    <row r="916" spans="6:84" x14ac:dyDescent="0.25">
      <c r="F916" s="2"/>
      <c r="BS916" s="2"/>
      <c r="BT916" s="3"/>
      <c r="CF916" s="2"/>
    </row>
    <row r="917" spans="6:84" x14ac:dyDescent="0.25">
      <c r="F917" s="2"/>
      <c r="BS917" s="2"/>
      <c r="BT917" s="3"/>
      <c r="CF917" s="2"/>
    </row>
    <row r="918" spans="6:84" x14ac:dyDescent="0.25">
      <c r="F918" s="2"/>
      <c r="BS918" s="2"/>
      <c r="BT918" s="3"/>
      <c r="CF918" s="2"/>
    </row>
    <row r="919" spans="6:84" x14ac:dyDescent="0.25">
      <c r="F919" s="2"/>
      <c r="BS919" s="2"/>
      <c r="BT919" s="3"/>
      <c r="CF919" s="2"/>
    </row>
    <row r="920" spans="6:84" x14ac:dyDescent="0.25">
      <c r="F920" s="2"/>
      <c r="BS920" s="2"/>
      <c r="BT920" s="3"/>
      <c r="CF920" s="2"/>
    </row>
    <row r="921" spans="6:84" x14ac:dyDescent="0.25">
      <c r="F921" s="2"/>
      <c r="BS921" s="2"/>
      <c r="BT921" s="3"/>
      <c r="CF921" s="2"/>
    </row>
    <row r="922" spans="6:84" x14ac:dyDescent="0.25">
      <c r="F922" s="2"/>
      <c r="BS922" s="2"/>
      <c r="BT922" s="3"/>
      <c r="CF922" s="2"/>
    </row>
    <row r="923" spans="6:84" x14ac:dyDescent="0.25">
      <c r="F923" s="2"/>
      <c r="BS923" s="2"/>
      <c r="BT923" s="3"/>
      <c r="CF923" s="2"/>
    </row>
    <row r="924" spans="6:84" x14ac:dyDescent="0.25">
      <c r="F924" s="2"/>
      <c r="BS924" s="2"/>
      <c r="BT924" s="3"/>
      <c r="CF924" s="2"/>
    </row>
    <row r="925" spans="6:84" x14ac:dyDescent="0.25">
      <c r="F925" s="2"/>
      <c r="BS925" s="2"/>
      <c r="BT925" s="3"/>
      <c r="CF925" s="2"/>
    </row>
    <row r="926" spans="6:84" x14ac:dyDescent="0.25">
      <c r="F926" s="2"/>
      <c r="BS926" s="2"/>
      <c r="BT926" s="3"/>
      <c r="CF926" s="2"/>
    </row>
    <row r="927" spans="6:84" x14ac:dyDescent="0.25">
      <c r="F927" s="2"/>
      <c r="BS927" s="2"/>
      <c r="BT927" s="3"/>
      <c r="CF927" s="2"/>
    </row>
    <row r="928" spans="6:84" x14ac:dyDescent="0.25">
      <c r="F928" s="2"/>
      <c r="BS928" s="2"/>
      <c r="BT928" s="3"/>
      <c r="CF928" s="2"/>
    </row>
    <row r="929" spans="6:84" x14ac:dyDescent="0.25">
      <c r="F929" s="2"/>
      <c r="BS929" s="2"/>
      <c r="BT929" s="3"/>
      <c r="CF929" s="2"/>
    </row>
    <row r="930" spans="6:84" x14ac:dyDescent="0.25">
      <c r="F930" s="2"/>
      <c r="BS930" s="2"/>
      <c r="BT930" s="3"/>
      <c r="CF930" s="2"/>
    </row>
    <row r="931" spans="6:84" x14ac:dyDescent="0.25">
      <c r="F931" s="2"/>
      <c r="BS931" s="2"/>
      <c r="BT931" s="3"/>
      <c r="CF931" s="2"/>
    </row>
    <row r="932" spans="6:84" x14ac:dyDescent="0.25">
      <c r="F932" s="2"/>
      <c r="BS932" s="2"/>
      <c r="BT932" s="3"/>
      <c r="CF932" s="2"/>
    </row>
    <row r="933" spans="6:84" x14ac:dyDescent="0.25">
      <c r="F933" s="2"/>
      <c r="BS933" s="2"/>
      <c r="BT933" s="3"/>
      <c r="CF933" s="2"/>
    </row>
    <row r="934" spans="6:84" x14ac:dyDescent="0.25">
      <c r="F934" s="2"/>
      <c r="BS934" s="2"/>
      <c r="BT934" s="3"/>
      <c r="CF934" s="2"/>
    </row>
    <row r="935" spans="6:84" x14ac:dyDescent="0.25">
      <c r="F935" s="2"/>
      <c r="BS935" s="2"/>
      <c r="BT935" s="3"/>
      <c r="CF935" s="2"/>
    </row>
    <row r="936" spans="6:84" x14ac:dyDescent="0.25">
      <c r="F936" s="2"/>
      <c r="BS936" s="2"/>
      <c r="BT936" s="3"/>
      <c r="CF936" s="2"/>
    </row>
    <row r="937" spans="6:84" x14ac:dyDescent="0.25">
      <c r="F937" s="2"/>
      <c r="BS937" s="2"/>
      <c r="BT937" s="3"/>
      <c r="CF937" s="2"/>
    </row>
    <row r="938" spans="6:84" x14ac:dyDescent="0.25">
      <c r="F938" s="2"/>
      <c r="BS938" s="2"/>
      <c r="BT938" s="3"/>
      <c r="CF938" s="2"/>
    </row>
    <row r="939" spans="6:84" x14ac:dyDescent="0.25">
      <c r="F939" s="2"/>
      <c r="BS939" s="2"/>
      <c r="BT939" s="3"/>
      <c r="CF939" s="2"/>
    </row>
    <row r="940" spans="6:84" x14ac:dyDescent="0.25">
      <c r="F940" s="2"/>
      <c r="BS940" s="2"/>
      <c r="BT940" s="3"/>
      <c r="CF940" s="2"/>
    </row>
    <row r="941" spans="6:84" x14ac:dyDescent="0.25">
      <c r="F941" s="2"/>
      <c r="BS941" s="2"/>
      <c r="BT941" s="3"/>
      <c r="CF941" s="2"/>
    </row>
    <row r="942" spans="6:84" x14ac:dyDescent="0.25">
      <c r="F942" s="2"/>
      <c r="BS942" s="2"/>
      <c r="BT942" s="3"/>
      <c r="CF942" s="2"/>
    </row>
    <row r="943" spans="6:84" x14ac:dyDescent="0.25">
      <c r="F943" s="2"/>
      <c r="BS943" s="2"/>
      <c r="BT943" s="3"/>
      <c r="CF943" s="2"/>
    </row>
    <row r="944" spans="6:84" x14ac:dyDescent="0.25">
      <c r="F944" s="2"/>
      <c r="BS944" s="2"/>
      <c r="BT944" s="3"/>
      <c r="CF944" s="2"/>
    </row>
    <row r="945" spans="6:84" x14ac:dyDescent="0.25">
      <c r="F945" s="2"/>
      <c r="BS945" s="2"/>
      <c r="BT945" s="3"/>
      <c r="CF945" s="2"/>
    </row>
    <row r="946" spans="6:84" x14ac:dyDescent="0.25">
      <c r="F946" s="2"/>
      <c r="BS946" s="2"/>
      <c r="BT946" s="3"/>
      <c r="CF946" s="2"/>
    </row>
    <row r="947" spans="6:84" x14ac:dyDescent="0.25">
      <c r="F947" s="2"/>
      <c r="BS947" s="2"/>
      <c r="BT947" s="3"/>
      <c r="CF947" s="2"/>
    </row>
    <row r="948" spans="6:84" x14ac:dyDescent="0.25">
      <c r="F948" s="2"/>
      <c r="BS948" s="2"/>
      <c r="BT948" s="3"/>
      <c r="CF948" s="2"/>
    </row>
    <row r="949" spans="6:84" x14ac:dyDescent="0.25">
      <c r="F949" s="2"/>
      <c r="BS949" s="2"/>
      <c r="BT949" s="3"/>
      <c r="CF949" s="2"/>
    </row>
    <row r="950" spans="6:84" x14ac:dyDescent="0.25">
      <c r="F950" s="2"/>
      <c r="BS950" s="2"/>
      <c r="BT950" s="3"/>
      <c r="CF950" s="2"/>
    </row>
    <row r="951" spans="6:84" x14ac:dyDescent="0.25">
      <c r="F951" s="2"/>
      <c r="BS951" s="2"/>
      <c r="BT951" s="3"/>
      <c r="CF951" s="2"/>
    </row>
    <row r="952" spans="6:84" x14ac:dyDescent="0.25">
      <c r="F952" s="2"/>
      <c r="BS952" s="2"/>
      <c r="BT952" s="3"/>
      <c r="CF952" s="2"/>
    </row>
    <row r="953" spans="6:84" x14ac:dyDescent="0.25">
      <c r="F953" s="2"/>
      <c r="BS953" s="2"/>
      <c r="BT953" s="3"/>
      <c r="CF953" s="2"/>
    </row>
    <row r="954" spans="6:84" x14ac:dyDescent="0.25">
      <c r="F954" s="2"/>
      <c r="BS954" s="2"/>
      <c r="BT954" s="3"/>
      <c r="CF954" s="2"/>
    </row>
    <row r="955" spans="6:84" x14ac:dyDescent="0.25">
      <c r="F955" s="2"/>
      <c r="BS955" s="2"/>
      <c r="BT955" s="3"/>
      <c r="CF955" s="2"/>
    </row>
    <row r="956" spans="6:84" x14ac:dyDescent="0.25">
      <c r="F956" s="2"/>
      <c r="BS956" s="2"/>
      <c r="BT956" s="3"/>
      <c r="CF956" s="2"/>
    </row>
    <row r="957" spans="6:84" x14ac:dyDescent="0.25">
      <c r="F957" s="2"/>
      <c r="BS957" s="2"/>
      <c r="BT957" s="3"/>
      <c r="CF957" s="2"/>
    </row>
    <row r="958" spans="6:84" x14ac:dyDescent="0.25">
      <c r="F958" s="2"/>
      <c r="BS958" s="2"/>
      <c r="BT958" s="3"/>
      <c r="CF958" s="2"/>
    </row>
    <row r="959" spans="6:84" x14ac:dyDescent="0.25">
      <c r="F959" s="2"/>
      <c r="BS959" s="2"/>
      <c r="BT959" s="3"/>
      <c r="CF959" s="2"/>
    </row>
    <row r="960" spans="6:84" x14ac:dyDescent="0.25">
      <c r="F960" s="2"/>
      <c r="BS960" s="2"/>
      <c r="BT960" s="3"/>
      <c r="CF960" s="2"/>
    </row>
    <row r="961" spans="6:84" x14ac:dyDescent="0.25">
      <c r="F961" s="2"/>
      <c r="BS961" s="2"/>
      <c r="BT961" s="3"/>
      <c r="CF961" s="2"/>
    </row>
    <row r="962" spans="6:84" x14ac:dyDescent="0.25">
      <c r="F962" s="2"/>
      <c r="BS962" s="2"/>
      <c r="BT962" s="3"/>
      <c r="CF962" s="2"/>
    </row>
    <row r="963" spans="6:84" x14ac:dyDescent="0.25">
      <c r="F963" s="2"/>
      <c r="BS963" s="2"/>
      <c r="BT963" s="3"/>
      <c r="CF963" s="2"/>
    </row>
    <row r="964" spans="6:84" x14ac:dyDescent="0.25">
      <c r="F964" s="2"/>
      <c r="BS964" s="2"/>
      <c r="BT964" s="3"/>
      <c r="CF964" s="2"/>
    </row>
    <row r="965" spans="6:84" x14ac:dyDescent="0.25">
      <c r="F965" s="2"/>
      <c r="BS965" s="2"/>
      <c r="BT965" s="3"/>
      <c r="CF965" s="2"/>
    </row>
    <row r="966" spans="6:84" x14ac:dyDescent="0.25">
      <c r="F966" s="2"/>
      <c r="BS966" s="2"/>
      <c r="BT966" s="3"/>
      <c r="CF966" s="2"/>
    </row>
    <row r="967" spans="6:84" x14ac:dyDescent="0.25">
      <c r="F967" s="2"/>
      <c r="BS967" s="2"/>
      <c r="BT967" s="3"/>
      <c r="CF967" s="2"/>
    </row>
    <row r="968" spans="6:84" x14ac:dyDescent="0.25">
      <c r="F968" s="2"/>
      <c r="BS968" s="2"/>
      <c r="BT968" s="3"/>
      <c r="CF968" s="2"/>
    </row>
    <row r="969" spans="6:84" x14ac:dyDescent="0.25">
      <c r="F969" s="2"/>
      <c r="BS969" s="2"/>
      <c r="BT969" s="3"/>
      <c r="CF969" s="2"/>
    </row>
    <row r="970" spans="6:84" x14ac:dyDescent="0.25">
      <c r="F970" s="2"/>
      <c r="BS970" s="2"/>
      <c r="BT970" s="3"/>
      <c r="CF970" s="2"/>
    </row>
    <row r="971" spans="6:84" x14ac:dyDescent="0.25">
      <c r="F971" s="2"/>
      <c r="BS971" s="2"/>
      <c r="BT971" s="3"/>
      <c r="CF971" s="2"/>
    </row>
    <row r="972" spans="6:84" x14ac:dyDescent="0.25">
      <c r="F972" s="2"/>
      <c r="BS972" s="2"/>
      <c r="BT972" s="3"/>
      <c r="CF972" s="2"/>
    </row>
    <row r="973" spans="6:84" x14ac:dyDescent="0.25">
      <c r="F973" s="2"/>
      <c r="BS973" s="2"/>
      <c r="BT973" s="3"/>
      <c r="CF973" s="2"/>
    </row>
    <row r="974" spans="6:84" x14ac:dyDescent="0.25">
      <c r="F974" s="2"/>
      <c r="BS974" s="2"/>
      <c r="BT974" s="3"/>
      <c r="CF974" s="2"/>
    </row>
    <row r="975" spans="6:84" x14ac:dyDescent="0.25">
      <c r="F975" s="2"/>
      <c r="BS975" s="2"/>
      <c r="BT975" s="3"/>
      <c r="CF975" s="2"/>
    </row>
    <row r="976" spans="6:84" x14ac:dyDescent="0.25">
      <c r="F976" s="2"/>
      <c r="BS976" s="2"/>
      <c r="BT976" s="3"/>
      <c r="CF976" s="2"/>
    </row>
    <row r="977" spans="6:84" x14ac:dyDescent="0.25">
      <c r="F977" s="2"/>
      <c r="BS977" s="2"/>
      <c r="BT977" s="3"/>
      <c r="CF977" s="2"/>
    </row>
    <row r="978" spans="6:84" x14ac:dyDescent="0.25">
      <c r="F978" s="2"/>
      <c r="BS978" s="2"/>
      <c r="BT978" s="3"/>
      <c r="CF978" s="2"/>
    </row>
    <row r="979" spans="6:84" x14ac:dyDescent="0.25">
      <c r="F979" s="2"/>
      <c r="BS979" s="2"/>
      <c r="BT979" s="3"/>
      <c r="CF979" s="2"/>
    </row>
    <row r="980" spans="6:84" x14ac:dyDescent="0.25">
      <c r="F980" s="2"/>
      <c r="BS980" s="2"/>
      <c r="BT980" s="3"/>
      <c r="CF980" s="2"/>
    </row>
    <row r="981" spans="6:84" x14ac:dyDescent="0.25">
      <c r="F981" s="2"/>
      <c r="BS981" s="2"/>
      <c r="BT981" s="3"/>
      <c r="CF981" s="2"/>
    </row>
    <row r="982" spans="6:84" x14ac:dyDescent="0.25">
      <c r="F982" s="2"/>
      <c r="BS982" s="2"/>
      <c r="BT982" s="3"/>
      <c r="CF982" s="2"/>
    </row>
    <row r="983" spans="6:84" x14ac:dyDescent="0.25">
      <c r="F983" s="2"/>
      <c r="BS983" s="2"/>
      <c r="BT983" s="3"/>
      <c r="CF983" s="2"/>
    </row>
    <row r="984" spans="6:84" x14ac:dyDescent="0.25">
      <c r="F984" s="2"/>
      <c r="BS984" s="2"/>
      <c r="BT984" s="3"/>
      <c r="CF984" s="2"/>
    </row>
    <row r="985" spans="6:84" x14ac:dyDescent="0.25">
      <c r="F985" s="2"/>
      <c r="BS985" s="2"/>
      <c r="BT985" s="3"/>
      <c r="CF985" s="2"/>
    </row>
    <row r="986" spans="6:84" x14ac:dyDescent="0.25">
      <c r="F986" s="2"/>
      <c r="BS986" s="2"/>
      <c r="BT986" s="3"/>
      <c r="CF986" s="2"/>
    </row>
    <row r="987" spans="6:84" x14ac:dyDescent="0.25">
      <c r="F987" s="2"/>
      <c r="BS987" s="2"/>
      <c r="BT987" s="3"/>
      <c r="CF987" s="2"/>
    </row>
    <row r="988" spans="6:84" x14ac:dyDescent="0.25">
      <c r="F988" s="2"/>
      <c r="BS988" s="2"/>
      <c r="BT988" s="3"/>
      <c r="CF988" s="2"/>
    </row>
    <row r="989" spans="6:84" x14ac:dyDescent="0.25">
      <c r="F989" s="2"/>
      <c r="BS989" s="2"/>
      <c r="BT989" s="3"/>
      <c r="CF989" s="2"/>
    </row>
    <row r="990" spans="6:84" x14ac:dyDescent="0.25">
      <c r="F990" s="2"/>
      <c r="BS990" s="2"/>
      <c r="BT990" s="3"/>
      <c r="CF990" s="2"/>
    </row>
    <row r="991" spans="6:84" x14ac:dyDescent="0.25">
      <c r="F991" s="2"/>
      <c r="BS991" s="2"/>
      <c r="BT991" s="3"/>
      <c r="CF991" s="2"/>
    </row>
    <row r="992" spans="6:84" x14ac:dyDescent="0.25">
      <c r="F992" s="2"/>
      <c r="BS992" s="2"/>
      <c r="BT992" s="3"/>
      <c r="CF992" s="2"/>
    </row>
    <row r="993" spans="6:84" x14ac:dyDescent="0.25">
      <c r="F993" s="2"/>
      <c r="BS993" s="2"/>
      <c r="BT993" s="3"/>
      <c r="CF993" s="2"/>
    </row>
    <row r="994" spans="6:84" x14ac:dyDescent="0.25">
      <c r="F994" s="2"/>
      <c r="BS994" s="2"/>
      <c r="BT994" s="3"/>
      <c r="CF994" s="2"/>
    </row>
    <row r="995" spans="6:84" x14ac:dyDescent="0.25">
      <c r="F995" s="2"/>
      <c r="BS995" s="2"/>
      <c r="BT995" s="3"/>
      <c r="CF995" s="2"/>
    </row>
    <row r="996" spans="6:84" x14ac:dyDescent="0.25">
      <c r="F996" s="2"/>
      <c r="BS996" s="2"/>
      <c r="BT996" s="3"/>
      <c r="CF996" s="2"/>
    </row>
    <row r="997" spans="6:84" x14ac:dyDescent="0.25">
      <c r="F997" s="2"/>
      <c r="BS997" s="2"/>
      <c r="BT997" s="3"/>
      <c r="CF997" s="2"/>
    </row>
    <row r="998" spans="6:84" x14ac:dyDescent="0.25">
      <c r="F998" s="2"/>
      <c r="BS998" s="2"/>
      <c r="BT998" s="3"/>
      <c r="CF998" s="2"/>
    </row>
    <row r="999" spans="6:84" x14ac:dyDescent="0.25">
      <c r="F999" s="2"/>
      <c r="BS999" s="2"/>
      <c r="BT999" s="3"/>
      <c r="CF999" s="2"/>
    </row>
    <row r="1000" spans="6:84" x14ac:dyDescent="0.25">
      <c r="F1000" s="2"/>
      <c r="BS1000" s="2"/>
      <c r="BT1000" s="3"/>
      <c r="CF1000" s="2"/>
    </row>
    <row r="1001" spans="6:84" x14ac:dyDescent="0.25">
      <c r="F1001" s="2"/>
      <c r="BS1001" s="2"/>
      <c r="BT1001" s="3"/>
      <c r="CF1001" s="2"/>
    </row>
    <row r="1002" spans="6:84" x14ac:dyDescent="0.25">
      <c r="F1002" s="2"/>
      <c r="BS1002" s="2"/>
      <c r="BT1002" s="3"/>
      <c r="CF1002" s="2"/>
    </row>
    <row r="1003" spans="6:84" x14ac:dyDescent="0.25">
      <c r="F1003" s="2"/>
      <c r="BS1003" s="2"/>
      <c r="BT1003" s="3"/>
      <c r="CF1003" s="2"/>
    </row>
    <row r="1004" spans="6:84" x14ac:dyDescent="0.25">
      <c r="F1004" s="2"/>
      <c r="BS1004" s="2"/>
      <c r="BT1004" s="3"/>
      <c r="CF1004" s="2"/>
    </row>
    <row r="1005" spans="6:84" x14ac:dyDescent="0.25">
      <c r="F1005" s="2"/>
      <c r="BS1005" s="2"/>
      <c r="BT1005" s="3"/>
      <c r="CF1005" s="2"/>
    </row>
    <row r="1006" spans="6:84" x14ac:dyDescent="0.25">
      <c r="F1006" s="2"/>
      <c r="BS1006" s="2"/>
      <c r="BT1006" s="3"/>
      <c r="CF1006" s="2"/>
    </row>
    <row r="1007" spans="6:84" x14ac:dyDescent="0.25">
      <c r="F1007" s="2"/>
      <c r="BS1007" s="2"/>
      <c r="BT1007" s="3"/>
      <c r="CF1007" s="2"/>
    </row>
    <row r="1008" spans="6:84" x14ac:dyDescent="0.25">
      <c r="F1008" s="2"/>
      <c r="BS1008" s="2"/>
      <c r="BT1008" s="3"/>
      <c r="CF1008" s="2"/>
    </row>
    <row r="1009" spans="6:84" x14ac:dyDescent="0.25">
      <c r="F1009" s="2"/>
      <c r="BS1009" s="2"/>
      <c r="BT1009" s="3"/>
      <c r="CF1009" s="2"/>
    </row>
    <row r="1010" spans="6:84" x14ac:dyDescent="0.25">
      <c r="F1010" s="2"/>
      <c r="BS1010" s="2"/>
      <c r="BT1010" s="3"/>
      <c r="CF1010" s="2"/>
    </row>
    <row r="1011" spans="6:84" x14ac:dyDescent="0.25">
      <c r="F1011" s="2"/>
      <c r="BS1011" s="2"/>
      <c r="BT1011" s="3"/>
      <c r="CF1011" s="2"/>
    </row>
    <row r="1012" spans="6:84" x14ac:dyDescent="0.25">
      <c r="F1012" s="2"/>
      <c r="BS1012" s="2"/>
      <c r="BT1012" s="3"/>
      <c r="CF1012" s="2"/>
    </row>
    <row r="1013" spans="6:84" x14ac:dyDescent="0.25">
      <c r="F1013" s="2"/>
      <c r="BS1013" s="2"/>
      <c r="BT1013" s="3"/>
      <c r="CF1013" s="2"/>
    </row>
    <row r="1014" spans="6:84" x14ac:dyDescent="0.25">
      <c r="F1014" s="2"/>
      <c r="BS1014" s="2"/>
      <c r="BT1014" s="3"/>
      <c r="CF1014" s="2"/>
    </row>
    <row r="1015" spans="6:84" x14ac:dyDescent="0.25">
      <c r="F1015" s="2"/>
      <c r="BS1015" s="2"/>
      <c r="BT1015" s="3"/>
      <c r="CF1015" s="2"/>
    </row>
    <row r="1016" spans="6:84" x14ac:dyDescent="0.25">
      <c r="F1016" s="2"/>
      <c r="BS1016" s="2"/>
      <c r="BT1016" s="3"/>
      <c r="CF1016" s="2"/>
    </row>
    <row r="1017" spans="6:84" x14ac:dyDescent="0.25">
      <c r="F1017" s="2"/>
      <c r="BS1017" s="2"/>
      <c r="BT1017" s="3"/>
      <c r="CF1017" s="2"/>
    </row>
    <row r="1018" spans="6:84" x14ac:dyDescent="0.25">
      <c r="F1018" s="2"/>
      <c r="BS1018" s="2"/>
      <c r="BT1018" s="3"/>
      <c r="CF1018" s="2"/>
    </row>
    <row r="1019" spans="6:84" x14ac:dyDescent="0.25">
      <c r="F1019" s="2"/>
      <c r="BS1019" s="2"/>
      <c r="BT1019" s="3"/>
      <c r="CF1019" s="2"/>
    </row>
    <row r="1020" spans="6:84" x14ac:dyDescent="0.25">
      <c r="F1020" s="2"/>
      <c r="BS1020" s="2"/>
      <c r="BT1020" s="3"/>
      <c r="CF1020" s="2"/>
    </row>
    <row r="1021" spans="6:84" x14ac:dyDescent="0.25">
      <c r="F1021" s="2"/>
      <c r="BS1021" s="2"/>
      <c r="BT1021" s="3"/>
      <c r="CF1021" s="2"/>
    </row>
    <row r="1022" spans="6:84" x14ac:dyDescent="0.25">
      <c r="F1022" s="2"/>
      <c r="BS1022" s="2"/>
      <c r="BT1022" s="3"/>
      <c r="CF1022" s="2"/>
    </row>
    <row r="1023" spans="6:84" x14ac:dyDescent="0.25">
      <c r="F1023" s="2"/>
      <c r="BS1023" s="2"/>
      <c r="BT1023" s="3"/>
      <c r="CF1023" s="2"/>
    </row>
    <row r="1024" spans="6:84" x14ac:dyDescent="0.25">
      <c r="F1024" s="2"/>
      <c r="BS1024" s="2"/>
      <c r="BT1024" s="3"/>
      <c r="CF1024" s="2"/>
    </row>
    <row r="1025" spans="6:84" x14ac:dyDescent="0.25">
      <c r="F1025" s="2"/>
      <c r="BS1025" s="2"/>
      <c r="BT1025" s="3"/>
      <c r="CF1025" s="2"/>
    </row>
    <row r="1026" spans="6:84" x14ac:dyDescent="0.25">
      <c r="F1026" s="2"/>
      <c r="BS1026" s="2"/>
      <c r="BT1026" s="3"/>
      <c r="CF1026" s="2"/>
    </row>
    <row r="1027" spans="6:84" x14ac:dyDescent="0.25">
      <c r="F1027" s="2"/>
      <c r="BS1027" s="2"/>
      <c r="BT1027" s="3"/>
      <c r="CF1027" s="2"/>
    </row>
    <row r="1028" spans="6:84" x14ac:dyDescent="0.25">
      <c r="F1028" s="2"/>
      <c r="BS1028" s="2"/>
      <c r="BT1028" s="3"/>
      <c r="CF1028" s="2"/>
    </row>
    <row r="1029" spans="6:84" x14ac:dyDescent="0.25">
      <c r="F1029" s="2"/>
      <c r="BS1029" s="2"/>
      <c r="BT1029" s="3"/>
      <c r="CF1029" s="2"/>
    </row>
    <row r="1030" spans="6:84" x14ac:dyDescent="0.25">
      <c r="F1030" s="2"/>
      <c r="BS1030" s="2"/>
      <c r="BT1030" s="3"/>
      <c r="CF1030" s="2"/>
    </row>
    <row r="1031" spans="6:84" x14ac:dyDescent="0.25">
      <c r="F1031" s="2"/>
      <c r="BS1031" s="2"/>
      <c r="BT1031" s="3"/>
      <c r="CF1031" s="2"/>
    </row>
    <row r="1032" spans="6:84" x14ac:dyDescent="0.25">
      <c r="F1032" s="2"/>
      <c r="BS1032" s="2"/>
      <c r="BT1032" s="3"/>
      <c r="CF1032" s="2"/>
    </row>
    <row r="1033" spans="6:84" x14ac:dyDescent="0.25">
      <c r="F1033" s="2"/>
      <c r="BS1033" s="2"/>
      <c r="BT1033" s="3"/>
      <c r="CF1033" s="2"/>
    </row>
    <row r="1034" spans="6:84" x14ac:dyDescent="0.25">
      <c r="F1034" s="2"/>
      <c r="BS1034" s="2"/>
      <c r="BT1034" s="3"/>
      <c r="CF1034" s="2"/>
    </row>
    <row r="1035" spans="6:84" x14ac:dyDescent="0.25">
      <c r="F1035" s="2"/>
      <c r="BS1035" s="2"/>
      <c r="BT1035" s="3"/>
      <c r="CF1035" s="2"/>
    </row>
    <row r="1036" spans="6:84" x14ac:dyDescent="0.25">
      <c r="F1036" s="2"/>
      <c r="BS1036" s="2"/>
      <c r="BT1036" s="3"/>
      <c r="CF1036" s="2"/>
    </row>
    <row r="1037" spans="6:84" x14ac:dyDescent="0.25">
      <c r="F1037" s="2"/>
      <c r="BS1037" s="2"/>
      <c r="BT1037" s="3"/>
      <c r="CF1037" s="2"/>
    </row>
    <row r="1038" spans="6:84" x14ac:dyDescent="0.25">
      <c r="F1038" s="2"/>
      <c r="BS1038" s="2"/>
      <c r="BT1038" s="3"/>
      <c r="CF1038" s="2"/>
    </row>
    <row r="1039" spans="6:84" x14ac:dyDescent="0.25">
      <c r="F1039" s="2"/>
      <c r="BS1039" s="2"/>
      <c r="BT1039" s="3"/>
      <c r="CF1039" s="2"/>
    </row>
    <row r="1040" spans="6:84" x14ac:dyDescent="0.25">
      <c r="F1040" s="2"/>
      <c r="BS1040" s="2"/>
      <c r="BT1040" s="3"/>
      <c r="CF1040" s="2"/>
    </row>
    <row r="1041" spans="6:84" x14ac:dyDescent="0.25">
      <c r="F1041" s="2"/>
      <c r="BS1041" s="2"/>
      <c r="BT1041" s="3"/>
    </row>
    <row r="1042" spans="6:84" x14ac:dyDescent="0.25">
      <c r="F1042" s="2"/>
      <c r="BS1042" s="2"/>
      <c r="BT1042" s="3"/>
      <c r="CF1042" s="2"/>
    </row>
    <row r="1043" spans="6:84" x14ac:dyDescent="0.25">
      <c r="F1043" s="2"/>
      <c r="BS1043" s="2"/>
      <c r="BT1043" s="3"/>
      <c r="CF1043" s="2"/>
    </row>
    <row r="1044" spans="6:84" x14ac:dyDescent="0.25">
      <c r="F1044" s="2"/>
      <c r="BS1044" s="2"/>
      <c r="BT1044" s="3"/>
      <c r="CF1044" s="2"/>
    </row>
    <row r="1045" spans="6:84" x14ac:dyDescent="0.25">
      <c r="F1045" s="2"/>
      <c r="BS1045" s="2"/>
      <c r="BT1045" s="3"/>
      <c r="CF1045" s="2"/>
    </row>
    <row r="1046" spans="6:84" x14ac:dyDescent="0.25">
      <c r="F1046" s="2"/>
      <c r="BS1046" s="2"/>
      <c r="BT1046" s="3"/>
      <c r="CF1046" s="2"/>
    </row>
    <row r="1047" spans="6:84" x14ac:dyDescent="0.25">
      <c r="F1047" s="2"/>
      <c r="BS1047" s="2"/>
      <c r="BT1047" s="3"/>
      <c r="CF1047" s="2"/>
    </row>
    <row r="1048" spans="6:84" x14ac:dyDescent="0.25">
      <c r="F1048" s="2"/>
      <c r="BS1048" s="2"/>
      <c r="BT1048" s="3"/>
      <c r="CF1048" s="2"/>
    </row>
    <row r="1049" spans="6:84" x14ac:dyDescent="0.25">
      <c r="F1049" s="2"/>
      <c r="BS1049" s="2"/>
      <c r="BT1049" s="3"/>
      <c r="CF1049" s="2"/>
    </row>
    <row r="1050" spans="6:84" x14ac:dyDescent="0.25">
      <c r="F1050" s="2"/>
      <c r="BS1050" s="2"/>
      <c r="BT1050" s="3"/>
      <c r="CF1050" s="2"/>
    </row>
    <row r="1051" spans="6:84" x14ac:dyDescent="0.25">
      <c r="F1051" s="2"/>
      <c r="BS1051" s="2"/>
      <c r="BT1051" s="3"/>
      <c r="CF1051" s="2"/>
    </row>
    <row r="1052" spans="6:84" x14ac:dyDescent="0.25">
      <c r="F1052" s="2"/>
      <c r="BS1052" s="2"/>
      <c r="BT1052" s="3"/>
      <c r="CF1052" s="2"/>
    </row>
    <row r="1053" spans="6:84" x14ac:dyDescent="0.25">
      <c r="F1053" s="2"/>
      <c r="BS1053" s="2"/>
      <c r="BT1053" s="3"/>
      <c r="CF1053" s="2"/>
    </row>
    <row r="1054" spans="6:84" x14ac:dyDescent="0.25">
      <c r="F1054" s="2"/>
      <c r="BS1054" s="2"/>
      <c r="BT1054" s="3"/>
      <c r="CF1054" s="2"/>
    </row>
    <row r="1055" spans="6:84" x14ac:dyDescent="0.25">
      <c r="F1055" s="2"/>
      <c r="BS1055" s="2"/>
      <c r="BT1055" s="3"/>
      <c r="CF1055" s="2"/>
    </row>
    <row r="1056" spans="6:84" x14ac:dyDescent="0.25">
      <c r="F1056" s="2"/>
      <c r="BS1056" s="2"/>
      <c r="BT1056" s="3"/>
      <c r="CF1056" s="2"/>
    </row>
    <row r="1057" spans="6:84" x14ac:dyDescent="0.25">
      <c r="F1057" s="2"/>
      <c r="BS1057" s="2"/>
      <c r="BT1057" s="3"/>
      <c r="CF1057" s="2"/>
    </row>
    <row r="1058" spans="6:84" x14ac:dyDescent="0.25">
      <c r="F1058" s="2"/>
      <c r="BS1058" s="2"/>
      <c r="BT1058" s="3"/>
      <c r="CF1058" s="2"/>
    </row>
    <row r="1059" spans="6:84" x14ac:dyDescent="0.25">
      <c r="F1059" s="2"/>
      <c r="BS1059" s="2"/>
      <c r="BT1059" s="3"/>
      <c r="CF1059" s="2"/>
    </row>
    <row r="1060" spans="6:84" x14ac:dyDescent="0.25">
      <c r="F1060" s="2"/>
      <c r="BS1060" s="2"/>
      <c r="BT1060" s="3"/>
      <c r="CF1060" s="2"/>
    </row>
    <row r="1061" spans="6:84" x14ac:dyDescent="0.25">
      <c r="F1061" s="2"/>
      <c r="BS1061" s="2"/>
      <c r="BT1061" s="3"/>
      <c r="CF1061" s="2"/>
    </row>
    <row r="1062" spans="6:84" x14ac:dyDescent="0.25">
      <c r="F1062" s="2"/>
      <c r="BS1062" s="2"/>
      <c r="BT1062" s="3"/>
      <c r="CF1062" s="2"/>
    </row>
    <row r="1063" spans="6:84" x14ac:dyDescent="0.25">
      <c r="F1063" s="2"/>
      <c r="BS1063" s="2"/>
      <c r="BT1063" s="3"/>
      <c r="CF1063" s="2"/>
    </row>
    <row r="1064" spans="6:84" x14ac:dyDescent="0.25">
      <c r="F1064" s="2"/>
      <c r="BS1064" s="2"/>
      <c r="BT1064" s="3"/>
      <c r="CF1064" s="2"/>
    </row>
    <row r="1065" spans="6:84" x14ac:dyDescent="0.25">
      <c r="F1065" s="2"/>
      <c r="BS1065" s="2"/>
      <c r="BT1065" s="3"/>
      <c r="CF1065" s="2"/>
    </row>
    <row r="1068" spans="6:84" x14ac:dyDescent="0.25">
      <c r="F1068" s="2"/>
      <c r="BS1068" s="2"/>
      <c r="BT1068" s="3"/>
      <c r="CF1068" s="2"/>
    </row>
    <row r="1069" spans="6:84" x14ac:dyDescent="0.25">
      <c r="F1069" s="2"/>
      <c r="BS1069" s="2"/>
      <c r="BT1069" s="3"/>
      <c r="CF1069" s="2"/>
    </row>
    <row r="1070" spans="6:84" x14ac:dyDescent="0.25">
      <c r="F1070" s="2"/>
      <c r="BS1070" s="2"/>
      <c r="BT1070" s="3"/>
      <c r="CF1070" s="2"/>
    </row>
    <row r="1071" spans="6:84" x14ac:dyDescent="0.25">
      <c r="F1071" s="2"/>
      <c r="BS1071" s="2"/>
      <c r="BT1071" s="3"/>
    </row>
    <row r="1072" spans="6:84" x14ac:dyDescent="0.25">
      <c r="F1072" s="2"/>
    </row>
    <row r="1073" spans="6:84" x14ac:dyDescent="0.25">
      <c r="F1073" s="2"/>
      <c r="BS1073" s="2"/>
      <c r="BT1073" s="3"/>
      <c r="CF1073" s="2"/>
    </row>
    <row r="1074" spans="6:84" x14ac:dyDescent="0.25">
      <c r="F1074" s="2"/>
      <c r="BS1074" s="2"/>
      <c r="BT1074" s="3"/>
      <c r="CF1074" s="2"/>
    </row>
    <row r="1075" spans="6:84" x14ac:dyDescent="0.25">
      <c r="F1075" s="2"/>
      <c r="BS1075" s="2"/>
      <c r="BT1075" s="3"/>
      <c r="CF1075" s="2"/>
    </row>
    <row r="1078" spans="6:84" x14ac:dyDescent="0.25">
      <c r="F1078" s="2"/>
      <c r="BS1078" s="2"/>
      <c r="BT1078" s="3"/>
      <c r="CF1078" s="2"/>
    </row>
    <row r="1079" spans="6:84" x14ac:dyDescent="0.25">
      <c r="F1079" s="2"/>
      <c r="BS1079" s="2"/>
      <c r="BT1079" s="3"/>
      <c r="CF1079" s="2"/>
    </row>
    <row r="1080" spans="6:84" x14ac:dyDescent="0.25">
      <c r="F1080" s="2"/>
      <c r="BS1080" s="2"/>
      <c r="BT1080" s="3"/>
      <c r="CF1080" s="2"/>
    </row>
    <row r="1081" spans="6:84" x14ac:dyDescent="0.25">
      <c r="F1081" s="2"/>
    </row>
    <row r="1082" spans="6:84" x14ac:dyDescent="0.25">
      <c r="F1082" s="2"/>
      <c r="BS1082" s="2"/>
      <c r="BT1082" s="3"/>
      <c r="CF1082" s="2"/>
    </row>
    <row r="1083" spans="6:84" x14ac:dyDescent="0.25">
      <c r="F1083" s="2"/>
      <c r="BS1083" s="2"/>
      <c r="BT1083" s="3"/>
      <c r="CF1083" s="2"/>
    </row>
    <row r="1084" spans="6:84" x14ac:dyDescent="0.25">
      <c r="F1084" s="2"/>
      <c r="BS1084" s="2"/>
      <c r="BT1084" s="3"/>
      <c r="CF1084" s="2"/>
    </row>
    <row r="1085" spans="6:84" x14ac:dyDescent="0.25">
      <c r="F1085" s="2"/>
      <c r="BS1085" s="2"/>
      <c r="BT1085" s="3"/>
      <c r="CF1085" s="2"/>
    </row>
    <row r="1086" spans="6:84" x14ac:dyDescent="0.25">
      <c r="F1086" s="2"/>
      <c r="BS1086" s="2"/>
      <c r="BT1086" s="3"/>
      <c r="CF1086" s="2"/>
    </row>
    <row r="1087" spans="6:84" x14ac:dyDescent="0.25">
      <c r="F1087" s="2"/>
      <c r="BS1087" s="2"/>
      <c r="BT1087" s="3"/>
      <c r="CF1087" s="2"/>
    </row>
    <row r="1088" spans="6:84" x14ac:dyDescent="0.25">
      <c r="F1088" s="2"/>
      <c r="BS1088" s="2"/>
      <c r="BT1088" s="3"/>
      <c r="CF1088" s="2"/>
    </row>
    <row r="1089" spans="6:84" x14ac:dyDescent="0.25">
      <c r="F1089" s="2"/>
      <c r="BS1089" s="2"/>
      <c r="BT1089" s="3"/>
      <c r="CF1089" s="2"/>
    </row>
    <row r="1090" spans="6:84" x14ac:dyDescent="0.25">
      <c r="F1090" s="2"/>
      <c r="BS1090" s="2"/>
      <c r="BT1090" s="3"/>
      <c r="CF1090" s="2"/>
    </row>
    <row r="1091" spans="6:84" x14ac:dyDescent="0.25">
      <c r="F1091" s="2"/>
      <c r="BS1091" s="2"/>
      <c r="BT1091" s="3"/>
      <c r="CF1091" s="2"/>
    </row>
    <row r="1092" spans="6:84" x14ac:dyDescent="0.25">
      <c r="F1092" s="2"/>
      <c r="BS1092" s="2"/>
      <c r="BT1092" s="3"/>
      <c r="CF1092" s="2"/>
    </row>
    <row r="1093" spans="6:84" x14ac:dyDescent="0.25">
      <c r="F1093" s="2"/>
    </row>
    <row r="1094" spans="6:84" x14ac:dyDescent="0.25">
      <c r="F1094" s="2"/>
    </row>
    <row r="1095" spans="6:84" x14ac:dyDescent="0.25">
      <c r="F1095" s="2"/>
      <c r="BS1095" s="2"/>
      <c r="BT1095" s="3"/>
      <c r="CF1095" s="2"/>
    </row>
    <row r="1096" spans="6:84" x14ac:dyDescent="0.25">
      <c r="F1096" s="2"/>
      <c r="BS1096" s="2"/>
      <c r="BT1096" s="3"/>
      <c r="CF1096" s="2"/>
    </row>
    <row r="1097" spans="6:84" x14ac:dyDescent="0.25">
      <c r="F1097" s="2"/>
      <c r="BS1097" s="2"/>
      <c r="BT1097" s="3"/>
      <c r="CF1097" s="2"/>
    </row>
    <row r="1098" spans="6:84" x14ac:dyDescent="0.25">
      <c r="F1098" s="2"/>
      <c r="BS1098" s="2"/>
      <c r="BT1098" s="3"/>
      <c r="CF1098" s="2"/>
    </row>
    <row r="1099" spans="6:84" x14ac:dyDescent="0.25">
      <c r="F1099" s="2"/>
      <c r="BS1099" s="2"/>
      <c r="BT1099" s="3"/>
      <c r="CF1099" s="2"/>
    </row>
    <row r="1100" spans="6:84" x14ac:dyDescent="0.25">
      <c r="F1100" s="2"/>
      <c r="BS1100" s="2"/>
      <c r="BT1100" s="3"/>
      <c r="CF1100" s="2"/>
    </row>
    <row r="1101" spans="6:84" x14ac:dyDescent="0.25">
      <c r="F1101" s="2"/>
      <c r="BS1101" s="2"/>
      <c r="BT1101" s="3"/>
      <c r="CF1101" s="2"/>
    </row>
    <row r="1102" spans="6:84" x14ac:dyDescent="0.25">
      <c r="F1102" s="2"/>
      <c r="BS1102" s="2"/>
      <c r="BT1102" s="3"/>
      <c r="CF1102" s="2"/>
    </row>
    <row r="1103" spans="6:84" x14ac:dyDescent="0.25">
      <c r="F1103" s="2"/>
      <c r="BS1103" s="2"/>
      <c r="BT1103" s="3"/>
      <c r="CF1103" s="2"/>
    </row>
    <row r="1104" spans="6:84" x14ac:dyDescent="0.25">
      <c r="F1104" s="2"/>
    </row>
    <row r="1105" spans="6:84" x14ac:dyDescent="0.25">
      <c r="F1105" s="2"/>
    </row>
    <row r="1106" spans="6:84" x14ac:dyDescent="0.25">
      <c r="F1106" s="2"/>
    </row>
    <row r="1107" spans="6:84" x14ac:dyDescent="0.25">
      <c r="F1107" s="2"/>
      <c r="BS1107" s="2"/>
      <c r="BT1107" s="3"/>
      <c r="CF1107" s="2"/>
    </row>
    <row r="1108" spans="6:84" x14ac:dyDescent="0.25">
      <c r="F1108" s="2"/>
      <c r="BS1108" s="2"/>
      <c r="BT1108" s="3"/>
      <c r="CF1108" s="2"/>
    </row>
    <row r="1109" spans="6:84" x14ac:dyDescent="0.25">
      <c r="F1109" s="2"/>
      <c r="BS1109" s="2"/>
      <c r="BT1109" s="3"/>
      <c r="CF1109" s="2"/>
    </row>
    <row r="1110" spans="6:84" x14ac:dyDescent="0.25">
      <c r="F1110" s="2"/>
      <c r="BS1110" s="2"/>
      <c r="BT1110" s="3"/>
      <c r="CF1110" s="2"/>
    </row>
    <row r="1111" spans="6:84" x14ac:dyDescent="0.25">
      <c r="F1111" s="2"/>
      <c r="BS1111" s="2"/>
      <c r="BT1111" s="3"/>
      <c r="CF1111" s="2"/>
    </row>
    <row r="1112" spans="6:84" x14ac:dyDescent="0.25">
      <c r="F1112" s="2"/>
      <c r="BS1112" s="2"/>
      <c r="BT1112" s="3"/>
      <c r="CF1112" s="2"/>
    </row>
    <row r="1113" spans="6:84" x14ac:dyDescent="0.25">
      <c r="F1113" s="2"/>
      <c r="BS1113" s="2"/>
      <c r="BT1113" s="3"/>
      <c r="CF1113" s="2"/>
    </row>
    <row r="1114" spans="6:84" x14ac:dyDescent="0.25">
      <c r="F1114" s="2"/>
      <c r="BS1114" s="2"/>
      <c r="BT1114" s="3"/>
      <c r="CF1114" s="2"/>
    </row>
    <row r="1115" spans="6:84" x14ac:dyDescent="0.25">
      <c r="F1115" s="2"/>
      <c r="BS1115" s="2"/>
      <c r="BT1115" s="3"/>
      <c r="CF1115" s="2"/>
    </row>
    <row r="1116" spans="6:84" x14ac:dyDescent="0.25">
      <c r="F1116" s="2"/>
      <c r="BS1116" s="2"/>
      <c r="BT1116" s="3"/>
      <c r="CF1116" s="2"/>
    </row>
    <row r="1117" spans="6:84" x14ac:dyDescent="0.25">
      <c r="F1117" s="2"/>
      <c r="BS1117" s="2"/>
      <c r="BT1117" s="3"/>
      <c r="CF1117" s="2"/>
    </row>
    <row r="1118" spans="6:84" x14ac:dyDescent="0.25">
      <c r="F1118" s="2"/>
      <c r="BS1118" s="2"/>
      <c r="BT1118" s="3"/>
      <c r="CF1118" s="2"/>
    </row>
    <row r="1119" spans="6:84" x14ac:dyDescent="0.25">
      <c r="F1119" s="2"/>
      <c r="BS1119" s="2"/>
      <c r="BT1119" s="3"/>
      <c r="CF1119" s="2"/>
    </row>
    <row r="1120" spans="6:84" x14ac:dyDescent="0.25">
      <c r="F1120" s="2"/>
      <c r="BS1120" s="2"/>
      <c r="BT1120" s="3"/>
      <c r="CF1120" s="2"/>
    </row>
    <row r="1121" spans="6:84" x14ac:dyDescent="0.25">
      <c r="F1121" s="2"/>
      <c r="BS1121" s="2"/>
      <c r="BT1121" s="3"/>
      <c r="CF1121" s="2"/>
    </row>
    <row r="1122" spans="6:84" x14ac:dyDescent="0.25">
      <c r="F1122" s="2"/>
      <c r="BS1122" s="2"/>
      <c r="BT1122" s="3"/>
      <c r="CF1122" s="2"/>
    </row>
    <row r="1123" spans="6:84" x14ac:dyDescent="0.25">
      <c r="F1123" s="2"/>
      <c r="BS1123" s="2"/>
      <c r="BT1123" s="3"/>
      <c r="CF1123" s="2"/>
    </row>
    <row r="1124" spans="6:84" x14ac:dyDescent="0.25">
      <c r="F1124" s="2"/>
      <c r="BS1124" s="2"/>
      <c r="BT1124" s="3"/>
      <c r="CF1124" s="2"/>
    </row>
    <row r="1125" spans="6:84" x14ac:dyDescent="0.25">
      <c r="F1125" s="2"/>
      <c r="BS1125" s="2"/>
      <c r="BT1125" s="3"/>
      <c r="CF1125" s="2"/>
    </row>
    <row r="1126" spans="6:84" x14ac:dyDescent="0.25">
      <c r="F1126" s="2"/>
      <c r="BS1126" s="2"/>
      <c r="BT1126" s="3"/>
      <c r="CF1126" s="2"/>
    </row>
    <row r="1127" spans="6:84" x14ac:dyDescent="0.25">
      <c r="F1127" s="2"/>
      <c r="BS1127" s="2"/>
      <c r="BT1127" s="3"/>
      <c r="CF1127" s="2"/>
    </row>
    <row r="1128" spans="6:84" x14ac:dyDescent="0.25">
      <c r="F1128" s="2"/>
      <c r="BS1128" s="2"/>
      <c r="BT1128" s="3"/>
      <c r="CF1128" s="2"/>
    </row>
    <row r="1129" spans="6:84" x14ac:dyDescent="0.25">
      <c r="F1129" s="2"/>
      <c r="BS1129" s="2"/>
      <c r="BT1129" s="3"/>
      <c r="CF1129" s="2"/>
    </row>
    <row r="1130" spans="6:84" x14ac:dyDescent="0.25">
      <c r="F1130" s="2"/>
      <c r="BS1130" s="2"/>
      <c r="BT1130" s="3"/>
      <c r="CF1130" s="2"/>
    </row>
    <row r="1131" spans="6:84" x14ac:dyDescent="0.25">
      <c r="F1131" s="2"/>
      <c r="BS1131" s="2"/>
      <c r="BT1131" s="3"/>
      <c r="CF1131" s="2"/>
    </row>
    <row r="1132" spans="6:84" x14ac:dyDescent="0.25">
      <c r="F1132" s="2"/>
      <c r="BS1132" s="2"/>
      <c r="BT1132" s="3"/>
      <c r="CF1132" s="2"/>
    </row>
    <row r="1133" spans="6:84" x14ac:dyDescent="0.25">
      <c r="F1133" s="2"/>
      <c r="BS1133" s="2"/>
      <c r="BT1133" s="3"/>
      <c r="CF1133" s="2"/>
    </row>
    <row r="1134" spans="6:84" x14ac:dyDescent="0.25">
      <c r="F1134" s="2"/>
      <c r="BS1134" s="2"/>
      <c r="BT1134" s="3"/>
      <c r="CF1134" s="2"/>
    </row>
    <row r="1135" spans="6:84" x14ac:dyDescent="0.25">
      <c r="F1135" s="2"/>
      <c r="BS1135" s="2"/>
      <c r="BT1135" s="3"/>
      <c r="CF1135" s="2"/>
    </row>
    <row r="1136" spans="6:84" x14ac:dyDescent="0.25">
      <c r="F1136" s="2"/>
      <c r="BS1136" s="2"/>
      <c r="BT1136" s="3"/>
      <c r="CF1136" s="2"/>
    </row>
    <row r="1137" spans="6:84" x14ac:dyDescent="0.25">
      <c r="F1137" s="2"/>
      <c r="BS1137" s="2"/>
      <c r="BT1137" s="3"/>
      <c r="CF1137" s="2"/>
    </row>
    <row r="1138" spans="6:84" x14ac:dyDescent="0.25">
      <c r="F1138" s="2"/>
      <c r="BS1138" s="2"/>
      <c r="BT1138" s="3"/>
      <c r="CF1138" s="2"/>
    </row>
    <row r="1139" spans="6:84" x14ac:dyDescent="0.25">
      <c r="F1139" s="2"/>
      <c r="BS1139" s="2"/>
      <c r="BT1139" s="3"/>
      <c r="CF1139" s="2"/>
    </row>
    <row r="1140" spans="6:84" x14ac:dyDescent="0.25">
      <c r="F1140" s="2"/>
      <c r="BS1140" s="2"/>
      <c r="BT1140" s="3"/>
      <c r="CF1140" s="2"/>
    </row>
    <row r="1141" spans="6:84" x14ac:dyDescent="0.25">
      <c r="F1141" s="2"/>
      <c r="BS1141" s="2"/>
      <c r="BT1141" s="3"/>
      <c r="CF1141" s="2"/>
    </row>
    <row r="1142" spans="6:84" x14ac:dyDescent="0.25">
      <c r="F1142" s="2"/>
      <c r="BS1142" s="2"/>
      <c r="BT1142" s="3"/>
      <c r="CF1142" s="2"/>
    </row>
    <row r="1143" spans="6:84" x14ac:dyDescent="0.25">
      <c r="F1143" s="2"/>
      <c r="BS1143" s="2"/>
      <c r="BT1143" s="3"/>
      <c r="CF1143" s="2"/>
    </row>
    <row r="1144" spans="6:84" x14ac:dyDescent="0.25">
      <c r="F1144" s="2"/>
      <c r="BS1144" s="2"/>
      <c r="BT1144" s="3"/>
      <c r="CF1144" s="2"/>
    </row>
    <row r="1145" spans="6:84" x14ac:dyDescent="0.25">
      <c r="F1145" s="2"/>
      <c r="BS1145" s="2"/>
      <c r="BT1145" s="3"/>
      <c r="CF1145" s="2"/>
    </row>
    <row r="1146" spans="6:84" x14ac:dyDescent="0.25">
      <c r="F1146" s="2"/>
      <c r="BS1146" s="2"/>
      <c r="BT1146" s="3"/>
      <c r="CF1146" s="2"/>
    </row>
    <row r="1147" spans="6:84" x14ac:dyDescent="0.25">
      <c r="F1147" s="2"/>
      <c r="BS1147" s="2"/>
      <c r="BT1147" s="3"/>
      <c r="CF1147" s="2"/>
    </row>
    <row r="1148" spans="6:84" x14ac:dyDescent="0.25">
      <c r="F1148" s="2"/>
      <c r="BS1148" s="2"/>
      <c r="BT1148" s="3"/>
      <c r="CF1148" s="2"/>
    </row>
    <row r="1149" spans="6:84" x14ac:dyDescent="0.25">
      <c r="F1149" s="2"/>
      <c r="BS1149" s="2"/>
      <c r="BT1149" s="3"/>
      <c r="CF1149" s="2"/>
    </row>
    <row r="1150" spans="6:84" x14ac:dyDescent="0.25">
      <c r="F1150" s="2"/>
      <c r="BS1150" s="2"/>
      <c r="BT1150" s="3"/>
      <c r="CF1150" s="2"/>
    </row>
    <row r="1151" spans="6:84" x14ac:dyDescent="0.25">
      <c r="F1151" s="2"/>
      <c r="BS1151" s="2"/>
      <c r="BT1151" s="3"/>
      <c r="CF1151" s="2"/>
    </row>
    <row r="1152" spans="6:84" x14ac:dyDescent="0.25">
      <c r="F1152" s="2"/>
      <c r="BS1152" s="2"/>
      <c r="BT1152" s="3"/>
      <c r="CF1152" s="2"/>
    </row>
    <row r="1153" spans="6:84" x14ac:dyDescent="0.25">
      <c r="F1153" s="2"/>
      <c r="BS1153" s="2"/>
      <c r="BT1153" s="3"/>
      <c r="CF1153" s="2"/>
    </row>
    <row r="1154" spans="6:84" x14ac:dyDescent="0.25">
      <c r="F1154" s="2"/>
      <c r="BS1154" s="2"/>
      <c r="BT1154" s="3"/>
      <c r="CF1154" s="2"/>
    </row>
    <row r="1155" spans="6:84" x14ac:dyDescent="0.25">
      <c r="F1155" s="2"/>
      <c r="BS1155" s="2"/>
      <c r="BT1155" s="3"/>
      <c r="CF1155" s="2"/>
    </row>
    <row r="1156" spans="6:84" x14ac:dyDescent="0.25">
      <c r="F1156" s="2"/>
      <c r="BS1156" s="2"/>
      <c r="BT1156" s="3"/>
      <c r="CF1156" s="2"/>
    </row>
    <row r="1157" spans="6:84" x14ac:dyDescent="0.25">
      <c r="F1157" s="2"/>
      <c r="BS1157" s="2"/>
      <c r="BT1157" s="3"/>
      <c r="CF1157" s="2"/>
    </row>
    <row r="1158" spans="6:84" x14ac:dyDescent="0.25">
      <c r="F1158" s="2"/>
      <c r="BS1158" s="2"/>
      <c r="BT1158" s="3"/>
      <c r="CF1158" s="2"/>
    </row>
    <row r="1159" spans="6:84" x14ac:dyDescent="0.25">
      <c r="F1159" s="2"/>
      <c r="BS1159" s="2"/>
      <c r="BT1159" s="3"/>
      <c r="CF1159" s="2"/>
    </row>
    <row r="1160" spans="6:84" x14ac:dyDescent="0.25">
      <c r="F1160" s="2"/>
      <c r="BS1160" s="2"/>
      <c r="BT1160" s="3"/>
      <c r="CF1160" s="2"/>
    </row>
    <row r="1161" spans="6:84" x14ac:dyDescent="0.25">
      <c r="F1161" s="2"/>
      <c r="BS1161" s="2"/>
      <c r="BT1161" s="3"/>
      <c r="CF1161" s="2"/>
    </row>
    <row r="1162" spans="6:84" x14ac:dyDescent="0.25">
      <c r="F1162" s="2"/>
      <c r="BS1162" s="2"/>
      <c r="BT1162" s="3"/>
      <c r="CF1162" s="2"/>
    </row>
    <row r="1163" spans="6:84" x14ac:dyDescent="0.25">
      <c r="F1163" s="2"/>
      <c r="BS1163" s="2"/>
      <c r="BT1163" s="3"/>
      <c r="CF1163" s="2"/>
    </row>
    <row r="1164" spans="6:84" x14ac:dyDescent="0.25">
      <c r="F1164" s="2"/>
      <c r="BS1164" s="2"/>
      <c r="BT1164" s="3"/>
      <c r="CF1164" s="2"/>
    </row>
    <row r="1165" spans="6:84" x14ac:dyDescent="0.25">
      <c r="F1165" s="2"/>
      <c r="BS1165" s="2"/>
      <c r="BT1165" s="3"/>
      <c r="CF1165" s="2"/>
    </row>
    <row r="1166" spans="6:84" x14ac:dyDescent="0.25">
      <c r="F1166" s="2"/>
      <c r="BS1166" s="2"/>
      <c r="BT1166" s="3"/>
      <c r="CF1166" s="2"/>
    </row>
    <row r="1167" spans="6:84" x14ac:dyDescent="0.25">
      <c r="F1167" s="2"/>
      <c r="BS1167" s="2"/>
      <c r="BT1167" s="3"/>
      <c r="CF1167" s="2"/>
    </row>
    <row r="1168" spans="6:84" x14ac:dyDescent="0.25">
      <c r="F1168" s="2"/>
      <c r="BS1168" s="2"/>
      <c r="BT1168" s="3"/>
      <c r="CF1168" s="2"/>
    </row>
    <row r="1169" spans="6:84" x14ac:dyDescent="0.25">
      <c r="F1169" s="2"/>
      <c r="BS1169" s="2"/>
      <c r="BT1169" s="3"/>
      <c r="CF1169" s="2"/>
    </row>
    <row r="1170" spans="6:84" x14ac:dyDescent="0.25">
      <c r="F1170" s="2"/>
      <c r="BS1170" s="2"/>
      <c r="BT1170" s="3"/>
      <c r="CF1170" s="2"/>
    </row>
    <row r="1171" spans="6:84" x14ac:dyDescent="0.25">
      <c r="F1171" s="2"/>
      <c r="BS1171" s="2"/>
      <c r="BT1171" s="3"/>
      <c r="CF1171" s="2"/>
    </row>
    <row r="1172" spans="6:84" x14ac:dyDescent="0.25">
      <c r="F1172" s="2"/>
      <c r="BS1172" s="2"/>
      <c r="BT1172" s="3"/>
      <c r="CF1172" s="2"/>
    </row>
    <row r="1173" spans="6:84" x14ac:dyDescent="0.25">
      <c r="F1173" s="2"/>
      <c r="BS1173" s="2"/>
      <c r="BT1173" s="3"/>
      <c r="CF1173" s="2"/>
    </row>
    <row r="1174" spans="6:84" x14ac:dyDescent="0.25">
      <c r="F1174" s="2"/>
      <c r="BS1174" s="2"/>
      <c r="BT1174" s="3"/>
      <c r="CF1174" s="2"/>
    </row>
    <row r="1175" spans="6:84" x14ac:dyDescent="0.25">
      <c r="F1175" s="2"/>
      <c r="BS1175" s="2"/>
      <c r="BT1175" s="3"/>
      <c r="CF1175" s="2"/>
    </row>
    <row r="1176" spans="6:84" x14ac:dyDescent="0.25">
      <c r="F1176" s="2"/>
      <c r="BS1176" s="2"/>
      <c r="BT1176" s="3"/>
      <c r="CF1176" s="2"/>
    </row>
    <row r="1177" spans="6:84" x14ac:dyDescent="0.25">
      <c r="F1177" s="2"/>
      <c r="BS1177" s="2"/>
      <c r="BT1177" s="3"/>
      <c r="CF1177" s="2"/>
    </row>
    <row r="1178" spans="6:84" x14ac:dyDescent="0.25">
      <c r="F1178" s="2"/>
      <c r="BS1178" s="2"/>
      <c r="BT1178" s="3"/>
      <c r="CF117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2021-06-30T10:41:21Z</dcterms:created>
  <dcterms:modified xsi:type="dcterms:W3CDTF">2021-06-30T14:56:18Z</dcterms:modified>
</cp:coreProperties>
</file>