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244" i="1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<sst xmlns="http://schemas.openxmlformats.org/spreadsheetml/2006/main" count="4954" uniqueCount="1076">
  <si>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</si>
  <si>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</si>
  <si>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</si>
  <si>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</si>
  <si>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</si>
  <si>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</si>
  <si>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</si>
  <si>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</si>
  <si>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</si>
  <si>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</si>
  <si>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</si>
  <si>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</si>
  <si>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</si>
  <si>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</si>
  <si>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</si>
  <si>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</si>
  <si>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</si>
  <si>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</si>
  <si>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</si>
  <si>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</si>
  <si>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</si>
  <si>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</si>
  <si>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</si>
  <si>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</si>
  <si>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</si>
  <si>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</si>
  <si>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</si>
  <si>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</si>
  <si>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</si>
  <si>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</si>
  <si>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</si>
  <si>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</si>
  <si>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</si>
  <si>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</si>
  <si>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</si>
  <si>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</si>
  <si>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</si>
  <si>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</si>
  <si>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</si>
  <si>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</si>
  <si>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</si>
  <si>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</si>
  <si>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</si>
  <si>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</si>
  <si>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</si>
  <si>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</si>
  <si>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</si>
  <si>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</si>
  <si>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</si>
  <si>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</si>
  <si>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</si>
  <si>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</si>
  <si>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</si>
  <si>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</si>
  <si>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</si>
  <si>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</si>
  <si>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</si>
  <si>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</si>
  <si>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</si>
  <si>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</si>
  <si>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</si>
  <si>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</si>
  <si>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</si>
  <si>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</si>
  <si>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</si>
  <si>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</si>
  <si>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</si>
  <si>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</si>
  <si>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</si>
  <si>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</si>
  <si>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</si>
  <si>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J17991</t>
  </si>
  <si>
    <t xml:space="preserve">MOVE ANALYTICS CC - ADMIN          </t>
  </si>
  <si>
    <t>WAY</t>
  </si>
  <si>
    <t>SOME2</t>
  </si>
  <si>
    <t>SOMERSET WEST</t>
  </si>
  <si>
    <t xml:space="preserve">Le Creuset                         </t>
  </si>
  <si>
    <t xml:space="preserve">                                   </t>
  </si>
  <si>
    <t>PIET1</t>
  </si>
  <si>
    <t>PIETERMARITZBURG</t>
  </si>
  <si>
    <t xml:space="preserve">Daphne Bouttell                    </t>
  </si>
  <si>
    <t>RD</t>
  </si>
  <si>
    <t>Daphne Bouttell</t>
  </si>
  <si>
    <t>Mary</t>
  </si>
  <si>
    <t>Bouttell</t>
  </si>
  <si>
    <t>no</t>
  </si>
  <si>
    <t>Late linehaul</t>
  </si>
  <si>
    <t>ssn</t>
  </si>
  <si>
    <t>POD received from cell 0737818615 M</t>
  </si>
  <si>
    <t>SMALL</t>
  </si>
  <si>
    <t>RD2</t>
  </si>
  <si>
    <t>POTCH</t>
  </si>
  <si>
    <t>POTCHEFSTROOM</t>
  </si>
  <si>
    <t xml:space="preserve">Connie Sieberhagen                 </t>
  </si>
  <si>
    <t>Connie Sieberhagen</t>
  </si>
  <si>
    <t>Christelle</t>
  </si>
  <si>
    <t>yes</t>
  </si>
  <si>
    <t>POD received from cell 0798449264 M</t>
  </si>
  <si>
    <t>RD3</t>
  </si>
  <si>
    <t>RANDB</t>
  </si>
  <si>
    <t>RANDBURG</t>
  </si>
  <si>
    <t xml:space="preserve">Morag Stiles                       </t>
  </si>
  <si>
    <t>Morag Stiles</t>
  </si>
  <si>
    <t>ILLEG</t>
  </si>
  <si>
    <t>POD received from cell 0749203782 M</t>
  </si>
  <si>
    <t>JOHAN</t>
  </si>
  <si>
    <t>JOHANNESBURG</t>
  </si>
  <si>
    <t xml:space="preserve">Rone Bezuidenhout                  </t>
  </si>
  <si>
    <t>Rone Bezuidenhout</t>
  </si>
  <si>
    <t>CECIL</t>
  </si>
  <si>
    <t>BOKSB</t>
  </si>
  <si>
    <t>BOKSBURG</t>
  </si>
  <si>
    <t xml:space="preserve">Jennifer Lee Combrinck             </t>
  </si>
  <si>
    <t>Jennifer</t>
  </si>
  <si>
    <t xml:space="preserve">sarika singh                  </t>
  </si>
  <si>
    <t xml:space="preserve">POD received from cell 0717669109 M     </t>
  </si>
  <si>
    <t>PRETO</t>
  </si>
  <si>
    <t>PRETORIA</t>
  </si>
  <si>
    <t xml:space="preserve">Karen Talbot                       </t>
  </si>
  <si>
    <t>Karen Talbot</t>
  </si>
  <si>
    <t>ANDRIE</t>
  </si>
  <si>
    <t>Spec</t>
  </si>
  <si>
    <t>PORT3</t>
  </si>
  <si>
    <t>PORT ELIZABETH</t>
  </si>
  <si>
    <t xml:space="preserve">Thembela Oor                       </t>
  </si>
  <si>
    <t>Thembela Oor</t>
  </si>
  <si>
    <t>ALBERT</t>
  </si>
  <si>
    <t>POD received from cell 0794644140 M</t>
  </si>
  <si>
    <t>RDX</t>
  </si>
  <si>
    <t>MIDRA</t>
  </si>
  <si>
    <t>MIDRAND</t>
  </si>
  <si>
    <t xml:space="preserve">Veruschka De Wet                   </t>
  </si>
  <si>
    <t>Veruschka De Wet</t>
  </si>
  <si>
    <t>POD received from cell 0833616148 M</t>
  </si>
  <si>
    <t>NEW BOX</t>
  </si>
  <si>
    <t>PINET</t>
  </si>
  <si>
    <t>PINETOWN</t>
  </si>
  <si>
    <t xml:space="preserve">Lourens Brown                      </t>
  </si>
  <si>
    <t>Lourens Brown</t>
  </si>
  <si>
    <t>Linda</t>
  </si>
  <si>
    <t>POD received from cell 0728272374 M</t>
  </si>
  <si>
    <t>HILTO</t>
  </si>
  <si>
    <t>HILTON</t>
  </si>
  <si>
    <t xml:space="preserve">Heather Ashton                     </t>
  </si>
  <si>
    <t>Heather Ashton</t>
  </si>
  <si>
    <t>Cynthia zondi</t>
  </si>
  <si>
    <t>rav</t>
  </si>
  <si>
    <t>POD received from cell 0625045293 M</t>
  </si>
  <si>
    <t>RD4</t>
  </si>
  <si>
    <t>CAPET</t>
  </si>
  <si>
    <t>CAPE TOWN</t>
  </si>
  <si>
    <t xml:space="preserve">Zoe Du Bruyn                       </t>
  </si>
  <si>
    <t>Nicole Ramos</t>
  </si>
  <si>
    <t>s bennet</t>
  </si>
  <si>
    <t>RDL</t>
  </si>
  <si>
    <t>BLOE1</t>
  </si>
  <si>
    <t>BLOEMFONTEIN</t>
  </si>
  <si>
    <t xml:space="preserve">Chanel De Vos                      </t>
  </si>
  <si>
    <t>Chanel De Vos</t>
  </si>
  <si>
    <t xml:space="preserve">nadine                        </t>
  </si>
  <si>
    <t xml:space="preserve">POD received from cell 0731981103 M     </t>
  </si>
  <si>
    <t>GEORG</t>
  </si>
  <si>
    <t>GEORGE</t>
  </si>
  <si>
    <t xml:space="preserve">Anuschka Mocke                     </t>
  </si>
  <si>
    <t>Simone De Jager</t>
  </si>
  <si>
    <t>A V D Berg</t>
  </si>
  <si>
    <t>POD received from cell 0792881349 M</t>
  </si>
  <si>
    <t>RDD</t>
  </si>
  <si>
    <t>TONGA</t>
  </si>
  <si>
    <t>TONGAAT</t>
  </si>
  <si>
    <t xml:space="preserve">Herman Botha                       </t>
  </si>
  <si>
    <t>Herman Botha</t>
  </si>
  <si>
    <t>Outlying delivery location</t>
  </si>
  <si>
    <t>col</t>
  </si>
  <si>
    <t>rd3</t>
  </si>
  <si>
    <t>SASOL</t>
  </si>
  <si>
    <t>SASOLBURG</t>
  </si>
  <si>
    <t xml:space="preserve">STEFAN   NATASHA                   </t>
  </si>
  <si>
    <t>NATASHA</t>
  </si>
  <si>
    <t>a louw</t>
  </si>
  <si>
    <t>POD received from cell 0714137462 M</t>
  </si>
  <si>
    <t>RD5</t>
  </si>
  <si>
    <t>PIKET</t>
  </si>
  <si>
    <t>PIKETBERG</t>
  </si>
  <si>
    <t xml:space="preserve">Maryke Feris                       </t>
  </si>
  <si>
    <t>Maryke Feris</t>
  </si>
  <si>
    <t>e feris</t>
  </si>
  <si>
    <t>RDR</t>
  </si>
  <si>
    <t xml:space="preserve">Steven Visagie                     </t>
  </si>
  <si>
    <t>Steven Visagie</t>
  </si>
  <si>
    <t>POD received from cell 0727508838 M</t>
  </si>
  <si>
    <t>EAST</t>
  </si>
  <si>
    <t>EAST LONDON</t>
  </si>
  <si>
    <t xml:space="preserve">Karen Klinkradt                    </t>
  </si>
  <si>
    <t>Karen Klinkradt</t>
  </si>
  <si>
    <t>Althea</t>
  </si>
  <si>
    <t>POD received from cell 0716163149 M</t>
  </si>
  <si>
    <t>MEDIUM BOX</t>
  </si>
  <si>
    <t>RUSTE</t>
  </si>
  <si>
    <t>RUSTENBURG</t>
  </si>
  <si>
    <t xml:space="preserve">Salome Van Rooyen                  </t>
  </si>
  <si>
    <t>Salome Van Rooyen</t>
  </si>
  <si>
    <t xml:space="preserve">ALTRED                        </t>
  </si>
  <si>
    <t xml:space="preserve">                                        </t>
  </si>
  <si>
    <t>Flat</t>
  </si>
  <si>
    <t>KIRKW</t>
  </si>
  <si>
    <t>KIRKWOOD</t>
  </si>
  <si>
    <t xml:space="preserve">Ninke Scheepers                    </t>
  </si>
  <si>
    <t>Ninke Scheepers</t>
  </si>
  <si>
    <t>D STANDER</t>
  </si>
  <si>
    <t>VERWO</t>
  </si>
  <si>
    <t>CENTURION</t>
  </si>
  <si>
    <t xml:space="preserve">Dale K Tute                        </t>
  </si>
  <si>
    <t>DALE K MCERLEAN</t>
  </si>
  <si>
    <t>moses</t>
  </si>
  <si>
    <t>POD received from cell 0766143929 M</t>
  </si>
  <si>
    <t xml:space="preserve">JUAN GERRITSEN                     </t>
  </si>
  <si>
    <t>JUAN GERRITSEN</t>
  </si>
  <si>
    <t>SOPHY</t>
  </si>
  <si>
    <t>Driver late</t>
  </si>
  <si>
    <t>mmd</t>
  </si>
  <si>
    <t xml:space="preserve">BUHLE                              </t>
  </si>
  <si>
    <t>BUHLE</t>
  </si>
  <si>
    <t>JERSNIME</t>
  </si>
  <si>
    <t xml:space="preserve">MARIO GROENEWALD                   </t>
  </si>
  <si>
    <t>MARIO</t>
  </si>
  <si>
    <t>allan</t>
  </si>
  <si>
    <t>POD received from cell 0745099105 M</t>
  </si>
  <si>
    <t>KNYSN</t>
  </si>
  <si>
    <t>KNYSNA</t>
  </si>
  <si>
    <t xml:space="preserve">Clyde Marais                       </t>
  </si>
  <si>
    <t>Clyde Marais</t>
  </si>
  <si>
    <t>aronowiz</t>
  </si>
  <si>
    <t>RD1</t>
  </si>
  <si>
    <t>DURBA</t>
  </si>
  <si>
    <t>DURBAN</t>
  </si>
  <si>
    <t xml:space="preserve">P Reddy                            </t>
  </si>
  <si>
    <t>P Reddy</t>
  </si>
  <si>
    <t>POD received from cell 0710036302 M</t>
  </si>
  <si>
    <t xml:space="preserve">Kathy Wilson                       </t>
  </si>
  <si>
    <t>Kathy Wilson</t>
  </si>
  <si>
    <t>Hold for Collection</t>
  </si>
  <si>
    <t>NLG</t>
  </si>
  <si>
    <t>POD received from cell 0813506176 M</t>
  </si>
  <si>
    <t>FLAT BOX</t>
  </si>
  <si>
    <t>ROODE</t>
  </si>
  <si>
    <t>ROODEPOORT</t>
  </si>
  <si>
    <t xml:space="preserve">Mary-Anne Murray                   </t>
  </si>
  <si>
    <t>Mary-Anne Murray</t>
  </si>
  <si>
    <t>POD received from cell 0768687790 M</t>
  </si>
  <si>
    <t>STEL2</t>
  </si>
  <si>
    <t>STELLENBOSCH</t>
  </si>
  <si>
    <t xml:space="preserve">Mariette Conning                   </t>
  </si>
  <si>
    <t>Mariette Conning</t>
  </si>
  <si>
    <t>POD received from cell 0836523461 M</t>
  </si>
  <si>
    <t>DUNDE</t>
  </si>
  <si>
    <t>DUNDEE</t>
  </si>
  <si>
    <t xml:space="preserve">CM Gold                            </t>
  </si>
  <si>
    <t>CM GOLD</t>
  </si>
  <si>
    <t xml:space="preserve">GOLD                          </t>
  </si>
  <si>
    <t>phr</t>
  </si>
  <si>
    <t xml:space="preserve">Leon Venter                        </t>
  </si>
  <si>
    <t>Leon Venter</t>
  </si>
  <si>
    <t>Piet</t>
  </si>
  <si>
    <t>POD received from cell 0795547131 M</t>
  </si>
  <si>
    <t xml:space="preserve">Ragmah                             </t>
  </si>
  <si>
    <t>Ragmah</t>
  </si>
  <si>
    <t>POD received from cell 0780677831 M</t>
  </si>
  <si>
    <t xml:space="preserve">Jan Hendrik                        </t>
  </si>
  <si>
    <t>Jan Hendrik</t>
  </si>
  <si>
    <t>KAIZER</t>
  </si>
  <si>
    <t>POD received from cell 0820652778 M</t>
  </si>
  <si>
    <t xml:space="preserve">OLGA JAKOVLEVA                     </t>
  </si>
  <si>
    <t>OLGA JAKOVLEVA</t>
  </si>
  <si>
    <t>MFOWABO</t>
  </si>
  <si>
    <t>j17991</t>
  </si>
  <si>
    <t xml:space="preserve">AVI FIELD MARKETING                </t>
  </si>
  <si>
    <t xml:space="preserve">INDIFO BRANDS                      </t>
  </si>
  <si>
    <t>ON1</t>
  </si>
  <si>
    <t>KAREL</t>
  </si>
  <si>
    <t>KESHIA</t>
  </si>
  <si>
    <t>nobutshwa</t>
  </si>
  <si>
    <t>POD received from cell 0747633484 M</t>
  </si>
  <si>
    <t>PARCEL</t>
  </si>
  <si>
    <t>KEMPT</t>
  </si>
  <si>
    <t>KEMPTON PARK</t>
  </si>
  <si>
    <t xml:space="preserve">PRIONTEX                           </t>
  </si>
  <si>
    <t xml:space="preserve">ASPIN                              </t>
  </si>
  <si>
    <t>SDX</t>
  </si>
  <si>
    <t>SKUMBOZO</t>
  </si>
  <si>
    <t>shabavu</t>
  </si>
  <si>
    <t>DSD / FUE</t>
  </si>
  <si>
    <t xml:space="preserve">Lindy Anne Krige                   </t>
  </si>
  <si>
    <t>ON2</t>
  </si>
  <si>
    <t>Lindy Anne Krige</t>
  </si>
  <si>
    <t xml:space="preserve">Lindy Anne Krige              </t>
  </si>
  <si>
    <t xml:space="preserve">POD received from cell 0814169974 M     </t>
  </si>
  <si>
    <t>Extra Small\</t>
  </si>
  <si>
    <t xml:space="preserve">Naeemah Noordien                   </t>
  </si>
  <si>
    <t>Dudu Kgoebane</t>
  </si>
  <si>
    <t>Mmatsheko</t>
  </si>
  <si>
    <t>POD received from cell 0842332441 M</t>
  </si>
  <si>
    <t>Extra Small</t>
  </si>
  <si>
    <t xml:space="preserve">Andrew Nightingale                 </t>
  </si>
  <si>
    <t>Marie Coxford</t>
  </si>
  <si>
    <t>Andrew Nightingale</t>
  </si>
  <si>
    <t>elw</t>
  </si>
  <si>
    <t>POD received from cell 0733619495 M</t>
  </si>
  <si>
    <t xml:space="preserve">Kirsty Storar                      </t>
  </si>
  <si>
    <t>Kirsty Storar</t>
  </si>
  <si>
    <t>b hathrill</t>
  </si>
  <si>
    <t>POD received from cell 0746323872 M</t>
  </si>
  <si>
    <t>UMKOM</t>
  </si>
  <si>
    <t>UMKOMAAS</t>
  </si>
  <si>
    <t xml:space="preserve">Philip Schalkwyk                   </t>
  </si>
  <si>
    <t>Philip Schalkwyk</t>
  </si>
  <si>
    <t>Ayanda</t>
  </si>
  <si>
    <t>POD received from cell 0612743370 M</t>
  </si>
  <si>
    <t xml:space="preserve">Reneilwe Ntsharang                 </t>
  </si>
  <si>
    <t>Reneilwe Ntsharang</t>
  </si>
  <si>
    <t>POD received from cell 0765937442 M</t>
  </si>
  <si>
    <t>MOSSE</t>
  </si>
  <si>
    <t>MOSSEL BAY</t>
  </si>
  <si>
    <t xml:space="preserve">Sinria Wolmarans                   </t>
  </si>
  <si>
    <t>Sinria Wolmarans</t>
  </si>
  <si>
    <t>EUNICE</t>
  </si>
  <si>
    <t xml:space="preserve">Lucille Bothma                     </t>
  </si>
  <si>
    <t>Lucille Bothma</t>
  </si>
  <si>
    <t>lucille</t>
  </si>
  <si>
    <t xml:space="preserve">Simon Gush                         </t>
  </si>
  <si>
    <t>Simon Gush</t>
  </si>
  <si>
    <t xml:space="preserve">Jean-Claude Granger                </t>
  </si>
  <si>
    <t>Jean-Claude Granger</t>
  </si>
  <si>
    <t>storm</t>
  </si>
  <si>
    <t>POD received from cell 0820536959 M</t>
  </si>
  <si>
    <t>SANDT</t>
  </si>
  <si>
    <t>SANDTON</t>
  </si>
  <si>
    <t xml:space="preserve">Jason Chang                        </t>
  </si>
  <si>
    <t>Jason Chang</t>
  </si>
  <si>
    <t>SUNAH</t>
  </si>
  <si>
    <t xml:space="preserve">Lina Snyders                       </t>
  </si>
  <si>
    <t>Lina Snyders</t>
  </si>
  <si>
    <t>illeg</t>
  </si>
  <si>
    <t>POD received from cell 0826688138 M</t>
  </si>
  <si>
    <t xml:space="preserve">Willie Hanekom                     </t>
  </si>
  <si>
    <t>Willie Hanekom</t>
  </si>
  <si>
    <t>Patrick</t>
  </si>
  <si>
    <t>EMPAN</t>
  </si>
  <si>
    <t>EMPANGENI</t>
  </si>
  <si>
    <t xml:space="preserve">Barbara Kewley                     </t>
  </si>
  <si>
    <t>Barbara Kewley</t>
  </si>
  <si>
    <t>POD received from cell 0606762579 M</t>
  </si>
  <si>
    <t xml:space="preserve">Michelle Barnette                  </t>
  </si>
  <si>
    <t>Michelle Barnette</t>
  </si>
  <si>
    <t>POD received from cell 0215903200 M</t>
  </si>
  <si>
    <t xml:space="preserve">Shaun Du Preez                     </t>
  </si>
  <si>
    <t>Shaun Du Preez</t>
  </si>
  <si>
    <t>mhali</t>
  </si>
  <si>
    <t xml:space="preserve">Lisa Biggs                         </t>
  </si>
  <si>
    <t>Lisa Biggs</t>
  </si>
  <si>
    <t>STILF</t>
  </si>
  <si>
    <t>STILFONTEIN</t>
  </si>
  <si>
    <t xml:space="preserve">Tasneem And Zubair                 </t>
  </si>
  <si>
    <t>Tasneem And Zubair</t>
  </si>
  <si>
    <t xml:space="preserve">Papi                          </t>
  </si>
  <si>
    <t xml:space="preserve">POD received from cell 0734907151 M     </t>
  </si>
  <si>
    <t xml:space="preserve">Debbie Matteucci                   </t>
  </si>
  <si>
    <t>Debbie Matteucci</t>
  </si>
  <si>
    <t>CECILE</t>
  </si>
  <si>
    <t xml:space="preserve">Nicole Lewis                       </t>
  </si>
  <si>
    <t>Nicole Lewis</t>
  </si>
  <si>
    <t xml:space="preserve">Nicole Lewis                  </t>
  </si>
  <si>
    <t xml:space="preserve">POD received from cell 0780226622 M     </t>
  </si>
  <si>
    <t>HERMA</t>
  </si>
  <si>
    <t>HERMANUS</t>
  </si>
  <si>
    <t xml:space="preserve">Karen Davison                      </t>
  </si>
  <si>
    <t>Karen Davison</t>
  </si>
  <si>
    <t xml:space="preserve">danel                         </t>
  </si>
  <si>
    <t xml:space="preserve">POD received from cell 0735736860 M     </t>
  </si>
  <si>
    <t>PAARL</t>
  </si>
  <si>
    <t xml:space="preserve">Rhode Bester                       </t>
  </si>
  <si>
    <t>Rhode Bester</t>
  </si>
  <si>
    <t>POD received from cell 0737355800 M</t>
  </si>
  <si>
    <t xml:space="preserve">Charlotte Briers-Louw              </t>
  </si>
  <si>
    <t>Charlotte Briers-Louw</t>
  </si>
  <si>
    <t xml:space="preserve">Louise Wileman                     </t>
  </si>
  <si>
    <t>Louise Wileman</t>
  </si>
  <si>
    <t>LOUISE</t>
  </si>
  <si>
    <t xml:space="preserve">Kayleen Adams                      </t>
  </si>
  <si>
    <t>Kayleen Adams</t>
  </si>
  <si>
    <t xml:space="preserve">Nicolene Kotze                     </t>
  </si>
  <si>
    <t>Nicolene Kotze</t>
  </si>
  <si>
    <t>POD received from cell 0833164881 M</t>
  </si>
  <si>
    <t xml:space="preserve">William Miller                     </t>
  </si>
  <si>
    <t>William Miller</t>
  </si>
  <si>
    <t>william</t>
  </si>
  <si>
    <t>GRAHA</t>
  </si>
  <si>
    <t>GRAHAMSTOWN</t>
  </si>
  <si>
    <t xml:space="preserve">Gavin Gouws                        </t>
  </si>
  <si>
    <t>Gavin Gouws</t>
  </si>
  <si>
    <t xml:space="preserve">LULAMA                        </t>
  </si>
  <si>
    <t xml:space="preserve">Asilyn Janine Johnson              </t>
  </si>
  <si>
    <t>Asilyn Janine Johnson</t>
  </si>
  <si>
    <t>asilyn</t>
  </si>
  <si>
    <t xml:space="preserve">Leonie Roos                        </t>
  </si>
  <si>
    <t>Leonie Roos</t>
  </si>
  <si>
    <t xml:space="preserve">Kath Clayford                      </t>
  </si>
  <si>
    <t>Kath Clayford</t>
  </si>
  <si>
    <t>zaretha</t>
  </si>
  <si>
    <t>POD received from cell 0749610944 M</t>
  </si>
  <si>
    <t>WHITE</t>
  </si>
  <si>
    <t>WHITE RIVER</t>
  </si>
  <si>
    <t xml:space="preserve">AVI FIELDMARKETING                 </t>
  </si>
  <si>
    <t>MAGGIE</t>
  </si>
  <si>
    <t>RICHARD</t>
  </si>
  <si>
    <t>M pohl</t>
  </si>
  <si>
    <t>POD received from cell 0739524922 M</t>
  </si>
  <si>
    <t xml:space="preserve">AVI FIELD MRKT                     </t>
  </si>
  <si>
    <t>RUSHDA CONNELY</t>
  </si>
  <si>
    <t>JOHN ALAH</t>
  </si>
  <si>
    <t xml:space="preserve">Chantel                       </t>
  </si>
  <si>
    <t>EAR / FUE</t>
  </si>
  <si>
    <t xml:space="preserve">POD received from cell 0836899932 M     </t>
  </si>
  <si>
    <t xml:space="preserve">Nic Combrink                       </t>
  </si>
  <si>
    <t>Nic Combrink</t>
  </si>
  <si>
    <t xml:space="preserve">Bruce Ackerman                     </t>
  </si>
  <si>
    <t>Bruce Ackerman</t>
  </si>
  <si>
    <t>yobi</t>
  </si>
  <si>
    <t>POD received from cell 0815575324 M</t>
  </si>
  <si>
    <t xml:space="preserve">JENNY EPPEL                        </t>
  </si>
  <si>
    <t>JENNY EPPEL</t>
  </si>
  <si>
    <t>MKANA</t>
  </si>
  <si>
    <t xml:space="preserve">Lisa Boonzaier                     </t>
  </si>
  <si>
    <t>Lisa Boonzaier</t>
  </si>
  <si>
    <t xml:space="preserve">f McPherson                   </t>
  </si>
  <si>
    <t xml:space="preserve">POD received from cell 0839443464 M     </t>
  </si>
  <si>
    <t xml:space="preserve">Wendy Van Der Merwe                </t>
  </si>
  <si>
    <t>Wendy Van Der Merwe</t>
  </si>
  <si>
    <t>POD received from cell 0638826118 M</t>
  </si>
  <si>
    <t xml:space="preserve">AVI FIELD MATKETING INLAND WES     </t>
  </si>
  <si>
    <t>NELSP</t>
  </si>
  <si>
    <t>NELSPRUIT</t>
  </si>
  <si>
    <t xml:space="preserve">AVI NELSPRUIT                      </t>
  </si>
  <si>
    <t>PHILLEMON MABUSE</t>
  </si>
  <si>
    <t>N GAMA</t>
  </si>
  <si>
    <t xml:space="preserve">Richard                       </t>
  </si>
  <si>
    <t xml:space="preserve">POD received from cell 0636610281 M     </t>
  </si>
  <si>
    <t xml:space="preserve">Vishal Singh                       </t>
  </si>
  <si>
    <t>Vishal Singh</t>
  </si>
  <si>
    <t xml:space="preserve">maheshnee                     </t>
  </si>
  <si>
    <t xml:space="preserve">POD received from cell 0648706753 M     </t>
  </si>
  <si>
    <t xml:space="preserve">AVI FIELD MARKETING INLAND NOR     </t>
  </si>
  <si>
    <t xml:space="preserve">AVI PE                             </t>
  </si>
  <si>
    <t>RUSHDA CONNELLY</t>
  </si>
  <si>
    <t>SONY BERRY</t>
  </si>
  <si>
    <t>Chantel</t>
  </si>
  <si>
    <t>POD received from cell 0747681797 M</t>
  </si>
  <si>
    <t>PCL</t>
  </si>
  <si>
    <t xml:space="preserve">Jana Van Houwelingen               </t>
  </si>
  <si>
    <t>Jana Van Houwelingen</t>
  </si>
  <si>
    <t>suzani</t>
  </si>
  <si>
    <t>POD received from cell 0736814363 M</t>
  </si>
  <si>
    <t xml:space="preserve">AVI FIELD                          </t>
  </si>
  <si>
    <t xml:space="preserve">INDIGO BRANDS                      </t>
  </si>
  <si>
    <t>tshico</t>
  </si>
  <si>
    <t>POD received from cell 0768496816 M</t>
  </si>
  <si>
    <t xml:space="preserve">Mone Turchetti                     </t>
  </si>
  <si>
    <t>Mone Turchetti</t>
  </si>
  <si>
    <t xml:space="preserve">vukosi                        </t>
  </si>
  <si>
    <t xml:space="preserve">Kirschel Krichnan                  </t>
  </si>
  <si>
    <t>Kirschel Krichnan</t>
  </si>
  <si>
    <t>POD received from cell 0843731892 M</t>
  </si>
  <si>
    <t xml:space="preserve">Susan Kirk                         </t>
  </si>
  <si>
    <t>Susan Kirk</t>
  </si>
  <si>
    <t xml:space="preserve">SIG                           </t>
  </si>
  <si>
    <t>amt</t>
  </si>
  <si>
    <t xml:space="preserve">Wendy Holliday                     </t>
  </si>
  <si>
    <t>Wendy Holliday</t>
  </si>
  <si>
    <t>lindiwe</t>
  </si>
  <si>
    <t>POD received from cell 0736669181 M</t>
  </si>
  <si>
    <t>MALME</t>
  </si>
  <si>
    <t>MALMESBURY</t>
  </si>
  <si>
    <t xml:space="preserve">NUHAA ISAACS                       </t>
  </si>
  <si>
    <t>NUHAA ISAACS</t>
  </si>
  <si>
    <t>cha</t>
  </si>
  <si>
    <t>POD received from cell 0735680609 M</t>
  </si>
  <si>
    <t xml:space="preserve">Mariette Kruger                    </t>
  </si>
  <si>
    <t>Mariette Kruger</t>
  </si>
  <si>
    <t xml:space="preserve">EMILY                         </t>
  </si>
  <si>
    <t>GGS</t>
  </si>
  <si>
    <t xml:space="preserve">Monica Ambrosi                     </t>
  </si>
  <si>
    <t>advise before delivery</t>
  </si>
  <si>
    <t>Monica Ambrosi</t>
  </si>
  <si>
    <t>M AMBROSI</t>
  </si>
  <si>
    <t xml:space="preserve">Akila                              </t>
  </si>
  <si>
    <t>Akila</t>
  </si>
  <si>
    <t>AKILA DUDU</t>
  </si>
  <si>
    <t>Consignee not available)</t>
  </si>
  <si>
    <t>let</t>
  </si>
  <si>
    <t xml:space="preserve">Annelie Janse Van Vuuren           </t>
  </si>
  <si>
    <t>Annelie Janse Van Vuuren</t>
  </si>
  <si>
    <t>JOLEN DE JAGH</t>
  </si>
  <si>
    <t xml:space="preserve">Duncan Mcsporran                   </t>
  </si>
  <si>
    <t>Duncan Mcsporran</t>
  </si>
  <si>
    <t>d m spartes</t>
  </si>
  <si>
    <t>POD received from cell 0624916044 M</t>
  </si>
  <si>
    <t>PORT4</t>
  </si>
  <si>
    <t>PORT SHEPSTONE</t>
  </si>
  <si>
    <t xml:space="preserve">Candice Naidoo                     </t>
  </si>
  <si>
    <t>Candice Naidoo</t>
  </si>
  <si>
    <t>BONISILE</t>
  </si>
  <si>
    <t xml:space="preserve">Elzette Esplin                     </t>
  </si>
  <si>
    <t>Elzette Esplin</t>
  </si>
  <si>
    <t>ALTA</t>
  </si>
  <si>
    <t>AMT</t>
  </si>
  <si>
    <t xml:space="preserve">Nosipho Nzube                      </t>
  </si>
  <si>
    <t>Nosipho Nzube</t>
  </si>
  <si>
    <t>nosipho</t>
  </si>
  <si>
    <t>POD received from cell 0795593784 M</t>
  </si>
  <si>
    <t>STRAN</t>
  </si>
  <si>
    <t>STRAND</t>
  </si>
  <si>
    <t xml:space="preserve">Rialda Steenkamp                   </t>
  </si>
  <si>
    <t>Rialda Steenkamp</t>
  </si>
  <si>
    <t>POD received from cell 0784428266 M</t>
  </si>
  <si>
    <t xml:space="preserve">Michele Rehder                     </t>
  </si>
  <si>
    <t>Michele Rehder</t>
  </si>
  <si>
    <t xml:space="preserve">Colly                         </t>
  </si>
  <si>
    <t>teb</t>
  </si>
  <si>
    <t xml:space="preserve">POD received from </t>
  </si>
  <si>
    <t xml:space="preserve">Erica Webb                         </t>
  </si>
  <si>
    <t>please deliver during business</t>
  </si>
  <si>
    <t>Erica Webb</t>
  </si>
  <si>
    <t>c strydom</t>
  </si>
  <si>
    <t xml:space="preserve">Caryn Rodwell                      </t>
  </si>
  <si>
    <t>Caryn Rodwell</t>
  </si>
  <si>
    <t>NELLY</t>
  </si>
  <si>
    <t>pph</t>
  </si>
  <si>
    <t xml:space="preserve">Charis Collins                     </t>
  </si>
  <si>
    <t>Charis Collins</t>
  </si>
  <si>
    <t>CREATED ONLY</t>
  </si>
  <si>
    <t xml:space="preserve">Rubendri Govender                  </t>
  </si>
  <si>
    <t>Rubendri Govender</t>
  </si>
  <si>
    <t xml:space="preserve">E GOVENDER                    </t>
  </si>
  <si>
    <t xml:space="preserve">Ansie Moolman                      </t>
  </si>
  <si>
    <t>Ansie Moolman</t>
  </si>
  <si>
    <t>annaa</t>
  </si>
  <si>
    <t>TTS</t>
  </si>
  <si>
    <t>POD received from cell 0783350261 M</t>
  </si>
  <si>
    <t xml:space="preserve">Dee Blackhurst                     </t>
  </si>
  <si>
    <t>Dee Blackhurst</t>
  </si>
  <si>
    <t xml:space="preserve">Trish Coetzer                      </t>
  </si>
  <si>
    <t>Trish Coetzer</t>
  </si>
  <si>
    <t>PONGO</t>
  </si>
  <si>
    <t>PONGOLA</t>
  </si>
  <si>
    <t xml:space="preserve">Ebet Muller                        </t>
  </si>
  <si>
    <t>Ebet Muller</t>
  </si>
  <si>
    <t>enzell</t>
  </si>
  <si>
    <t>POD received from cell 0783280271 M</t>
  </si>
  <si>
    <t>Naeemah Noordien</t>
  </si>
  <si>
    <t>faatamah</t>
  </si>
  <si>
    <t xml:space="preserve">Lorraine Mthombeni                 </t>
  </si>
  <si>
    <t>Lorraine Mthombeni</t>
  </si>
  <si>
    <t>MIKHAIL</t>
  </si>
  <si>
    <t>HOWIC</t>
  </si>
  <si>
    <t>HOWICK</t>
  </si>
  <si>
    <t xml:space="preserve">John Berriman                      </t>
  </si>
  <si>
    <t>John Berriman</t>
  </si>
  <si>
    <t>berriman</t>
  </si>
  <si>
    <t xml:space="preserve">Gaynor Purcell                     </t>
  </si>
  <si>
    <t>Gaynor Purcell</t>
  </si>
  <si>
    <t>g purlell</t>
  </si>
  <si>
    <t>POD received from cell 0849853852 M</t>
  </si>
  <si>
    <t xml:space="preserve">Tara Gajjar                        </t>
  </si>
  <si>
    <t>Tara Gajjar</t>
  </si>
  <si>
    <t>POD received from cell 0834301625 M</t>
  </si>
  <si>
    <t>PLETT</t>
  </si>
  <si>
    <t>PLETTENBERG BAY</t>
  </si>
  <si>
    <t xml:space="preserve">Mariette Meyer                     </t>
  </si>
  <si>
    <t>Mariette Meyer</t>
  </si>
  <si>
    <t>sandy</t>
  </si>
  <si>
    <t xml:space="preserve">Josi Mckenzie                      </t>
  </si>
  <si>
    <t>Josi Mckenzie</t>
  </si>
  <si>
    <t>MIKENZIE</t>
  </si>
  <si>
    <t>seb</t>
  </si>
  <si>
    <t>UMHLA</t>
  </si>
  <si>
    <t>UMHLANGA ROCKS</t>
  </si>
  <si>
    <t xml:space="preserve">Kelly Andrews                      </t>
  </si>
  <si>
    <t>Kelly Andrews</t>
  </si>
  <si>
    <t>busi</t>
  </si>
  <si>
    <t xml:space="preserve">Bibi Aysha Badat-Sonday            </t>
  </si>
  <si>
    <t>Bibi Aysha Badat-Sonday</t>
  </si>
  <si>
    <t xml:space="preserve">Yogita Kamraj Maharaj              </t>
  </si>
  <si>
    <t>Yogita Kamraj Maharaj</t>
  </si>
  <si>
    <t>POD received from cell 0748410312 M</t>
  </si>
  <si>
    <t xml:space="preserve">Humera Moosa                       </t>
  </si>
  <si>
    <t>Humera Moosa</t>
  </si>
  <si>
    <t>Tenson</t>
  </si>
  <si>
    <t>POD received from cell 0769790129 M</t>
  </si>
  <si>
    <t xml:space="preserve">Lene Macnab                        </t>
  </si>
  <si>
    <t>Lene Macnab</t>
  </si>
  <si>
    <t>alison</t>
  </si>
  <si>
    <t>FLYER</t>
  </si>
  <si>
    <t xml:space="preserve">Lee-Ann Christians                 </t>
  </si>
  <si>
    <t>Lee-Ann Christians</t>
  </si>
  <si>
    <t>TRICH</t>
  </si>
  <si>
    <t>TRICHARDT</t>
  </si>
  <si>
    <t xml:space="preserve">IGNA BEUKES                        </t>
  </si>
  <si>
    <t>IGNA BEUKES</t>
  </si>
  <si>
    <t>POD received from cell 0715270557 M</t>
  </si>
  <si>
    <t>rd4</t>
  </si>
  <si>
    <t>PIET2</t>
  </si>
  <si>
    <t>PIETERSBURG</t>
  </si>
  <si>
    <t xml:space="preserve">Charl Engelbrecht                  </t>
  </si>
  <si>
    <t>Charl Engelbrecht</t>
  </si>
  <si>
    <t>james</t>
  </si>
  <si>
    <t>Appointment required</t>
  </si>
  <si>
    <t>pem</t>
  </si>
  <si>
    <t>POD received from cell 0820651155 M</t>
  </si>
  <si>
    <t xml:space="preserve">ANNEKE MASSEY-HICKS                </t>
  </si>
  <si>
    <t>ANNEKE MASSEY-HICKS</t>
  </si>
  <si>
    <t>Rlcr000073</t>
  </si>
  <si>
    <t xml:space="preserve">AVI FIELD MARKETING-FREE STATE     </t>
  </si>
  <si>
    <t xml:space="preserve">AVI HEAD OFFICE                    </t>
  </si>
  <si>
    <t>HEAD OFFICE</t>
  </si>
  <si>
    <t>JEAN</t>
  </si>
  <si>
    <t>ROBERT</t>
  </si>
  <si>
    <t xml:space="preserve">Ruby Gelderbloem                   </t>
  </si>
  <si>
    <t>Ruby Gelderbloem</t>
  </si>
  <si>
    <t>adriaan</t>
  </si>
  <si>
    <t>CHA</t>
  </si>
  <si>
    <t>POD received from cell 0840143054 M</t>
  </si>
  <si>
    <t xml:space="preserve">INDIGO COSMETICS                   </t>
  </si>
  <si>
    <t>F JACOBS</t>
  </si>
  <si>
    <t>CHANTEL</t>
  </si>
  <si>
    <t xml:space="preserve">JAMEY ROSE                         </t>
  </si>
  <si>
    <t>JAMEY ROSE</t>
  </si>
  <si>
    <t>shareane</t>
  </si>
  <si>
    <t xml:space="preserve">Christine Smith                    </t>
  </si>
  <si>
    <t>Christine Smith</t>
  </si>
  <si>
    <t>lidia</t>
  </si>
  <si>
    <t>POD received from cell 0785728050 M</t>
  </si>
  <si>
    <t xml:space="preserve">Madeleine Nagel                    </t>
  </si>
  <si>
    <t>Madeleine Nagel</t>
  </si>
  <si>
    <t>STEVEN</t>
  </si>
  <si>
    <t>kim</t>
  </si>
  <si>
    <t xml:space="preserve">Chieko Jimbo                       </t>
  </si>
  <si>
    <t>Chieko Jimbo</t>
  </si>
  <si>
    <t>KENNY</t>
  </si>
  <si>
    <t xml:space="preserve">Freda Mathole                      </t>
  </si>
  <si>
    <t>Freda Mathole</t>
  </si>
  <si>
    <t>POD received from cell 0789429558 M</t>
  </si>
  <si>
    <t>ALBE2</t>
  </si>
  <si>
    <t>ALBERTON</t>
  </si>
  <si>
    <t xml:space="preserve">Willemien Dreyer                   </t>
  </si>
  <si>
    <t>Willemien Dreyer</t>
  </si>
  <si>
    <t>mawini</t>
  </si>
  <si>
    <t>POD received from cell 0836178022 M</t>
  </si>
  <si>
    <t xml:space="preserve">Jo-Anne Ramadene                   </t>
  </si>
  <si>
    <t>Jo-Anne Ramadene</t>
  </si>
  <si>
    <t>bonie</t>
  </si>
  <si>
    <t xml:space="preserve">Selish Singh                       </t>
  </si>
  <si>
    <t>Selish Singh</t>
  </si>
  <si>
    <t>maheshnee</t>
  </si>
  <si>
    <t>POD received from cell 0648706753 M</t>
  </si>
  <si>
    <t xml:space="preserve">LEIHG-ANNE GOUWS                   </t>
  </si>
  <si>
    <t>LULAMA</t>
  </si>
  <si>
    <t xml:space="preserve">LISL                               </t>
  </si>
  <si>
    <t>LISL</t>
  </si>
  <si>
    <t>ZUSI</t>
  </si>
  <si>
    <t>RICHA</t>
  </si>
  <si>
    <t>RICHARDS BAY</t>
  </si>
  <si>
    <t xml:space="preserve">Neereshini Bhagirathi              </t>
  </si>
  <si>
    <t>Neereshini Bhagirathi</t>
  </si>
  <si>
    <t>Hlengiwe</t>
  </si>
  <si>
    <t>POD received from cell 0722472453 M</t>
  </si>
  <si>
    <t>KRUGE</t>
  </si>
  <si>
    <t>KRUGERSDORP</t>
  </si>
  <si>
    <t xml:space="preserve">Beanka Barnard                     </t>
  </si>
  <si>
    <t>Beanka Barnard</t>
  </si>
  <si>
    <t xml:space="preserve">ILLEG                         </t>
  </si>
  <si>
    <t>FORT</t>
  </si>
  <si>
    <t>FORT BEAUFORT</t>
  </si>
  <si>
    <t xml:space="preserve">Jeanne-Mari Greeff                 </t>
  </si>
  <si>
    <t>Jeanne-Mari Greeff</t>
  </si>
  <si>
    <t>CARINA</t>
  </si>
  <si>
    <t>POD received from cell 0823984226 M</t>
  </si>
  <si>
    <t>KOKST</t>
  </si>
  <si>
    <t>KOKSTAD</t>
  </si>
  <si>
    <t xml:space="preserve">Joan Terblanche                    </t>
  </si>
  <si>
    <t>Joan Terblanche</t>
  </si>
  <si>
    <t xml:space="preserve">Noluvo                        </t>
  </si>
  <si>
    <t xml:space="preserve">POD received from cell 0639928262 M     </t>
  </si>
  <si>
    <t>ZIIYAAD</t>
  </si>
  <si>
    <t>Ziyaad</t>
  </si>
  <si>
    <t xml:space="preserve">LE CREUSET                         </t>
  </si>
  <si>
    <t xml:space="preserve">CHEVON NELL                        </t>
  </si>
  <si>
    <t>CHEVON NEL</t>
  </si>
  <si>
    <t>MARY</t>
  </si>
  <si>
    <t xml:space="preserve">Melanie Van Wyk                    </t>
  </si>
  <si>
    <t>Melanie Van Wyk</t>
  </si>
  <si>
    <t>Miemm</t>
  </si>
  <si>
    <t xml:space="preserve">PVT                                </t>
  </si>
  <si>
    <t>D SMITH</t>
  </si>
  <si>
    <t>G SMITH</t>
  </si>
  <si>
    <t xml:space="preserve">JERRY                         </t>
  </si>
  <si>
    <t xml:space="preserve">POD received from cell 0628919084 M     </t>
  </si>
  <si>
    <t xml:space="preserve">PRIONTEX MICRODEAN GAUTENG         </t>
  </si>
  <si>
    <t xml:space="preserve">DR MAPHUMULO                       </t>
  </si>
  <si>
    <t>DR MAPHUMULO</t>
  </si>
  <si>
    <t>NGELETSHEDZO</t>
  </si>
  <si>
    <t>POD received from cell 0817083834 M</t>
  </si>
  <si>
    <t xml:space="preserve">AVI                                </t>
  </si>
  <si>
    <t>SP MALAN</t>
  </si>
  <si>
    <t>SONAY</t>
  </si>
  <si>
    <t>s p malan</t>
  </si>
  <si>
    <t>POD received from cell 0837332993 M</t>
  </si>
  <si>
    <t xml:space="preserve">Natasha Wilson                     </t>
  </si>
  <si>
    <t>Natasha Wilson</t>
  </si>
  <si>
    <t>POD received from cell 0617990218 M</t>
  </si>
  <si>
    <t xml:space="preserve">Johannes Rath Groenewald           </t>
  </si>
  <si>
    <t>Johannes Rath Groenewald</t>
  </si>
  <si>
    <t xml:space="preserve">Thandi                        </t>
  </si>
  <si>
    <t xml:space="preserve">POD received from cell 0729919507 M     </t>
  </si>
  <si>
    <t xml:space="preserve">Pamela Mastrers                    </t>
  </si>
  <si>
    <t>Pamela Masters</t>
  </si>
  <si>
    <t>robyn</t>
  </si>
  <si>
    <t>Missed cutoff</t>
  </si>
  <si>
    <t>jmm</t>
  </si>
  <si>
    <t>POD received from cell 0625964993 M</t>
  </si>
  <si>
    <t>J ALAH</t>
  </si>
  <si>
    <t>John</t>
  </si>
  <si>
    <t xml:space="preserve">ASPEN                              </t>
  </si>
  <si>
    <t>PLS COLLECT AT 14H00***PLS LODGE**MONDAY DELIVERY</t>
  </si>
  <si>
    <t>HLUMELA GQOBOKA</t>
  </si>
  <si>
    <t>PETER</t>
  </si>
  <si>
    <t>MAKELA</t>
  </si>
  <si>
    <t>DSD / FUE / INS</t>
  </si>
  <si>
    <t xml:space="preserve">YUMNA                              </t>
  </si>
  <si>
    <t>YUMNA</t>
  </si>
  <si>
    <t>gracious</t>
  </si>
  <si>
    <t xml:space="preserve">Lisa Xie                           </t>
  </si>
  <si>
    <t>Lisa Xie</t>
  </si>
  <si>
    <t>FRANCIANH</t>
  </si>
  <si>
    <t>POD received from cell 0742059629 M</t>
  </si>
  <si>
    <t xml:space="preserve">MOIRA MURRAY                       </t>
  </si>
  <si>
    <t>MOIRA MURRAY</t>
  </si>
  <si>
    <t xml:space="preserve">phumza                        </t>
  </si>
  <si>
    <t xml:space="preserve">POD received from cell 0767999848 M     </t>
  </si>
  <si>
    <t xml:space="preserve">LANA GIELINK                       </t>
  </si>
  <si>
    <t>LANA GIELINK</t>
  </si>
  <si>
    <t>Lana Gielink</t>
  </si>
  <si>
    <t>HEID2</t>
  </si>
  <si>
    <t>HEIDELBERG (TVL)</t>
  </si>
  <si>
    <t xml:space="preserve">Charlotte Van Der Merwe            </t>
  </si>
  <si>
    <t>Charlotte Van Der Merwe</t>
  </si>
  <si>
    <t>CHARLOTTE</t>
  </si>
  <si>
    <t xml:space="preserve">Jeanine Steven                     </t>
  </si>
  <si>
    <t>Jeanine Steven</t>
  </si>
  <si>
    <t>ANNA</t>
  </si>
  <si>
    <t xml:space="preserve">HESHULA                            </t>
  </si>
  <si>
    <t>HESHULA</t>
  </si>
  <si>
    <t>AARON</t>
  </si>
  <si>
    <t>Split shipment</t>
  </si>
  <si>
    <t xml:space="preserve">PRIONTEX MICRONCLEAN GAUTENG       </t>
  </si>
  <si>
    <t>KIMBE</t>
  </si>
  <si>
    <t>KIMBERLEY</t>
  </si>
  <si>
    <t xml:space="preserve">DR ARTHUR LETETE LED LOG           </t>
  </si>
  <si>
    <t>NORTHEN CAPE PROVINCE</t>
  </si>
  <si>
    <t>MIZINGA</t>
  </si>
  <si>
    <t xml:space="preserve">ROBYN                         </t>
  </si>
  <si>
    <t>mib</t>
  </si>
  <si>
    <t xml:space="preserve">POD received from cell 0728007290 M     </t>
  </si>
  <si>
    <t>GONUB</t>
  </si>
  <si>
    <t>GONUBIE</t>
  </si>
  <si>
    <t xml:space="preserve">Janine Cloete                      </t>
  </si>
  <si>
    <t>Michan Potgieter</t>
  </si>
  <si>
    <t>Z MCAKUMBANA</t>
  </si>
  <si>
    <t>D/W Box</t>
  </si>
  <si>
    <t xml:space="preserve">Dr Carina Venter                   </t>
  </si>
  <si>
    <t>Dr Carina Venter</t>
  </si>
  <si>
    <t>VANESSA</t>
  </si>
  <si>
    <t>POD received from cell 0729796436 M</t>
  </si>
  <si>
    <t>ROSS PENNIALL</t>
  </si>
  <si>
    <t>Gabriella</t>
  </si>
  <si>
    <t>POD received from cell 0847725986 M</t>
  </si>
  <si>
    <t xml:space="preserve">avi fm                             </t>
  </si>
  <si>
    <t>chantel</t>
  </si>
  <si>
    <t>ross</t>
  </si>
  <si>
    <t>POD received from cell 0836899932 M</t>
  </si>
  <si>
    <t>GREYT</t>
  </si>
  <si>
    <t>GREYTOWN</t>
  </si>
  <si>
    <t xml:space="preserve">Cath Meyer                         </t>
  </si>
  <si>
    <t>Cath Meyer</t>
  </si>
  <si>
    <t>Fallon   Meyer</t>
  </si>
  <si>
    <t>POD received from cell 0720743631 M</t>
  </si>
  <si>
    <t>LADIS</t>
  </si>
  <si>
    <t>LADISMITH (CP)</t>
  </si>
  <si>
    <t xml:space="preserve">Mrs A.S Nel                        </t>
  </si>
  <si>
    <t>Mrs A.S Nel</t>
  </si>
  <si>
    <t>CHRISTINA</t>
  </si>
  <si>
    <t xml:space="preserve">ZY PRINT                           </t>
  </si>
  <si>
    <t xml:space="preserve">JOHN ALAH                          </t>
  </si>
  <si>
    <t>Ice Tea Leaflets</t>
  </si>
  <si>
    <t>Cindy</t>
  </si>
  <si>
    <t>Llewellyn</t>
  </si>
  <si>
    <t>capet</t>
  </si>
  <si>
    <t xml:space="preserve">MAHANDA BENCE                      </t>
  </si>
  <si>
    <t>MAHANDA BENCE</t>
  </si>
  <si>
    <t>mahanda</t>
  </si>
  <si>
    <t>POD received from cell 0736914014 M</t>
  </si>
  <si>
    <t xml:space="preserve">NATIONAL BRANDS - BLOEMFONTEIN     </t>
  </si>
  <si>
    <t>ICED TEA COLLECTION</t>
  </si>
  <si>
    <t>Neville Rudman</t>
  </si>
  <si>
    <t>CINDY</t>
  </si>
  <si>
    <t>GENEVIEVE</t>
  </si>
  <si>
    <t>POD received from cell 0731981103 M</t>
  </si>
  <si>
    <t xml:space="preserve">INLAND EAST - National Brands      </t>
  </si>
  <si>
    <t>Chrissie Mostert</t>
  </si>
  <si>
    <t>DENISE</t>
  </si>
  <si>
    <t>rdd</t>
  </si>
  <si>
    <t xml:space="preserve">NATIONAL BRANDS KIMBERLEY          </t>
  </si>
  <si>
    <t>Prince</t>
  </si>
  <si>
    <t>ALET</t>
  </si>
  <si>
    <t>POD received from cell 0728007290 M</t>
  </si>
  <si>
    <t>PARYS</t>
  </si>
  <si>
    <t xml:space="preserve">ANDRE BLEYFELD                     </t>
  </si>
  <si>
    <t xml:space="preserve">PIETER RAUBENHEIMER                </t>
  </si>
  <si>
    <t>PIETER</t>
  </si>
  <si>
    <t>Andre</t>
  </si>
  <si>
    <t>ZUKISWA</t>
  </si>
  <si>
    <t>nelsp</t>
  </si>
  <si>
    <t xml:space="preserve">NATIONAL BRANDS NELSPRUIT          </t>
  </si>
  <si>
    <t>Philemon Manusa</t>
  </si>
  <si>
    <t>phillimoen</t>
  </si>
  <si>
    <t>POD received from cell 0636610261 M</t>
  </si>
  <si>
    <t xml:space="preserve">Zapop Media Pty Ltds               </t>
  </si>
  <si>
    <t>Iced Tea</t>
  </si>
  <si>
    <t>Lee-Anne Finlay</t>
  </si>
  <si>
    <t>odzwa</t>
  </si>
  <si>
    <t>POD received from cell 0646099166 M</t>
  </si>
  <si>
    <t xml:space="preserve">ZY Print                           </t>
  </si>
  <si>
    <t xml:space="preserve">National Brands East London        </t>
  </si>
  <si>
    <t>Ross Penniall</t>
  </si>
  <si>
    <t>SI8GNED</t>
  </si>
  <si>
    <t xml:space="preserve">NATIONAL BRANDS LIMITED            </t>
  </si>
  <si>
    <t>Collection Wed 11th October DBC iced tea leafets</t>
  </si>
  <si>
    <t>Ashley Wilcox</t>
  </si>
  <si>
    <t>Pallay</t>
  </si>
  <si>
    <t>WELKO</t>
  </si>
  <si>
    <t>WELKOM</t>
  </si>
  <si>
    <t xml:space="preserve">NATIONAL BRANDS                    </t>
  </si>
  <si>
    <t>ICED TEAD</t>
  </si>
  <si>
    <t>DANIE</t>
  </si>
  <si>
    <t>danie flemming</t>
  </si>
  <si>
    <t>POD received from cell 0710480951 M</t>
  </si>
  <si>
    <t xml:space="preserve">NATIONAL BRANDS POLOKWANE          </t>
  </si>
  <si>
    <t>ICED TEA</t>
  </si>
  <si>
    <t>SP Malan</t>
  </si>
  <si>
    <t>ISAAC</t>
  </si>
  <si>
    <t>PEM</t>
  </si>
  <si>
    <t>Sheriden</t>
  </si>
  <si>
    <t>POD received from cell 0765694422 M</t>
  </si>
  <si>
    <t xml:space="preserve">National Brands                    </t>
  </si>
  <si>
    <t>LADYB</t>
  </si>
  <si>
    <t>LADYBRAND</t>
  </si>
  <si>
    <t xml:space="preserve">RODNEY                             </t>
  </si>
  <si>
    <t>RODNEY</t>
  </si>
  <si>
    <t>C KRAMER</t>
  </si>
  <si>
    <t>POD received from cell 0718189073 M</t>
  </si>
  <si>
    <t>RDY</t>
  </si>
  <si>
    <t xml:space="preserve">National Brands Western Cape       </t>
  </si>
  <si>
    <t xml:space="preserve">BarbaraBarbara Vlok </t>
  </si>
  <si>
    <t>A SWANEPOEL</t>
  </si>
  <si>
    <t>preto</t>
  </si>
  <si>
    <t xml:space="preserve">NATIONAL BRANDS ROSSLYN            </t>
  </si>
  <si>
    <t>Lizette Macaskill</t>
  </si>
  <si>
    <t>sonay</t>
  </si>
  <si>
    <t>POD received from cell 0827463597 M</t>
  </si>
  <si>
    <t xml:space="preserve">INLAND WEST                        </t>
  </si>
  <si>
    <t>TROY OFFER</t>
  </si>
  <si>
    <t>SIGNATURE</t>
  </si>
  <si>
    <t xml:space="preserve">National Brands Head Office        </t>
  </si>
  <si>
    <t>Christie A'Bear</t>
  </si>
  <si>
    <t>Methembe</t>
  </si>
  <si>
    <t>POD received from cell 0789893079 M</t>
  </si>
  <si>
    <t xml:space="preserve">SHARLENE NAICKER                   </t>
  </si>
  <si>
    <t>SHARLENE NAICKER</t>
  </si>
  <si>
    <t xml:space="preserve">sthembiso                     </t>
  </si>
  <si>
    <t>tap</t>
  </si>
  <si>
    <t xml:space="preserve">POD received from cell 0721932466 M     </t>
  </si>
  <si>
    <t xml:space="preserve">JEHAN EBRAHIM                      </t>
  </si>
  <si>
    <t>JEHAN EBRAHIM</t>
  </si>
  <si>
    <t>gift</t>
  </si>
  <si>
    <t xml:space="preserve">AVI FM                             </t>
  </si>
  <si>
    <t>ATUFAH</t>
  </si>
  <si>
    <t>atufah</t>
  </si>
  <si>
    <t xml:space="preserve">AVI FIELD MARKETING W CAPE         </t>
  </si>
  <si>
    <t>CHARLES GOATE</t>
  </si>
  <si>
    <t>HEIDI ESTERHUIZEN</t>
  </si>
  <si>
    <t>robert</t>
  </si>
  <si>
    <t>POD received from cell 0833953091 M</t>
  </si>
  <si>
    <t>ERMEL</t>
  </si>
  <si>
    <t>ERMELO</t>
  </si>
  <si>
    <t xml:space="preserve">Mojo Ramabeoa                      </t>
  </si>
  <si>
    <t>Mojo Ramabeoa</t>
  </si>
  <si>
    <t>NKOSI</t>
  </si>
  <si>
    <t>POD received from cell 0767305816 M</t>
  </si>
  <si>
    <t>MIDD2</t>
  </si>
  <si>
    <t>MIDDELBURG (Mpumalanga)</t>
  </si>
  <si>
    <t xml:space="preserve">National Brands Witbank            </t>
  </si>
  <si>
    <t>Riaan Saaiman</t>
  </si>
  <si>
    <t>KLEIBOOI</t>
  </si>
  <si>
    <t>POD received from cell 0791429135 M</t>
  </si>
  <si>
    <t>rd2</t>
  </si>
  <si>
    <t xml:space="preserve">KELLY ZEEDERBERG                   </t>
  </si>
  <si>
    <t>KELLY ZEEDERBERG</t>
  </si>
  <si>
    <t>Kelly Zeederberg</t>
  </si>
  <si>
    <t>R PENNIALL</t>
  </si>
  <si>
    <t>Gabriiela</t>
  </si>
  <si>
    <t>ADYTA</t>
  </si>
  <si>
    <t xml:space="preserve">AVI NBL                            </t>
  </si>
  <si>
    <t>JOYCE SPRANK</t>
  </si>
  <si>
    <t>A KHAN</t>
  </si>
  <si>
    <t xml:space="preserve">avi field marketing                </t>
  </si>
  <si>
    <t xml:space="preserve">avi pe                             </t>
  </si>
  <si>
    <t>rushda connelly</t>
  </si>
  <si>
    <t>RUSHDA</t>
  </si>
  <si>
    <t>pcl</t>
  </si>
  <si>
    <t>MAILROOM</t>
  </si>
  <si>
    <t>BRIT1</t>
  </si>
  <si>
    <t>BRITS</t>
  </si>
  <si>
    <t xml:space="preserve">Michelle Scholtz                   </t>
  </si>
  <si>
    <t>Michelle Scholtz</t>
  </si>
  <si>
    <t>Estelle</t>
  </si>
  <si>
    <t>POD received from cell 0735337322 M</t>
  </si>
  <si>
    <t>Flyer</t>
  </si>
  <si>
    <t xml:space="preserve">Danisile Mthombeni                 </t>
  </si>
  <si>
    <t>Danisile Mthombeni</t>
  </si>
  <si>
    <t>SIPHO</t>
  </si>
  <si>
    <t>Extra</t>
  </si>
  <si>
    <t>DELMA</t>
  </si>
  <si>
    <t>DELMAS</t>
  </si>
  <si>
    <t xml:space="preserve">Claudette Rossouw                  </t>
  </si>
  <si>
    <t>Claudette Rossouw</t>
  </si>
  <si>
    <t>ROSE</t>
  </si>
  <si>
    <t xml:space="preserve">C O MICHAELHOUSE SCHOOL            </t>
  </si>
  <si>
    <t>JONATHAN SMITH</t>
  </si>
  <si>
    <t>FRANCI SINCLAIR</t>
  </si>
  <si>
    <t xml:space="preserve">shakila                       </t>
  </si>
  <si>
    <t xml:space="preserve">POD received from cell 0625045293 M     </t>
  </si>
  <si>
    <t xml:space="preserve">AVI  FIELD                         </t>
  </si>
  <si>
    <t>KERISHNI</t>
  </si>
  <si>
    <t>JEANMARIE</t>
  </si>
  <si>
    <t xml:space="preserve">ATM SOL                            </t>
  </si>
  <si>
    <t>BOITUMELO</t>
  </si>
  <si>
    <t>ATM SOLUTION</t>
  </si>
  <si>
    <t>ANN</t>
  </si>
  <si>
    <t>W BAARTMAN</t>
  </si>
  <si>
    <t>Gabi</t>
  </si>
  <si>
    <t>CHANTEL MYBURGH</t>
  </si>
  <si>
    <t>THAB1</t>
  </si>
  <si>
    <t>THABAZIMBI</t>
  </si>
  <si>
    <t xml:space="preserve">PRIVATE                            </t>
  </si>
  <si>
    <t>MM MARAIS</t>
  </si>
  <si>
    <t>Phineus</t>
  </si>
  <si>
    <t>POD received from cell 0636592482 M</t>
  </si>
  <si>
    <t>GERMI</t>
  </si>
  <si>
    <t>GERMISTON</t>
  </si>
  <si>
    <t xml:space="preserve">BIDVEST PANALPINA LOGISTICS        </t>
  </si>
  <si>
    <t>MAXDELENE DU BUSON</t>
  </si>
  <si>
    <t>MADELENE</t>
  </si>
  <si>
    <t>ILLEGE</t>
  </si>
  <si>
    <t>?</t>
  </si>
  <si>
    <t>EVERT C O RUSHDA</t>
  </si>
  <si>
    <t>JACKIE</t>
  </si>
  <si>
    <t>landi</t>
  </si>
  <si>
    <t xml:space="preserve">INGIGO COSMETICS                   </t>
  </si>
  <si>
    <t xml:space="preserve">AVL                                </t>
  </si>
  <si>
    <t>GABRIELLA</t>
  </si>
  <si>
    <t>FAIRVIEW BUSINESS PARK 10</t>
  </si>
  <si>
    <t>llewellyn</t>
  </si>
  <si>
    <t>POD received from cell 0829064652 M</t>
  </si>
  <si>
    <t>STANF</t>
  </si>
  <si>
    <t>STANDFORD</t>
  </si>
  <si>
    <t xml:space="preserve">John Fourie                        </t>
  </si>
  <si>
    <t>John Kathy Fourie</t>
  </si>
  <si>
    <t>K Fourie</t>
  </si>
  <si>
    <t>POD received from cell 0712080686 M</t>
  </si>
  <si>
    <t>SIGNED</t>
  </si>
  <si>
    <t>HEILB</t>
  </si>
  <si>
    <t>HEILBRON</t>
  </si>
  <si>
    <t xml:space="preserve">Dorothy Erasmus                    </t>
  </si>
  <si>
    <t>Dorothy Erasmus</t>
  </si>
  <si>
    <t>PRETORIUS</t>
  </si>
  <si>
    <t>POD received from cell 0731643511 M</t>
  </si>
  <si>
    <t>JACKIE THRON</t>
  </si>
  <si>
    <t>..</t>
  </si>
  <si>
    <t>benya</t>
  </si>
  <si>
    <t xml:space="preserve">IE WESTGATE INDUSTRIAL PARK        </t>
  </si>
  <si>
    <t>AVRIL PILLAY</t>
  </si>
  <si>
    <t>Avril</t>
  </si>
  <si>
    <t>POD received from cell 0733966806 M</t>
  </si>
  <si>
    <t>QUEEN</t>
  </si>
  <si>
    <t>QUEENSTOWN</t>
  </si>
  <si>
    <t>LEON</t>
  </si>
  <si>
    <t>AVI FIELD</t>
  </si>
  <si>
    <t xml:space="preserve">Natalie-Ann                        </t>
  </si>
  <si>
    <t>Natalie-Ann</t>
  </si>
  <si>
    <t>saral</t>
  </si>
  <si>
    <t>POD received from cell 0835257179 M</t>
  </si>
  <si>
    <t xml:space="preserve">PRIONTEX CAPE TOWN                 </t>
  </si>
  <si>
    <t>SHAMIL</t>
  </si>
  <si>
    <t>NGELE</t>
  </si>
  <si>
    <t>sheldow</t>
  </si>
  <si>
    <t>NGF</t>
  </si>
  <si>
    <t>POD received from cell 0611131178 M</t>
  </si>
  <si>
    <t xml:space="preserve">Karen Sargent                      </t>
  </si>
  <si>
    <t>Karen Sargent</t>
  </si>
  <si>
    <t>KAREN</t>
  </si>
  <si>
    <t>SEB</t>
  </si>
  <si>
    <t>LYDEN</t>
  </si>
  <si>
    <t>LYDENBURG</t>
  </si>
  <si>
    <t xml:space="preserve">Marike Schutte                     </t>
  </si>
  <si>
    <t>Marike Schutte</t>
  </si>
  <si>
    <t>alet</t>
  </si>
  <si>
    <t>POD received from cell 0648706607 M</t>
  </si>
  <si>
    <t>SPRI3</t>
  </si>
  <si>
    <t>SPRINGS</t>
  </si>
  <si>
    <t xml:space="preserve">Annelie Jager                      </t>
  </si>
  <si>
    <t>Annelie Jager</t>
  </si>
  <si>
    <t>bruce</t>
  </si>
  <si>
    <t>POD received from cell 0767121036 M</t>
  </si>
  <si>
    <t xml:space="preserve">MIE SMARTSCREEN                    </t>
  </si>
  <si>
    <t>M SMITH</t>
  </si>
  <si>
    <t>LUVUYO</t>
  </si>
  <si>
    <t>POD received from cell 06314326232 M</t>
  </si>
  <si>
    <t>LOUISA</t>
  </si>
  <si>
    <t>DERRICK</t>
  </si>
  <si>
    <t>CHRISTIE</t>
  </si>
  <si>
    <t>manana</t>
  </si>
  <si>
    <t>POD received from cell 0792438310 M</t>
  </si>
  <si>
    <t>rd1</t>
  </si>
  <si>
    <t xml:space="preserve">KATIE WICHT                        </t>
  </si>
  <si>
    <t>KATIE WICHT</t>
  </si>
  <si>
    <t>NINA</t>
  </si>
  <si>
    <t>RMA</t>
  </si>
  <si>
    <t>POD received from cell 0765349089 M</t>
  </si>
  <si>
    <t>Flat Spec Spec Spec</t>
  </si>
  <si>
    <t xml:space="preserve">STELMED CC                         </t>
  </si>
  <si>
    <t xml:space="preserve">PRION TEX                          </t>
  </si>
  <si>
    <t>A BOKWANA</t>
  </si>
  <si>
    <t>JOLENE</t>
  </si>
  <si>
    <t xml:space="preserve">SIGNED                        </t>
  </si>
  <si>
    <t>george</t>
  </si>
  <si>
    <t>LEON BREYTENBACH</t>
  </si>
  <si>
    <t>VICTO</t>
  </si>
  <si>
    <t>VICTORIA WEST</t>
  </si>
  <si>
    <t xml:space="preserve">Simone Koekemoer                   </t>
  </si>
  <si>
    <t>Simone Koekemoer</t>
  </si>
  <si>
    <t>de jager</t>
  </si>
  <si>
    <t xml:space="preserve">INDINGO BRANDS                     </t>
  </si>
  <si>
    <t>k sargent</t>
  </si>
  <si>
    <t>avi</t>
  </si>
  <si>
    <t xml:space="preserve">Keryn Rowley                       </t>
  </si>
  <si>
    <t>Keryn Rowley</t>
  </si>
  <si>
    <t xml:space="preserve">AVI FIRELDMAKELING                 </t>
  </si>
  <si>
    <t>AVI</t>
  </si>
  <si>
    <t>DEBBIE</t>
  </si>
  <si>
    <t>METHEMBE</t>
  </si>
  <si>
    <t>JACKIE THERON</t>
  </si>
  <si>
    <t xml:space="preserve">Jarred Randall                     </t>
  </si>
  <si>
    <t>Jarred Randall</t>
  </si>
  <si>
    <t>jackie</t>
  </si>
  <si>
    <t xml:space="preserve">LE CREUSET H O                     </t>
  </si>
  <si>
    <t>NATALIE MCMURRAY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</si>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</sst>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249"/>
  <sheetViews>
    <sheetView tabSelected="1" topLeftCell="A226" workbookViewId="0">
      <selection activeCell="G250" sqref="G250"/>
    </sheetView>
  </sheetViews>
  <sheetFormatPr defaultRowHeight="15"/>
  <cols>
    <col min="1" max="1" width="7.42578125" bestFit="1" customWidth="1"/>
    <col min="2" max="2" width="32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28515625" bestFit="1" customWidth="1"/>
    <col min="9" max="9" width="15.7109375" bestFit="1" customWidth="1"/>
    <col min="10" max="10" width="36.285156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6.5703125" bestFit="1" customWidth="1"/>
    <col min="15" max="15" width="4.85546875" bestFit="1" customWidth="1"/>
    <col min="16" max="16" width="26.855468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6.28515625" bestFit="1" customWidth="1"/>
    <col min="64" max="64" width="9" bestFit="1" customWidth="1"/>
    <col min="65" max="65" width="8" bestFit="1" customWidth="1"/>
    <col min="66" max="66" width="9" bestFit="1" customWidth="1"/>
    <col min="68" max="68" width="52.7109375" bestFit="1" customWidth="1"/>
    <col min="69" max="69" width="26.7109375" bestFit="1" customWidth="1"/>
    <col min="70" max="70" width="22" bestFit="1" customWidth="1"/>
    <col min="71" max="71" width="10.7109375" bestFit="1" customWidth="1"/>
    <col min="72" max="72" width="9.7109375" bestFit="1" customWidth="1"/>
    <col min="73" max="73" width="22.2851562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14.42578125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"LCR000399"</f>
        <v>LCR000399</v>
      </c>
      <c r="F2" s="3">
        <v>43012</v>
      </c>
      <c r="G2" s="2">
        <v>201804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"144051                        "</f>
        <v xml:space="preserve">144051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9.1300000000000008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3.9</v>
      </c>
      <c r="BK2" s="2">
        <v>4</v>
      </c>
      <c r="BL2" s="2">
        <v>81.63</v>
      </c>
      <c r="BM2" s="2">
        <v>11.43</v>
      </c>
      <c r="BN2" s="2">
        <v>93.06</v>
      </c>
      <c r="BO2" s="2">
        <v>93.06</v>
      </c>
      <c r="BP2" s="2"/>
      <c r="BQ2" s="2" t="s">
        <v>82</v>
      </c>
      <c r="BR2" s="2" t="s">
        <v>83</v>
      </c>
      <c r="BS2" s="3">
        <v>43017</v>
      </c>
      <c r="BT2" s="4">
        <v>0.35416666666666669</v>
      </c>
      <c r="BU2" s="2" t="s">
        <v>84</v>
      </c>
      <c r="BV2" s="2" t="s">
        <v>85</v>
      </c>
      <c r="BW2" s="2" t="s">
        <v>86</v>
      </c>
      <c r="BX2" s="2" t="s">
        <v>87</v>
      </c>
      <c r="BY2" s="2">
        <v>19683</v>
      </c>
      <c r="BZ2" s="2"/>
      <c r="CA2" s="2" t="s">
        <v>88</v>
      </c>
      <c r="CB2" s="2"/>
      <c r="CC2" s="2" t="s">
        <v>79</v>
      </c>
      <c r="CD2" s="2">
        <v>3201</v>
      </c>
      <c r="CE2" s="2" t="s">
        <v>89</v>
      </c>
      <c r="CF2" s="5">
        <v>43017</v>
      </c>
      <c r="CG2" s="2"/>
      <c r="CH2" s="2"/>
      <c r="CI2" s="2">
        <v>2</v>
      </c>
      <c r="CJ2" s="2">
        <v>3</v>
      </c>
      <c r="CK2" s="2" t="s">
        <v>90</v>
      </c>
      <c r="CL2" s="2" t="s">
        <v>85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"LCR000316"</f>
        <v>LCR000316</v>
      </c>
      <c r="F3" s="3">
        <v>43010</v>
      </c>
      <c r="G3" s="2">
        <v>201804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91</v>
      </c>
      <c r="M3" s="2" t="s">
        <v>92</v>
      </c>
      <c r="N3" s="2" t="s">
        <v>93</v>
      </c>
      <c r="O3" s="2" t="s">
        <v>81</v>
      </c>
      <c r="P3" s="2" t="str">
        <f>"143954 2oa23019               "</f>
        <v xml:space="preserve">143954 2oa23019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9.83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3.9</v>
      </c>
      <c r="BK3" s="2">
        <v>4</v>
      </c>
      <c r="BL3" s="2">
        <v>95.83</v>
      </c>
      <c r="BM3" s="2">
        <v>13.42</v>
      </c>
      <c r="BN3" s="2">
        <v>109.25</v>
      </c>
      <c r="BO3" s="2">
        <v>109.25</v>
      </c>
      <c r="BP3" s="2"/>
      <c r="BQ3" s="2" t="s">
        <v>94</v>
      </c>
      <c r="BR3" s="2" t="s">
        <v>83</v>
      </c>
      <c r="BS3" s="3">
        <v>43012</v>
      </c>
      <c r="BT3" s="4">
        <v>0.59583333333333333</v>
      </c>
      <c r="BU3" s="2" t="s">
        <v>95</v>
      </c>
      <c r="BV3" s="2" t="s">
        <v>96</v>
      </c>
      <c r="BW3" s="2"/>
      <c r="BX3" s="2"/>
      <c r="BY3" s="2">
        <v>19683</v>
      </c>
      <c r="BZ3" s="2"/>
      <c r="CA3" s="2" t="s">
        <v>97</v>
      </c>
      <c r="CB3" s="2"/>
      <c r="CC3" s="2" t="s">
        <v>92</v>
      </c>
      <c r="CD3" s="2">
        <v>2531</v>
      </c>
      <c r="CE3" s="2" t="s">
        <v>89</v>
      </c>
      <c r="CF3" s="5">
        <v>43014</v>
      </c>
      <c r="CG3" s="2"/>
      <c r="CH3" s="2"/>
      <c r="CI3" s="2">
        <v>2</v>
      </c>
      <c r="CJ3" s="2">
        <v>2</v>
      </c>
      <c r="CK3" s="2" t="s">
        <v>98</v>
      </c>
      <c r="CL3" s="2" t="s">
        <v>85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"LCR000321"</f>
        <v>LCR000321</v>
      </c>
      <c r="F4" s="3">
        <v>43010</v>
      </c>
      <c r="G4" s="2">
        <v>201804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99</v>
      </c>
      <c r="M4" s="2" t="s">
        <v>100</v>
      </c>
      <c r="N4" s="2" t="s">
        <v>101</v>
      </c>
      <c r="O4" s="2" t="s">
        <v>81</v>
      </c>
      <c r="P4" s="2" t="str">
        <f>"143918 2oa23001               "</f>
        <v xml:space="preserve">143918 2oa23001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8.19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</v>
      </c>
      <c r="BJ4" s="2">
        <v>3.9</v>
      </c>
      <c r="BK4" s="2">
        <v>4</v>
      </c>
      <c r="BL4" s="2">
        <v>80.69</v>
      </c>
      <c r="BM4" s="2">
        <v>11.3</v>
      </c>
      <c r="BN4" s="2">
        <v>91.99</v>
      </c>
      <c r="BO4" s="2">
        <v>91.99</v>
      </c>
      <c r="BP4" s="2"/>
      <c r="BQ4" s="2" t="s">
        <v>102</v>
      </c>
      <c r="BR4" s="2" t="s">
        <v>83</v>
      </c>
      <c r="BS4" s="3">
        <v>43012</v>
      </c>
      <c r="BT4" s="4">
        <v>0.55486111111111114</v>
      </c>
      <c r="BU4" s="2" t="s">
        <v>103</v>
      </c>
      <c r="BV4" s="2" t="s">
        <v>96</v>
      </c>
      <c r="BW4" s="2"/>
      <c r="BX4" s="2"/>
      <c r="BY4" s="2">
        <v>19683</v>
      </c>
      <c r="BZ4" s="2"/>
      <c r="CA4" s="2" t="s">
        <v>104</v>
      </c>
      <c r="CB4" s="2"/>
      <c r="CC4" s="2" t="s">
        <v>100</v>
      </c>
      <c r="CD4" s="2">
        <v>2194</v>
      </c>
      <c r="CE4" s="2" t="s">
        <v>89</v>
      </c>
      <c r="CF4" s="5">
        <v>43013</v>
      </c>
      <c r="CG4" s="2"/>
      <c r="CH4" s="2"/>
      <c r="CI4" s="2">
        <v>2</v>
      </c>
      <c r="CJ4" s="2">
        <v>2</v>
      </c>
      <c r="CK4" s="2" t="s">
        <v>90</v>
      </c>
      <c r="CL4" s="2" t="s">
        <v>85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"LCR000313"</f>
        <v>LCR000313</v>
      </c>
      <c r="F5" s="3">
        <v>43010</v>
      </c>
      <c r="G5" s="2">
        <v>201804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105</v>
      </c>
      <c r="M5" s="2" t="s">
        <v>106</v>
      </c>
      <c r="N5" s="2" t="s">
        <v>107</v>
      </c>
      <c r="O5" s="2" t="s">
        <v>81</v>
      </c>
      <c r="P5" s="2" t="str">
        <f>"143946 2oa23023               "</f>
        <v xml:space="preserve">143946 2oa23023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8.19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4</v>
      </c>
      <c r="BJ5" s="2">
        <v>3.9</v>
      </c>
      <c r="BK5" s="2">
        <v>4</v>
      </c>
      <c r="BL5" s="2">
        <v>80.69</v>
      </c>
      <c r="BM5" s="2">
        <v>11.3</v>
      </c>
      <c r="BN5" s="2">
        <v>91.99</v>
      </c>
      <c r="BO5" s="2">
        <v>91.99</v>
      </c>
      <c r="BP5" s="2"/>
      <c r="BQ5" s="2" t="s">
        <v>108</v>
      </c>
      <c r="BR5" s="2" t="s">
        <v>83</v>
      </c>
      <c r="BS5" s="3">
        <v>43012</v>
      </c>
      <c r="BT5" s="4">
        <v>0.51666666666666672</v>
      </c>
      <c r="BU5" s="2" t="s">
        <v>109</v>
      </c>
      <c r="BV5" s="2" t="s">
        <v>96</v>
      </c>
      <c r="BW5" s="2"/>
      <c r="BX5" s="2"/>
      <c r="BY5" s="2">
        <v>19683</v>
      </c>
      <c r="BZ5" s="2"/>
      <c r="CA5" s="2"/>
      <c r="CB5" s="2"/>
      <c r="CC5" s="2" t="s">
        <v>106</v>
      </c>
      <c r="CD5" s="2">
        <v>2007</v>
      </c>
      <c r="CE5" s="2" t="s">
        <v>89</v>
      </c>
      <c r="CF5" s="5">
        <v>43013</v>
      </c>
      <c r="CG5" s="2"/>
      <c r="CH5" s="2"/>
      <c r="CI5" s="2">
        <v>2</v>
      </c>
      <c r="CJ5" s="2">
        <v>2</v>
      </c>
      <c r="CK5" s="2" t="s">
        <v>90</v>
      </c>
      <c r="CL5" s="2" t="s">
        <v>85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"LCR000302"</f>
        <v>LCR000302</v>
      </c>
      <c r="F6" s="3">
        <v>43010</v>
      </c>
      <c r="G6" s="2">
        <v>201804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110</v>
      </c>
      <c r="M6" s="2" t="s">
        <v>111</v>
      </c>
      <c r="N6" s="2" t="s">
        <v>112</v>
      </c>
      <c r="O6" s="2" t="s">
        <v>81</v>
      </c>
      <c r="P6" s="2" t="str">
        <f>"143960 2oa23015               "</f>
        <v xml:space="preserve">143960 2oa23015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8.19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4</v>
      </c>
      <c r="BJ6" s="2">
        <v>3.9</v>
      </c>
      <c r="BK6" s="2">
        <v>4</v>
      </c>
      <c r="BL6" s="2">
        <v>80.69</v>
      </c>
      <c r="BM6" s="2">
        <v>11.3</v>
      </c>
      <c r="BN6" s="2">
        <v>91.99</v>
      </c>
      <c r="BO6" s="2">
        <v>91.99</v>
      </c>
      <c r="BP6" s="2"/>
      <c r="BQ6" s="2" t="s">
        <v>113</v>
      </c>
      <c r="BR6" s="2" t="s">
        <v>83</v>
      </c>
      <c r="BS6" s="3">
        <v>43012</v>
      </c>
      <c r="BT6" s="4">
        <v>0.59444444444444444</v>
      </c>
      <c r="BU6" s="2" t="s">
        <v>114</v>
      </c>
      <c r="BV6" s="2" t="s">
        <v>96</v>
      </c>
      <c r="BW6" s="2"/>
      <c r="BX6" s="2"/>
      <c r="BY6" s="2">
        <v>19683</v>
      </c>
      <c r="BZ6" s="2"/>
      <c r="CA6" s="2" t="s">
        <v>115</v>
      </c>
      <c r="CB6" s="2"/>
      <c r="CC6" s="2" t="s">
        <v>111</v>
      </c>
      <c r="CD6" s="2">
        <v>1459</v>
      </c>
      <c r="CE6" s="2" t="s">
        <v>89</v>
      </c>
      <c r="CF6" s="5">
        <v>43013</v>
      </c>
      <c r="CG6" s="2"/>
      <c r="CH6" s="2"/>
      <c r="CI6" s="2">
        <v>2</v>
      </c>
      <c r="CJ6" s="2">
        <v>2</v>
      </c>
      <c r="CK6" s="2" t="s">
        <v>90</v>
      </c>
      <c r="CL6" s="2" t="s">
        <v>85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"LCR000319"</f>
        <v>LCR000319</v>
      </c>
      <c r="F7" s="3">
        <v>43010</v>
      </c>
      <c r="G7" s="2">
        <v>201804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116</v>
      </c>
      <c r="M7" s="2" t="s">
        <v>117</v>
      </c>
      <c r="N7" s="2" t="s">
        <v>118</v>
      </c>
      <c r="O7" s="2" t="s">
        <v>81</v>
      </c>
      <c r="P7" s="2" t="str">
        <f>"143581 2oa23004               "</f>
        <v xml:space="preserve">143581 2oa23004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8.8699999999999992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16</v>
      </c>
      <c r="BJ7" s="2">
        <v>16.3</v>
      </c>
      <c r="BK7" s="2">
        <v>17</v>
      </c>
      <c r="BL7" s="2">
        <v>86.97</v>
      </c>
      <c r="BM7" s="2">
        <v>12.18</v>
      </c>
      <c r="BN7" s="2">
        <v>99.15</v>
      </c>
      <c r="BO7" s="2">
        <v>99.15</v>
      </c>
      <c r="BP7" s="2"/>
      <c r="BQ7" s="2" t="s">
        <v>119</v>
      </c>
      <c r="BR7" s="2" t="s">
        <v>83</v>
      </c>
      <c r="BS7" s="3">
        <v>43012</v>
      </c>
      <c r="BT7" s="4">
        <v>0.45902777777777781</v>
      </c>
      <c r="BU7" s="2" t="s">
        <v>120</v>
      </c>
      <c r="BV7" s="2" t="s">
        <v>96</v>
      </c>
      <c r="BW7" s="2"/>
      <c r="BX7" s="2"/>
      <c r="BY7" s="2">
        <v>81600</v>
      </c>
      <c r="BZ7" s="2"/>
      <c r="CA7" s="2"/>
      <c r="CB7" s="2"/>
      <c r="CC7" s="2" t="s">
        <v>117</v>
      </c>
      <c r="CD7" s="2">
        <v>184</v>
      </c>
      <c r="CE7" s="2" t="s">
        <v>121</v>
      </c>
      <c r="CF7" s="5">
        <v>43013</v>
      </c>
      <c r="CG7" s="2"/>
      <c r="CH7" s="2"/>
      <c r="CI7" s="2">
        <v>2</v>
      </c>
      <c r="CJ7" s="2">
        <v>2</v>
      </c>
      <c r="CK7" s="2" t="s">
        <v>90</v>
      </c>
      <c r="CL7" s="2" t="s">
        <v>85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"LCR000329"</f>
        <v>LCR000329</v>
      </c>
      <c r="F8" s="3">
        <v>43010</v>
      </c>
      <c r="G8" s="2">
        <v>201804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122</v>
      </c>
      <c r="M8" s="2" t="s">
        <v>123</v>
      </c>
      <c r="N8" s="2" t="s">
        <v>124</v>
      </c>
      <c r="O8" s="2" t="s">
        <v>81</v>
      </c>
      <c r="P8" s="2" t="str">
        <f>"143720 2oa22997               "</f>
        <v xml:space="preserve">143720 2oa22997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10.42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2</v>
      </c>
      <c r="BI8" s="2">
        <v>23</v>
      </c>
      <c r="BJ8" s="2">
        <v>22.9</v>
      </c>
      <c r="BK8" s="2">
        <v>23</v>
      </c>
      <c r="BL8" s="2">
        <v>101.22</v>
      </c>
      <c r="BM8" s="2">
        <v>14.17</v>
      </c>
      <c r="BN8" s="2">
        <v>115.39</v>
      </c>
      <c r="BO8" s="2">
        <v>115.39</v>
      </c>
      <c r="BP8" s="2"/>
      <c r="BQ8" s="2" t="s">
        <v>125</v>
      </c>
      <c r="BR8" s="2" t="s">
        <v>83</v>
      </c>
      <c r="BS8" s="3">
        <v>43011</v>
      </c>
      <c r="BT8" s="4">
        <v>0.57500000000000007</v>
      </c>
      <c r="BU8" s="2" t="s">
        <v>126</v>
      </c>
      <c r="BV8" s="2" t="s">
        <v>96</v>
      </c>
      <c r="BW8" s="2"/>
      <c r="BX8" s="2"/>
      <c r="BY8" s="2">
        <v>114675</v>
      </c>
      <c r="BZ8" s="2"/>
      <c r="CA8" s="2" t="s">
        <v>127</v>
      </c>
      <c r="CB8" s="2"/>
      <c r="CC8" s="2" t="s">
        <v>123</v>
      </c>
      <c r="CD8" s="2">
        <v>6025</v>
      </c>
      <c r="CE8" s="2" t="s">
        <v>121</v>
      </c>
      <c r="CF8" s="5">
        <v>43012</v>
      </c>
      <c r="CG8" s="2"/>
      <c r="CH8" s="2"/>
      <c r="CI8" s="2">
        <v>2</v>
      </c>
      <c r="CJ8" s="2">
        <v>1</v>
      </c>
      <c r="CK8" s="2" t="s">
        <v>128</v>
      </c>
      <c r="CL8" s="2" t="s">
        <v>85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"LCR000312"</f>
        <v>LCR000312</v>
      </c>
      <c r="F9" s="3">
        <v>43010</v>
      </c>
      <c r="G9" s="2">
        <v>201804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129</v>
      </c>
      <c r="M9" s="2" t="s">
        <v>130</v>
      </c>
      <c r="N9" s="2" t="s">
        <v>131</v>
      </c>
      <c r="O9" s="2" t="s">
        <v>81</v>
      </c>
      <c r="P9" s="2" t="str">
        <f>"143939 2oa23025               "</f>
        <v xml:space="preserve">143939 2oa23025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8.19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7</v>
      </c>
      <c r="BJ9" s="2">
        <v>6.6</v>
      </c>
      <c r="BK9" s="2">
        <v>7</v>
      </c>
      <c r="BL9" s="2">
        <v>80.69</v>
      </c>
      <c r="BM9" s="2">
        <v>11.3</v>
      </c>
      <c r="BN9" s="2">
        <v>91.99</v>
      </c>
      <c r="BO9" s="2">
        <v>91.99</v>
      </c>
      <c r="BP9" s="2"/>
      <c r="BQ9" s="2" t="s">
        <v>132</v>
      </c>
      <c r="BR9" s="2" t="s">
        <v>83</v>
      </c>
      <c r="BS9" s="3">
        <v>43012</v>
      </c>
      <c r="BT9" s="4">
        <v>0.87777777777777777</v>
      </c>
      <c r="BU9" s="2" t="s">
        <v>132</v>
      </c>
      <c r="BV9" s="2" t="s">
        <v>85</v>
      </c>
      <c r="BW9" s="2"/>
      <c r="BX9" s="2"/>
      <c r="BY9" s="2">
        <v>33075</v>
      </c>
      <c r="BZ9" s="2"/>
      <c r="CA9" s="2" t="s">
        <v>133</v>
      </c>
      <c r="CB9" s="2"/>
      <c r="CC9" s="2" t="s">
        <v>130</v>
      </c>
      <c r="CD9" s="2">
        <v>1682</v>
      </c>
      <c r="CE9" s="2" t="s">
        <v>134</v>
      </c>
      <c r="CF9" s="5">
        <v>43014</v>
      </c>
      <c r="CG9" s="2"/>
      <c r="CH9" s="2"/>
      <c r="CI9" s="2">
        <v>2</v>
      </c>
      <c r="CJ9" s="2">
        <v>2</v>
      </c>
      <c r="CK9" s="2" t="s">
        <v>90</v>
      </c>
      <c r="CL9" s="2" t="s">
        <v>85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"LCR000301"</f>
        <v>LCR000301</v>
      </c>
      <c r="F10" s="3">
        <v>43010</v>
      </c>
      <c r="G10" s="2">
        <v>201804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135</v>
      </c>
      <c r="M10" s="2" t="s">
        <v>136</v>
      </c>
      <c r="N10" s="2" t="s">
        <v>137</v>
      </c>
      <c r="O10" s="2" t="s">
        <v>81</v>
      </c>
      <c r="P10" s="2" t="str">
        <f>"143962 2oa23018               "</f>
        <v xml:space="preserve">143962 2oa23018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8.19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7</v>
      </c>
      <c r="BJ10" s="2">
        <v>6.6</v>
      </c>
      <c r="BK10" s="2">
        <v>7</v>
      </c>
      <c r="BL10" s="2">
        <v>80.69</v>
      </c>
      <c r="BM10" s="2">
        <v>11.3</v>
      </c>
      <c r="BN10" s="2">
        <v>91.99</v>
      </c>
      <c r="BO10" s="2">
        <v>91.99</v>
      </c>
      <c r="BP10" s="2"/>
      <c r="BQ10" s="2" t="s">
        <v>138</v>
      </c>
      <c r="BR10" s="2" t="s">
        <v>83</v>
      </c>
      <c r="BS10" s="3">
        <v>43013</v>
      </c>
      <c r="BT10" s="4">
        <v>0.55902777777777779</v>
      </c>
      <c r="BU10" s="2" t="s">
        <v>139</v>
      </c>
      <c r="BV10" s="2" t="s">
        <v>96</v>
      </c>
      <c r="BW10" s="2"/>
      <c r="BX10" s="2"/>
      <c r="BY10" s="2">
        <v>33075</v>
      </c>
      <c r="BZ10" s="2"/>
      <c r="CA10" s="2" t="s">
        <v>140</v>
      </c>
      <c r="CB10" s="2"/>
      <c r="CC10" s="2" t="s">
        <v>136</v>
      </c>
      <c r="CD10" s="2">
        <v>3610</v>
      </c>
      <c r="CE10" s="2" t="s">
        <v>134</v>
      </c>
      <c r="CF10" s="5">
        <v>43014</v>
      </c>
      <c r="CG10" s="2"/>
      <c r="CH10" s="2"/>
      <c r="CI10" s="2">
        <v>7</v>
      </c>
      <c r="CJ10" s="2">
        <v>3</v>
      </c>
      <c r="CK10" s="2" t="s">
        <v>90</v>
      </c>
      <c r="CL10" s="2" t="s">
        <v>85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"LCR000320"</f>
        <v>LCR000320</v>
      </c>
      <c r="F11" s="3">
        <v>43010</v>
      </c>
      <c r="G11" s="2">
        <v>201804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141</v>
      </c>
      <c r="M11" s="2" t="s">
        <v>142</v>
      </c>
      <c r="N11" s="2" t="s">
        <v>143</v>
      </c>
      <c r="O11" s="2" t="s">
        <v>81</v>
      </c>
      <c r="P11" s="2" t="str">
        <f>"143857 2oa22998               "</f>
        <v xml:space="preserve">143857 2oa22998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11.53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4</v>
      </c>
      <c r="BJ11" s="2">
        <v>3.9</v>
      </c>
      <c r="BK11" s="2">
        <v>4</v>
      </c>
      <c r="BL11" s="2">
        <v>111.53</v>
      </c>
      <c r="BM11" s="2">
        <v>15.61</v>
      </c>
      <c r="BN11" s="2">
        <v>127.14</v>
      </c>
      <c r="BO11" s="2">
        <v>127.14</v>
      </c>
      <c r="BP11" s="2"/>
      <c r="BQ11" s="2" t="s">
        <v>144</v>
      </c>
      <c r="BR11" s="2" t="s">
        <v>83</v>
      </c>
      <c r="BS11" s="3">
        <v>43013</v>
      </c>
      <c r="BT11" s="4">
        <v>0.43124999999999997</v>
      </c>
      <c r="BU11" s="2" t="s">
        <v>145</v>
      </c>
      <c r="BV11" s="2" t="s">
        <v>85</v>
      </c>
      <c r="BW11" s="2" t="s">
        <v>86</v>
      </c>
      <c r="BX11" s="2" t="s">
        <v>146</v>
      </c>
      <c r="BY11" s="2">
        <v>19683</v>
      </c>
      <c r="BZ11" s="2"/>
      <c r="CA11" s="2" t="s">
        <v>147</v>
      </c>
      <c r="CB11" s="2"/>
      <c r="CC11" s="2" t="s">
        <v>142</v>
      </c>
      <c r="CD11" s="2">
        <v>3245</v>
      </c>
      <c r="CE11" s="2" t="s">
        <v>89</v>
      </c>
      <c r="CF11" s="5">
        <v>43017</v>
      </c>
      <c r="CG11" s="2"/>
      <c r="CH11" s="2"/>
      <c r="CI11" s="2">
        <v>2</v>
      </c>
      <c r="CJ11" s="2">
        <v>3</v>
      </c>
      <c r="CK11" s="2" t="s">
        <v>148</v>
      </c>
      <c r="CL11" s="2" t="s">
        <v>85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"LCR000335"</f>
        <v>LCR000335</v>
      </c>
      <c r="F12" s="3">
        <v>43010</v>
      </c>
      <c r="G12" s="2">
        <v>201804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149</v>
      </c>
      <c r="M12" s="2" t="s">
        <v>150</v>
      </c>
      <c r="N12" s="2" t="s">
        <v>151</v>
      </c>
      <c r="O12" s="2" t="s">
        <v>81</v>
      </c>
      <c r="P12" s="2" t="str">
        <f>"143973 2oa23041               "</f>
        <v xml:space="preserve">143973 2oa23041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5.46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4</v>
      </c>
      <c r="BJ12" s="2">
        <v>3.9</v>
      </c>
      <c r="BK12" s="2">
        <v>4</v>
      </c>
      <c r="BL12" s="2">
        <v>55.46</v>
      </c>
      <c r="BM12" s="2">
        <v>7.76</v>
      </c>
      <c r="BN12" s="2">
        <v>63.22</v>
      </c>
      <c r="BO12" s="2">
        <v>63.22</v>
      </c>
      <c r="BP12" s="2"/>
      <c r="BQ12" s="2" t="s">
        <v>152</v>
      </c>
      <c r="BR12" s="2" t="s">
        <v>83</v>
      </c>
      <c r="BS12" s="3">
        <v>43011</v>
      </c>
      <c r="BT12" s="4">
        <v>0.4236111111111111</v>
      </c>
      <c r="BU12" s="2" t="s">
        <v>153</v>
      </c>
      <c r="BV12" s="2" t="s">
        <v>96</v>
      </c>
      <c r="BW12" s="2"/>
      <c r="BX12" s="2"/>
      <c r="BY12" s="2">
        <v>19683</v>
      </c>
      <c r="BZ12" s="2"/>
      <c r="CA12" s="2"/>
      <c r="CB12" s="2"/>
      <c r="CC12" s="2" t="s">
        <v>150</v>
      </c>
      <c r="CD12" s="2">
        <v>8001</v>
      </c>
      <c r="CE12" s="2" t="s">
        <v>89</v>
      </c>
      <c r="CF12" s="5">
        <v>43012</v>
      </c>
      <c r="CG12" s="2"/>
      <c r="CH12" s="2"/>
      <c r="CI12" s="2">
        <v>1</v>
      </c>
      <c r="CJ12" s="2">
        <v>1</v>
      </c>
      <c r="CK12" s="2" t="s">
        <v>154</v>
      </c>
      <c r="CL12" s="2" t="s">
        <v>85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"LCR000311"</f>
        <v>LCR000311</v>
      </c>
      <c r="F13" s="3">
        <v>43010</v>
      </c>
      <c r="G13" s="2">
        <v>201804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155</v>
      </c>
      <c r="M13" s="2" t="s">
        <v>156</v>
      </c>
      <c r="N13" s="2" t="s">
        <v>157</v>
      </c>
      <c r="O13" s="2" t="s">
        <v>81</v>
      </c>
      <c r="P13" s="2" t="str">
        <f>"143938 2oa23024               "</f>
        <v xml:space="preserve">143938 2oa23024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8.19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4</v>
      </c>
      <c r="BJ13" s="2">
        <v>3.9</v>
      </c>
      <c r="BK13" s="2">
        <v>4</v>
      </c>
      <c r="BL13" s="2">
        <v>80.69</v>
      </c>
      <c r="BM13" s="2">
        <v>11.3</v>
      </c>
      <c r="BN13" s="2">
        <v>91.99</v>
      </c>
      <c r="BO13" s="2">
        <v>91.99</v>
      </c>
      <c r="BP13" s="2"/>
      <c r="BQ13" s="2" t="s">
        <v>158</v>
      </c>
      <c r="BR13" s="2" t="s">
        <v>83</v>
      </c>
      <c r="BS13" s="3">
        <v>43012</v>
      </c>
      <c r="BT13" s="4">
        <v>0.41666666666666669</v>
      </c>
      <c r="BU13" s="2" t="s">
        <v>159</v>
      </c>
      <c r="BV13" s="2" t="s">
        <v>96</v>
      </c>
      <c r="BW13" s="2"/>
      <c r="BX13" s="2"/>
      <c r="BY13" s="2">
        <v>19683</v>
      </c>
      <c r="BZ13" s="2"/>
      <c r="CA13" s="2" t="s">
        <v>160</v>
      </c>
      <c r="CB13" s="2"/>
      <c r="CC13" s="2" t="s">
        <v>156</v>
      </c>
      <c r="CD13" s="2">
        <v>9301</v>
      </c>
      <c r="CE13" s="2" t="s">
        <v>89</v>
      </c>
      <c r="CF13" s="5">
        <v>43013</v>
      </c>
      <c r="CG13" s="2"/>
      <c r="CH13" s="2"/>
      <c r="CI13" s="2">
        <v>2</v>
      </c>
      <c r="CJ13" s="2">
        <v>2</v>
      </c>
      <c r="CK13" s="2" t="s">
        <v>90</v>
      </c>
      <c r="CL13" s="2" t="s">
        <v>85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"LCR000304"</f>
        <v>LCR000304</v>
      </c>
      <c r="F14" s="3">
        <v>43010</v>
      </c>
      <c r="G14" s="2">
        <v>201804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161</v>
      </c>
      <c r="M14" s="2" t="s">
        <v>162</v>
      </c>
      <c r="N14" s="2" t="s">
        <v>163</v>
      </c>
      <c r="O14" s="2" t="s">
        <v>81</v>
      </c>
      <c r="P14" s="2" t="str">
        <f>"143957 2oa23016               "</f>
        <v xml:space="preserve">143957 2oa23016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7.28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7</v>
      </c>
      <c r="BJ14" s="2">
        <v>6.6</v>
      </c>
      <c r="BK14" s="2">
        <v>7</v>
      </c>
      <c r="BL14" s="2">
        <v>72.28</v>
      </c>
      <c r="BM14" s="2">
        <v>10.119999999999999</v>
      </c>
      <c r="BN14" s="2">
        <v>82.4</v>
      </c>
      <c r="BO14" s="2">
        <v>82.4</v>
      </c>
      <c r="BP14" s="2"/>
      <c r="BQ14" s="2" t="s">
        <v>164</v>
      </c>
      <c r="BR14" s="2" t="s">
        <v>83</v>
      </c>
      <c r="BS14" s="3">
        <v>43011</v>
      </c>
      <c r="BT14" s="4">
        <v>0.55763888888888891</v>
      </c>
      <c r="BU14" s="2" t="s">
        <v>165</v>
      </c>
      <c r="BV14" s="2" t="s">
        <v>96</v>
      </c>
      <c r="BW14" s="2"/>
      <c r="BX14" s="2"/>
      <c r="BY14" s="2">
        <v>33075</v>
      </c>
      <c r="BZ14" s="2"/>
      <c r="CA14" s="2" t="s">
        <v>166</v>
      </c>
      <c r="CB14" s="2"/>
      <c r="CC14" s="2" t="s">
        <v>162</v>
      </c>
      <c r="CD14" s="2">
        <v>6530</v>
      </c>
      <c r="CE14" s="2" t="s">
        <v>134</v>
      </c>
      <c r="CF14" s="5">
        <v>43012</v>
      </c>
      <c r="CG14" s="2"/>
      <c r="CH14" s="2"/>
      <c r="CI14" s="2">
        <v>1</v>
      </c>
      <c r="CJ14" s="2">
        <v>1</v>
      </c>
      <c r="CK14" s="2" t="s">
        <v>167</v>
      </c>
      <c r="CL14" s="2" t="s">
        <v>85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"LCR000318"</f>
        <v>LCR000318</v>
      </c>
      <c r="F15" s="3">
        <v>43010</v>
      </c>
      <c r="G15" s="2">
        <v>201804</v>
      </c>
      <c r="H15" s="2" t="s">
        <v>74</v>
      </c>
      <c r="I15" s="2" t="s">
        <v>75</v>
      </c>
      <c r="J15" s="2" t="s">
        <v>76</v>
      </c>
      <c r="K15" s="2" t="s">
        <v>77</v>
      </c>
      <c r="L15" s="2" t="s">
        <v>168</v>
      </c>
      <c r="M15" s="2" t="s">
        <v>169</v>
      </c>
      <c r="N15" s="2" t="s">
        <v>170</v>
      </c>
      <c r="O15" s="2" t="s">
        <v>81</v>
      </c>
      <c r="P15" s="2" t="str">
        <f>"143917 2oa23000               "</f>
        <v xml:space="preserve">143917 2oa23000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9.83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4</v>
      </c>
      <c r="BJ15" s="2">
        <v>3.9</v>
      </c>
      <c r="BK15" s="2">
        <v>4</v>
      </c>
      <c r="BL15" s="2">
        <v>95.83</v>
      </c>
      <c r="BM15" s="2">
        <v>13.42</v>
      </c>
      <c r="BN15" s="2">
        <v>109.25</v>
      </c>
      <c r="BO15" s="2">
        <v>109.25</v>
      </c>
      <c r="BP15" s="2"/>
      <c r="BQ15" s="2" t="s">
        <v>171</v>
      </c>
      <c r="BR15" s="2" t="s">
        <v>83</v>
      </c>
      <c r="BS15" s="3">
        <v>43013</v>
      </c>
      <c r="BT15" s="4">
        <v>0.54166666666666663</v>
      </c>
      <c r="BU15" s="2" t="s">
        <v>103</v>
      </c>
      <c r="BV15" s="2" t="s">
        <v>85</v>
      </c>
      <c r="BW15" s="2" t="s">
        <v>172</v>
      </c>
      <c r="BX15" s="2" t="s">
        <v>173</v>
      </c>
      <c r="BY15" s="2">
        <v>19683</v>
      </c>
      <c r="BZ15" s="2"/>
      <c r="CA15" s="2"/>
      <c r="CB15" s="2"/>
      <c r="CC15" s="2" t="s">
        <v>169</v>
      </c>
      <c r="CD15" s="2">
        <v>4405</v>
      </c>
      <c r="CE15" s="2" t="s">
        <v>89</v>
      </c>
      <c r="CF15" s="5">
        <v>43014</v>
      </c>
      <c r="CG15" s="2"/>
      <c r="CH15" s="2"/>
      <c r="CI15" s="2">
        <v>2</v>
      </c>
      <c r="CJ15" s="2">
        <v>3</v>
      </c>
      <c r="CK15" s="2" t="s">
        <v>174</v>
      </c>
      <c r="CL15" s="2" t="s">
        <v>85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"LCR000326"</f>
        <v>LCR000326</v>
      </c>
      <c r="F16" s="3">
        <v>43010</v>
      </c>
      <c r="G16" s="2">
        <v>201804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175</v>
      </c>
      <c r="M16" s="2" t="s">
        <v>176</v>
      </c>
      <c r="N16" s="2" t="s">
        <v>177</v>
      </c>
      <c r="O16" s="2" t="s">
        <v>81</v>
      </c>
      <c r="P16" s="2" t="str">
        <f>"NATASHA                       "</f>
        <v xml:space="preserve">NATASHA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13.11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7</v>
      </c>
      <c r="BJ16" s="2">
        <v>6.6</v>
      </c>
      <c r="BK16" s="2">
        <v>7</v>
      </c>
      <c r="BL16" s="2">
        <v>126.11</v>
      </c>
      <c r="BM16" s="2">
        <v>17.66</v>
      </c>
      <c r="BN16" s="2">
        <v>143.77000000000001</v>
      </c>
      <c r="BO16" s="2">
        <v>143.77000000000001</v>
      </c>
      <c r="BP16" s="2"/>
      <c r="BQ16" s="2" t="s">
        <v>178</v>
      </c>
      <c r="BR16" s="2" t="s">
        <v>83</v>
      </c>
      <c r="BS16" s="3">
        <v>43012</v>
      </c>
      <c r="BT16" s="4">
        <v>0.61319444444444449</v>
      </c>
      <c r="BU16" s="2" t="s">
        <v>179</v>
      </c>
      <c r="BV16" s="2" t="s">
        <v>96</v>
      </c>
      <c r="BW16" s="2"/>
      <c r="BX16" s="2"/>
      <c r="BY16" s="2">
        <v>33075</v>
      </c>
      <c r="BZ16" s="2"/>
      <c r="CA16" s="2" t="s">
        <v>180</v>
      </c>
      <c r="CB16" s="2"/>
      <c r="CC16" s="2" t="s">
        <v>176</v>
      </c>
      <c r="CD16" s="2">
        <v>1947</v>
      </c>
      <c r="CE16" s="2" t="s">
        <v>134</v>
      </c>
      <c r="CF16" s="5">
        <v>43013</v>
      </c>
      <c r="CG16" s="2"/>
      <c r="CH16" s="2"/>
      <c r="CI16" s="2">
        <v>2</v>
      </c>
      <c r="CJ16" s="2">
        <v>2</v>
      </c>
      <c r="CK16" s="2" t="s">
        <v>181</v>
      </c>
      <c r="CL16" s="2" t="s">
        <v>85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"LCR000315"</f>
        <v>LCR000315</v>
      </c>
      <c r="F17" s="3">
        <v>43010</v>
      </c>
      <c r="G17" s="2">
        <v>201804</v>
      </c>
      <c r="H17" s="2" t="s">
        <v>74</v>
      </c>
      <c r="I17" s="2" t="s">
        <v>75</v>
      </c>
      <c r="J17" s="2" t="s">
        <v>76</v>
      </c>
      <c r="K17" s="2" t="s">
        <v>77</v>
      </c>
      <c r="L17" s="2" t="s">
        <v>182</v>
      </c>
      <c r="M17" s="2" t="s">
        <v>183</v>
      </c>
      <c r="N17" s="2" t="s">
        <v>184</v>
      </c>
      <c r="O17" s="2" t="s">
        <v>81</v>
      </c>
      <c r="P17" s="2" t="str">
        <f>"143924 2oa23021               "</f>
        <v xml:space="preserve">143924 2oa23021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6.68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7</v>
      </c>
      <c r="BJ17" s="2">
        <v>6.6</v>
      </c>
      <c r="BK17" s="2">
        <v>7</v>
      </c>
      <c r="BL17" s="2">
        <v>66.680000000000007</v>
      </c>
      <c r="BM17" s="2">
        <v>9.34</v>
      </c>
      <c r="BN17" s="2">
        <v>76.02</v>
      </c>
      <c r="BO17" s="2">
        <v>76.02</v>
      </c>
      <c r="BP17" s="2"/>
      <c r="BQ17" s="2" t="s">
        <v>185</v>
      </c>
      <c r="BR17" s="2" t="s">
        <v>83</v>
      </c>
      <c r="BS17" s="3">
        <v>43011</v>
      </c>
      <c r="BT17" s="4">
        <v>0.37847222222222227</v>
      </c>
      <c r="BU17" s="2" t="s">
        <v>186</v>
      </c>
      <c r="BV17" s="2" t="s">
        <v>96</v>
      </c>
      <c r="BW17" s="2"/>
      <c r="BX17" s="2"/>
      <c r="BY17" s="2">
        <v>33075</v>
      </c>
      <c r="BZ17" s="2"/>
      <c r="CA17" s="2"/>
      <c r="CB17" s="2"/>
      <c r="CC17" s="2" t="s">
        <v>183</v>
      </c>
      <c r="CD17" s="2">
        <v>7320</v>
      </c>
      <c r="CE17" s="2" t="s">
        <v>134</v>
      </c>
      <c r="CF17" s="5">
        <v>43014</v>
      </c>
      <c r="CG17" s="2"/>
      <c r="CH17" s="2"/>
      <c r="CI17" s="2">
        <v>3</v>
      </c>
      <c r="CJ17" s="2">
        <v>1</v>
      </c>
      <c r="CK17" s="2" t="s">
        <v>187</v>
      </c>
      <c r="CL17" s="2" t="s">
        <v>85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"LCR000305"</f>
        <v>LCR000305</v>
      </c>
      <c r="F18" s="3">
        <v>43010</v>
      </c>
      <c r="G18" s="2">
        <v>201804</v>
      </c>
      <c r="H18" s="2" t="s">
        <v>74</v>
      </c>
      <c r="I18" s="2" t="s">
        <v>75</v>
      </c>
      <c r="J18" s="2" t="s">
        <v>76</v>
      </c>
      <c r="K18" s="2" t="s">
        <v>77</v>
      </c>
      <c r="L18" s="2" t="s">
        <v>149</v>
      </c>
      <c r="M18" s="2" t="s">
        <v>150</v>
      </c>
      <c r="N18" s="2" t="s">
        <v>188</v>
      </c>
      <c r="O18" s="2" t="s">
        <v>81</v>
      </c>
      <c r="P18" s="2" t="str">
        <f>"143945 2oa23029               "</f>
        <v xml:space="preserve">143945 2oa23029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5.46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4</v>
      </c>
      <c r="BJ18" s="2">
        <v>3.9</v>
      </c>
      <c r="BK18" s="2">
        <v>4</v>
      </c>
      <c r="BL18" s="2">
        <v>55.46</v>
      </c>
      <c r="BM18" s="2">
        <v>7.76</v>
      </c>
      <c r="BN18" s="2">
        <v>63.22</v>
      </c>
      <c r="BO18" s="2">
        <v>63.22</v>
      </c>
      <c r="BP18" s="2"/>
      <c r="BQ18" s="2" t="s">
        <v>189</v>
      </c>
      <c r="BR18" s="2" t="s">
        <v>83</v>
      </c>
      <c r="BS18" s="3">
        <v>43011</v>
      </c>
      <c r="BT18" s="4">
        <v>0.57916666666666672</v>
      </c>
      <c r="BU18" s="2" t="s">
        <v>189</v>
      </c>
      <c r="BV18" s="2" t="s">
        <v>96</v>
      </c>
      <c r="BW18" s="2"/>
      <c r="BX18" s="2"/>
      <c r="BY18" s="2">
        <v>19683</v>
      </c>
      <c r="BZ18" s="2"/>
      <c r="CA18" s="2" t="s">
        <v>190</v>
      </c>
      <c r="CB18" s="2"/>
      <c r="CC18" s="2" t="s">
        <v>150</v>
      </c>
      <c r="CD18" s="2">
        <v>7441</v>
      </c>
      <c r="CE18" s="2" t="s">
        <v>89</v>
      </c>
      <c r="CF18" s="5">
        <v>43011</v>
      </c>
      <c r="CG18" s="2"/>
      <c r="CH18" s="2"/>
      <c r="CI18" s="2">
        <v>1</v>
      </c>
      <c r="CJ18" s="2">
        <v>1</v>
      </c>
      <c r="CK18" s="2" t="s">
        <v>154</v>
      </c>
      <c r="CL18" s="2" t="s">
        <v>85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"LCR000317"</f>
        <v>LCR000317</v>
      </c>
      <c r="F19" s="3">
        <v>43010</v>
      </c>
      <c r="G19" s="2">
        <v>201804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191</v>
      </c>
      <c r="M19" s="2" t="s">
        <v>192</v>
      </c>
      <c r="N19" s="2" t="s">
        <v>193</v>
      </c>
      <c r="O19" s="2" t="s">
        <v>81</v>
      </c>
      <c r="P19" s="2" t="str">
        <f>"143963 2oa23014               "</f>
        <v xml:space="preserve">143963 2oa23014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7.89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12</v>
      </c>
      <c r="BJ19" s="2">
        <v>11.4</v>
      </c>
      <c r="BK19" s="2">
        <v>12</v>
      </c>
      <c r="BL19" s="2">
        <v>77.89</v>
      </c>
      <c r="BM19" s="2">
        <v>10.9</v>
      </c>
      <c r="BN19" s="2">
        <v>88.79</v>
      </c>
      <c r="BO19" s="2">
        <v>88.79</v>
      </c>
      <c r="BP19" s="2"/>
      <c r="BQ19" s="2" t="s">
        <v>194</v>
      </c>
      <c r="BR19" s="2" t="s">
        <v>83</v>
      </c>
      <c r="BS19" s="3">
        <v>43012</v>
      </c>
      <c r="BT19" s="4">
        <v>0.53263888888888888</v>
      </c>
      <c r="BU19" s="2" t="s">
        <v>195</v>
      </c>
      <c r="BV19" s="2" t="s">
        <v>96</v>
      </c>
      <c r="BW19" s="2"/>
      <c r="BX19" s="2"/>
      <c r="BY19" s="2">
        <v>57132</v>
      </c>
      <c r="BZ19" s="2"/>
      <c r="CA19" s="2" t="s">
        <v>196</v>
      </c>
      <c r="CB19" s="2"/>
      <c r="CC19" s="2" t="s">
        <v>192</v>
      </c>
      <c r="CD19" s="2">
        <v>5217</v>
      </c>
      <c r="CE19" s="2" t="s">
        <v>197</v>
      </c>
      <c r="CF19" s="5">
        <v>43014</v>
      </c>
      <c r="CG19" s="2"/>
      <c r="CH19" s="2"/>
      <c r="CI19" s="2">
        <v>2</v>
      </c>
      <c r="CJ19" s="2">
        <v>2</v>
      </c>
      <c r="CK19" s="2" t="s">
        <v>128</v>
      </c>
      <c r="CL19" s="2" t="s">
        <v>85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"LCR000338"</f>
        <v>LCR000338</v>
      </c>
      <c r="F20" s="3">
        <v>43010</v>
      </c>
      <c r="G20" s="2">
        <v>201804</v>
      </c>
      <c r="H20" s="2" t="s">
        <v>74</v>
      </c>
      <c r="I20" s="2" t="s">
        <v>75</v>
      </c>
      <c r="J20" s="2" t="s">
        <v>76</v>
      </c>
      <c r="K20" s="2" t="s">
        <v>77</v>
      </c>
      <c r="L20" s="2" t="s">
        <v>198</v>
      </c>
      <c r="M20" s="2" t="s">
        <v>199</v>
      </c>
      <c r="N20" s="2" t="s">
        <v>200</v>
      </c>
      <c r="O20" s="2" t="s">
        <v>81</v>
      </c>
      <c r="P20" s="2" t="str">
        <f>"143974 2oa23039               "</f>
        <v xml:space="preserve">143974 2oa23039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9.83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10</v>
      </c>
      <c r="BJ20" s="2">
        <v>9.6999999999999993</v>
      </c>
      <c r="BK20" s="2">
        <v>10</v>
      </c>
      <c r="BL20" s="2">
        <v>95.83</v>
      </c>
      <c r="BM20" s="2">
        <v>13.42</v>
      </c>
      <c r="BN20" s="2">
        <v>109.25</v>
      </c>
      <c r="BO20" s="2">
        <v>109.25</v>
      </c>
      <c r="BP20" s="2"/>
      <c r="BQ20" s="2" t="s">
        <v>201</v>
      </c>
      <c r="BR20" s="2" t="s">
        <v>83</v>
      </c>
      <c r="BS20" s="3">
        <v>43013</v>
      </c>
      <c r="BT20" s="4">
        <v>0.43055555555555558</v>
      </c>
      <c r="BU20" s="2" t="s">
        <v>202</v>
      </c>
      <c r="BV20" s="2" t="s">
        <v>85</v>
      </c>
      <c r="BW20" s="2"/>
      <c r="BX20" s="2"/>
      <c r="BY20" s="2">
        <v>48739</v>
      </c>
      <c r="BZ20" s="2"/>
      <c r="CA20" s="2" t="s">
        <v>203</v>
      </c>
      <c r="CB20" s="2"/>
      <c r="CC20" s="2" t="s">
        <v>199</v>
      </c>
      <c r="CD20" s="2">
        <v>299</v>
      </c>
      <c r="CE20" s="2" t="s">
        <v>204</v>
      </c>
      <c r="CF20" s="5">
        <v>43017</v>
      </c>
      <c r="CG20" s="2"/>
      <c r="CH20" s="2"/>
      <c r="CI20" s="2">
        <v>2</v>
      </c>
      <c r="CJ20" s="2">
        <v>3</v>
      </c>
      <c r="CK20" s="2" t="s">
        <v>174</v>
      </c>
      <c r="CL20" s="2" t="s">
        <v>85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"LCR000378"</f>
        <v>LCR000378</v>
      </c>
      <c r="F21" s="3">
        <v>43011</v>
      </c>
      <c r="G21" s="2">
        <v>201804</v>
      </c>
      <c r="H21" s="2" t="s">
        <v>74</v>
      </c>
      <c r="I21" s="2" t="s">
        <v>75</v>
      </c>
      <c r="J21" s="2" t="s">
        <v>76</v>
      </c>
      <c r="K21" s="2" t="s">
        <v>77</v>
      </c>
      <c r="L21" s="2" t="s">
        <v>205</v>
      </c>
      <c r="M21" s="2" t="s">
        <v>206</v>
      </c>
      <c r="N21" s="2" t="s">
        <v>207</v>
      </c>
      <c r="O21" s="2" t="s">
        <v>81</v>
      </c>
      <c r="P21" s="2" t="str">
        <f>"144014                        "</f>
        <v xml:space="preserve">144014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9.83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2.2999999999999998</v>
      </c>
      <c r="BJ21" s="2">
        <v>7.9</v>
      </c>
      <c r="BK21" s="2">
        <v>8</v>
      </c>
      <c r="BL21" s="2">
        <v>95.83</v>
      </c>
      <c r="BM21" s="2">
        <v>13.42</v>
      </c>
      <c r="BN21" s="2">
        <v>109.25</v>
      </c>
      <c r="BO21" s="2">
        <v>109.25</v>
      </c>
      <c r="BP21" s="2"/>
      <c r="BQ21" s="2" t="s">
        <v>208</v>
      </c>
      <c r="BR21" s="2" t="s">
        <v>83</v>
      </c>
      <c r="BS21" s="3">
        <v>43011</v>
      </c>
      <c r="BT21" s="4">
        <v>0.41319444444444442</v>
      </c>
      <c r="BU21" s="2" t="s">
        <v>209</v>
      </c>
      <c r="BV21" s="2" t="s">
        <v>96</v>
      </c>
      <c r="BW21" s="2"/>
      <c r="BX21" s="2"/>
      <c r="BY21" s="2">
        <v>39294</v>
      </c>
      <c r="BZ21" s="2"/>
      <c r="CA21" s="2"/>
      <c r="CB21" s="2"/>
      <c r="CC21" s="2" t="s">
        <v>206</v>
      </c>
      <c r="CD21" s="2">
        <v>6120</v>
      </c>
      <c r="CE21" s="2" t="s">
        <v>134</v>
      </c>
      <c r="CF21" s="5">
        <v>43019</v>
      </c>
      <c r="CG21" s="2"/>
      <c r="CH21" s="2"/>
      <c r="CI21" s="2">
        <v>3</v>
      </c>
      <c r="CJ21" s="2">
        <v>0</v>
      </c>
      <c r="CK21" s="2" t="s">
        <v>98</v>
      </c>
      <c r="CL21" s="2" t="s">
        <v>85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"LCR000323"</f>
        <v>LCR000323</v>
      </c>
      <c r="F22" s="3">
        <v>43010</v>
      </c>
      <c r="G22" s="2">
        <v>201804</v>
      </c>
      <c r="H22" s="2" t="s">
        <v>74</v>
      </c>
      <c r="I22" s="2" t="s">
        <v>75</v>
      </c>
      <c r="J22" s="2" t="s">
        <v>76</v>
      </c>
      <c r="K22" s="2" t="s">
        <v>77</v>
      </c>
      <c r="L22" s="2" t="s">
        <v>210</v>
      </c>
      <c r="M22" s="2" t="s">
        <v>211</v>
      </c>
      <c r="N22" s="2" t="s">
        <v>212</v>
      </c>
      <c r="O22" s="2" t="s">
        <v>81</v>
      </c>
      <c r="P22" s="2" t="str">
        <f>"143909 2OA22999               "</f>
        <v xml:space="preserve">143909 2OA22999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8.19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4</v>
      </c>
      <c r="BJ22" s="2">
        <v>3.9</v>
      </c>
      <c r="BK22" s="2">
        <v>4</v>
      </c>
      <c r="BL22" s="2">
        <v>80.69</v>
      </c>
      <c r="BM22" s="2">
        <v>11.3</v>
      </c>
      <c r="BN22" s="2">
        <v>91.99</v>
      </c>
      <c r="BO22" s="2">
        <v>91.99</v>
      </c>
      <c r="BP22" s="2"/>
      <c r="BQ22" s="2" t="s">
        <v>213</v>
      </c>
      <c r="BR22" s="2" t="s">
        <v>83</v>
      </c>
      <c r="BS22" s="3">
        <v>43012</v>
      </c>
      <c r="BT22" s="4">
        <v>0.47916666666666669</v>
      </c>
      <c r="BU22" s="2" t="s">
        <v>214</v>
      </c>
      <c r="BV22" s="2" t="s">
        <v>96</v>
      </c>
      <c r="BW22" s="2"/>
      <c r="BX22" s="2"/>
      <c r="BY22" s="2">
        <v>19683</v>
      </c>
      <c r="BZ22" s="2"/>
      <c r="CA22" s="2" t="s">
        <v>215</v>
      </c>
      <c r="CB22" s="2"/>
      <c r="CC22" s="2" t="s">
        <v>211</v>
      </c>
      <c r="CD22" s="2">
        <v>157</v>
      </c>
      <c r="CE22" s="2" t="s">
        <v>89</v>
      </c>
      <c r="CF22" s="5">
        <v>43013</v>
      </c>
      <c r="CG22" s="2"/>
      <c r="CH22" s="2"/>
      <c r="CI22" s="2">
        <v>2</v>
      </c>
      <c r="CJ22" s="2">
        <v>2</v>
      </c>
      <c r="CK22" s="2" t="s">
        <v>90</v>
      </c>
      <c r="CL22" s="2" t="s">
        <v>85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"LCR000260"</f>
        <v>LCR000260</v>
      </c>
      <c r="F23" s="3">
        <v>43006</v>
      </c>
      <c r="G23" s="2">
        <v>201804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116</v>
      </c>
      <c r="M23" s="2" t="s">
        <v>117</v>
      </c>
      <c r="N23" s="2" t="s">
        <v>216</v>
      </c>
      <c r="O23" s="2" t="s">
        <v>81</v>
      </c>
      <c r="P23" s="2" t="str">
        <f>"143829                        "</f>
        <v xml:space="preserve">143829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8.19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1.1000000000000001</v>
      </c>
      <c r="BJ23" s="2">
        <v>4.2</v>
      </c>
      <c r="BK23" s="2">
        <v>5</v>
      </c>
      <c r="BL23" s="2">
        <v>80.69</v>
      </c>
      <c r="BM23" s="2">
        <v>11.3</v>
      </c>
      <c r="BN23" s="2">
        <v>91.99</v>
      </c>
      <c r="BO23" s="2">
        <v>91.99</v>
      </c>
      <c r="BP23" s="2"/>
      <c r="BQ23" s="2" t="s">
        <v>217</v>
      </c>
      <c r="BR23" s="2" t="s">
        <v>83</v>
      </c>
      <c r="BS23" s="3">
        <v>43011</v>
      </c>
      <c r="BT23" s="4">
        <v>0.42222222222222222</v>
      </c>
      <c r="BU23" s="2" t="s">
        <v>218</v>
      </c>
      <c r="BV23" s="2" t="s">
        <v>85</v>
      </c>
      <c r="BW23" s="2" t="s">
        <v>219</v>
      </c>
      <c r="BX23" s="2" t="s">
        <v>220</v>
      </c>
      <c r="BY23" s="2">
        <v>21164.92</v>
      </c>
      <c r="BZ23" s="2"/>
      <c r="CA23" s="2"/>
      <c r="CB23" s="2"/>
      <c r="CC23" s="2" t="s">
        <v>117</v>
      </c>
      <c r="CD23" s="2">
        <v>154</v>
      </c>
      <c r="CE23" s="2" t="s">
        <v>89</v>
      </c>
      <c r="CF23" s="5">
        <v>43012</v>
      </c>
      <c r="CG23" s="2"/>
      <c r="CH23" s="2"/>
      <c r="CI23" s="2">
        <v>2</v>
      </c>
      <c r="CJ23" s="2">
        <v>3</v>
      </c>
      <c r="CK23" s="2" t="s">
        <v>90</v>
      </c>
      <c r="CL23" s="2" t="s">
        <v>85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"LCR000325"</f>
        <v>LCR000325</v>
      </c>
      <c r="F24" s="3">
        <v>43010</v>
      </c>
      <c r="G24" s="2">
        <v>201804</v>
      </c>
      <c r="H24" s="2" t="s">
        <v>74</v>
      </c>
      <c r="I24" s="2" t="s">
        <v>75</v>
      </c>
      <c r="J24" s="2" t="s">
        <v>76</v>
      </c>
      <c r="K24" s="2" t="s">
        <v>77</v>
      </c>
      <c r="L24" s="2" t="s">
        <v>129</v>
      </c>
      <c r="M24" s="2" t="s">
        <v>130</v>
      </c>
      <c r="N24" s="2" t="s">
        <v>221</v>
      </c>
      <c r="O24" s="2" t="s">
        <v>81</v>
      </c>
      <c r="P24" s="2" t="str">
        <f>"143848 2OA22996               "</f>
        <v xml:space="preserve">143848 2OA22996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12.61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2</v>
      </c>
      <c r="BI24" s="2">
        <v>28</v>
      </c>
      <c r="BJ24" s="2">
        <v>22.8</v>
      </c>
      <c r="BK24" s="2">
        <v>28</v>
      </c>
      <c r="BL24" s="2">
        <v>121.51</v>
      </c>
      <c r="BM24" s="2">
        <v>17.010000000000002</v>
      </c>
      <c r="BN24" s="2">
        <v>138.52000000000001</v>
      </c>
      <c r="BO24" s="2">
        <v>138.52000000000001</v>
      </c>
      <c r="BP24" s="2"/>
      <c r="BQ24" s="2" t="s">
        <v>222</v>
      </c>
      <c r="BR24" s="2" t="s">
        <v>83</v>
      </c>
      <c r="BS24" s="3">
        <v>43012</v>
      </c>
      <c r="BT24" s="4">
        <v>0.87847222222222221</v>
      </c>
      <c r="BU24" s="2" t="s">
        <v>223</v>
      </c>
      <c r="BV24" s="2" t="s">
        <v>85</v>
      </c>
      <c r="BW24" s="2"/>
      <c r="BX24" s="2"/>
      <c r="BY24" s="2">
        <v>113961</v>
      </c>
      <c r="BZ24" s="2"/>
      <c r="CA24" s="2" t="s">
        <v>133</v>
      </c>
      <c r="CB24" s="2"/>
      <c r="CC24" s="2" t="s">
        <v>130</v>
      </c>
      <c r="CD24" s="2">
        <v>1682</v>
      </c>
      <c r="CE24" s="2" t="s">
        <v>134</v>
      </c>
      <c r="CF24" s="5">
        <v>43014</v>
      </c>
      <c r="CG24" s="2"/>
      <c r="CH24" s="2"/>
      <c r="CI24" s="2">
        <v>2</v>
      </c>
      <c r="CJ24" s="2">
        <v>2</v>
      </c>
      <c r="CK24" s="2" t="s">
        <v>90</v>
      </c>
      <c r="CL24" s="2" t="s">
        <v>85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"LCR000324"</f>
        <v>LCR000324</v>
      </c>
      <c r="F25" s="3">
        <v>43010</v>
      </c>
      <c r="G25" s="2">
        <v>201804</v>
      </c>
      <c r="H25" s="2" t="s">
        <v>74</v>
      </c>
      <c r="I25" s="2" t="s">
        <v>75</v>
      </c>
      <c r="J25" s="2" t="s">
        <v>76</v>
      </c>
      <c r="K25" s="2" t="s">
        <v>77</v>
      </c>
      <c r="L25" s="2" t="s">
        <v>149</v>
      </c>
      <c r="M25" s="2" t="s">
        <v>150</v>
      </c>
      <c r="N25" s="2" t="s">
        <v>224</v>
      </c>
      <c r="O25" s="2" t="s">
        <v>81</v>
      </c>
      <c r="P25" s="2" t="str">
        <f>"143935 2OA23002               "</f>
        <v xml:space="preserve">143935 2OA23002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5.46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4</v>
      </c>
      <c r="BJ25" s="2">
        <v>3.9</v>
      </c>
      <c r="BK25" s="2">
        <v>4</v>
      </c>
      <c r="BL25" s="2">
        <v>55.46</v>
      </c>
      <c r="BM25" s="2">
        <v>7.76</v>
      </c>
      <c r="BN25" s="2">
        <v>63.22</v>
      </c>
      <c r="BO25" s="2">
        <v>63.22</v>
      </c>
      <c r="BP25" s="2"/>
      <c r="BQ25" s="2" t="s">
        <v>225</v>
      </c>
      <c r="BR25" s="2" t="s">
        <v>83</v>
      </c>
      <c r="BS25" s="3">
        <v>43011</v>
      </c>
      <c r="BT25" s="4">
        <v>0.64027777777777783</v>
      </c>
      <c r="BU25" s="2" t="s">
        <v>226</v>
      </c>
      <c r="BV25" s="2" t="s">
        <v>96</v>
      </c>
      <c r="BW25" s="2"/>
      <c r="BX25" s="2"/>
      <c r="BY25" s="2">
        <v>19683</v>
      </c>
      <c r="BZ25" s="2"/>
      <c r="CA25" s="2" t="s">
        <v>227</v>
      </c>
      <c r="CB25" s="2"/>
      <c r="CC25" s="2" t="s">
        <v>150</v>
      </c>
      <c r="CD25" s="2">
        <v>7570</v>
      </c>
      <c r="CE25" s="2" t="s">
        <v>89</v>
      </c>
      <c r="CF25" s="5">
        <v>43011</v>
      </c>
      <c r="CG25" s="2"/>
      <c r="CH25" s="2"/>
      <c r="CI25" s="2">
        <v>1</v>
      </c>
      <c r="CJ25" s="2">
        <v>1</v>
      </c>
      <c r="CK25" s="2" t="s">
        <v>154</v>
      </c>
      <c r="CL25" s="2" t="s">
        <v>85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"LCR000307"</f>
        <v>LCR000307</v>
      </c>
      <c r="F26" s="3">
        <v>43010</v>
      </c>
      <c r="G26" s="2">
        <v>201804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228</v>
      </c>
      <c r="M26" s="2" t="s">
        <v>229</v>
      </c>
      <c r="N26" s="2" t="s">
        <v>230</v>
      </c>
      <c r="O26" s="2" t="s">
        <v>81</v>
      </c>
      <c r="P26" s="2" t="str">
        <f>"143934 2oa23030               "</f>
        <v xml:space="preserve">143934 2oa23030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5.92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16</v>
      </c>
      <c r="BJ26" s="2">
        <v>16.3</v>
      </c>
      <c r="BK26" s="2">
        <v>17</v>
      </c>
      <c r="BL26" s="2">
        <v>59.72</v>
      </c>
      <c r="BM26" s="2">
        <v>8.36</v>
      </c>
      <c r="BN26" s="2">
        <v>68.08</v>
      </c>
      <c r="BO26" s="2">
        <v>68.08</v>
      </c>
      <c r="BP26" s="2"/>
      <c r="BQ26" s="2" t="s">
        <v>231</v>
      </c>
      <c r="BR26" s="2" t="s">
        <v>83</v>
      </c>
      <c r="BS26" s="3">
        <v>43011</v>
      </c>
      <c r="BT26" s="4">
        <v>0.4291666666666667</v>
      </c>
      <c r="BU26" s="2" t="s">
        <v>232</v>
      </c>
      <c r="BV26" s="2" t="s">
        <v>96</v>
      </c>
      <c r="BW26" s="2"/>
      <c r="BX26" s="2"/>
      <c r="BY26" s="2">
        <v>81600</v>
      </c>
      <c r="BZ26" s="2"/>
      <c r="CA26" s="2"/>
      <c r="CB26" s="2"/>
      <c r="CC26" s="2" t="s">
        <v>229</v>
      </c>
      <c r="CD26" s="2">
        <v>6571</v>
      </c>
      <c r="CE26" s="2" t="s">
        <v>121</v>
      </c>
      <c r="CF26" s="5">
        <v>43012</v>
      </c>
      <c r="CG26" s="2"/>
      <c r="CH26" s="2"/>
      <c r="CI26" s="2">
        <v>1</v>
      </c>
      <c r="CJ26" s="2">
        <v>1</v>
      </c>
      <c r="CK26" s="2" t="s">
        <v>233</v>
      </c>
      <c r="CL26" s="2" t="s">
        <v>85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"LCR000337"</f>
        <v>LCR000337</v>
      </c>
      <c r="F27" s="3">
        <v>43010</v>
      </c>
      <c r="G27" s="2">
        <v>201804</v>
      </c>
      <c r="H27" s="2" t="s">
        <v>74</v>
      </c>
      <c r="I27" s="2" t="s">
        <v>75</v>
      </c>
      <c r="J27" s="2" t="s">
        <v>76</v>
      </c>
      <c r="K27" s="2" t="s">
        <v>77</v>
      </c>
      <c r="L27" s="2" t="s">
        <v>234</v>
      </c>
      <c r="M27" s="2" t="s">
        <v>235</v>
      </c>
      <c r="N27" s="2" t="s">
        <v>236</v>
      </c>
      <c r="O27" s="2" t="s">
        <v>81</v>
      </c>
      <c r="P27" s="2" t="str">
        <f>"142750 2oa23040               "</f>
        <v xml:space="preserve">142750 2oa23040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8.19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10</v>
      </c>
      <c r="BJ27" s="2">
        <v>9.6999999999999993</v>
      </c>
      <c r="BK27" s="2">
        <v>10</v>
      </c>
      <c r="BL27" s="2">
        <v>80.69</v>
      </c>
      <c r="BM27" s="2">
        <v>11.3</v>
      </c>
      <c r="BN27" s="2">
        <v>91.99</v>
      </c>
      <c r="BO27" s="2">
        <v>91.99</v>
      </c>
      <c r="BP27" s="2"/>
      <c r="BQ27" s="2" t="s">
        <v>237</v>
      </c>
      <c r="BR27" s="2" t="s">
        <v>83</v>
      </c>
      <c r="BS27" s="3">
        <v>43013</v>
      </c>
      <c r="BT27" s="4">
        <v>0.58263888888888882</v>
      </c>
      <c r="BU27" s="2" t="s">
        <v>237</v>
      </c>
      <c r="BV27" s="2" t="s">
        <v>96</v>
      </c>
      <c r="BW27" s="2"/>
      <c r="BX27" s="2"/>
      <c r="BY27" s="2">
        <v>48739</v>
      </c>
      <c r="BZ27" s="2"/>
      <c r="CA27" s="2" t="s">
        <v>238</v>
      </c>
      <c r="CB27" s="2"/>
      <c r="CC27" s="2" t="s">
        <v>235</v>
      </c>
      <c r="CD27" s="2">
        <v>4092</v>
      </c>
      <c r="CE27" s="2" t="s">
        <v>204</v>
      </c>
      <c r="CF27" s="5">
        <v>43014</v>
      </c>
      <c r="CG27" s="2"/>
      <c r="CH27" s="2"/>
      <c r="CI27" s="2">
        <v>7</v>
      </c>
      <c r="CJ27" s="2">
        <v>3</v>
      </c>
      <c r="CK27" s="2" t="s">
        <v>90</v>
      </c>
      <c r="CL27" s="2" t="s">
        <v>85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"LCR000290"</f>
        <v>LCR000290</v>
      </c>
      <c r="F28" s="3">
        <v>43007</v>
      </c>
      <c r="G28" s="2">
        <v>201804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122</v>
      </c>
      <c r="M28" s="2" t="s">
        <v>123</v>
      </c>
      <c r="N28" s="2" t="s">
        <v>239</v>
      </c>
      <c r="O28" s="2" t="s">
        <v>81</v>
      </c>
      <c r="P28" s="2" t="str">
        <f>"143687                        "</f>
        <v xml:space="preserve">143687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7.89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10</v>
      </c>
      <c r="BJ28" s="2">
        <v>9.6999999999999993</v>
      </c>
      <c r="BK28" s="2">
        <v>10</v>
      </c>
      <c r="BL28" s="2">
        <v>77.89</v>
      </c>
      <c r="BM28" s="2">
        <v>10.9</v>
      </c>
      <c r="BN28" s="2">
        <v>88.79</v>
      </c>
      <c r="BO28" s="2">
        <v>88.79</v>
      </c>
      <c r="BP28" s="2"/>
      <c r="BQ28" s="2" t="s">
        <v>240</v>
      </c>
      <c r="BR28" s="2" t="s">
        <v>83</v>
      </c>
      <c r="BS28" s="3">
        <v>43013</v>
      </c>
      <c r="BT28" s="4">
        <v>0.4770833333333333</v>
      </c>
      <c r="BU28" s="2" t="s">
        <v>240</v>
      </c>
      <c r="BV28" s="2" t="s">
        <v>85</v>
      </c>
      <c r="BW28" s="2" t="s">
        <v>241</v>
      </c>
      <c r="BX28" s="2" t="s">
        <v>242</v>
      </c>
      <c r="BY28" s="2">
        <v>48739</v>
      </c>
      <c r="BZ28" s="2"/>
      <c r="CA28" s="2" t="s">
        <v>243</v>
      </c>
      <c r="CB28" s="2"/>
      <c r="CC28" s="2" t="s">
        <v>123</v>
      </c>
      <c r="CD28" s="2">
        <v>6001</v>
      </c>
      <c r="CE28" s="2" t="s">
        <v>244</v>
      </c>
      <c r="CF28" s="5">
        <v>43013</v>
      </c>
      <c r="CG28" s="2"/>
      <c r="CH28" s="2"/>
      <c r="CI28" s="2">
        <v>2</v>
      </c>
      <c r="CJ28" s="2">
        <v>4</v>
      </c>
      <c r="CK28" s="2" t="s">
        <v>128</v>
      </c>
      <c r="CL28" s="2" t="s">
        <v>85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"LCR000314"</f>
        <v>LCR000314</v>
      </c>
      <c r="F29" s="3">
        <v>43010</v>
      </c>
      <c r="G29" s="2">
        <v>201804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245</v>
      </c>
      <c r="M29" s="2" t="s">
        <v>246</v>
      </c>
      <c r="N29" s="2" t="s">
        <v>247</v>
      </c>
      <c r="O29" s="2" t="s">
        <v>81</v>
      </c>
      <c r="P29" s="2" t="str">
        <f>"143959 2oa23013               "</f>
        <v xml:space="preserve">143959 2oa23013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8.19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10</v>
      </c>
      <c r="BJ29" s="2">
        <v>9.6999999999999993</v>
      </c>
      <c r="BK29" s="2">
        <v>10</v>
      </c>
      <c r="BL29" s="2">
        <v>80.69</v>
      </c>
      <c r="BM29" s="2">
        <v>11.3</v>
      </c>
      <c r="BN29" s="2">
        <v>91.99</v>
      </c>
      <c r="BO29" s="2">
        <v>91.99</v>
      </c>
      <c r="BP29" s="2"/>
      <c r="BQ29" s="2" t="s">
        <v>248</v>
      </c>
      <c r="BR29" s="2" t="s">
        <v>83</v>
      </c>
      <c r="BS29" s="3">
        <v>43012</v>
      </c>
      <c r="BT29" s="4">
        <v>0.5131944444444444</v>
      </c>
      <c r="BU29" s="2" t="s">
        <v>248</v>
      </c>
      <c r="BV29" s="2" t="s">
        <v>96</v>
      </c>
      <c r="BW29" s="2"/>
      <c r="BX29" s="2"/>
      <c r="BY29" s="2">
        <v>48739</v>
      </c>
      <c r="BZ29" s="2"/>
      <c r="CA29" s="2" t="s">
        <v>249</v>
      </c>
      <c r="CB29" s="2"/>
      <c r="CC29" s="2" t="s">
        <v>246</v>
      </c>
      <c r="CD29" s="2">
        <v>1709</v>
      </c>
      <c r="CE29" s="2" t="s">
        <v>204</v>
      </c>
      <c r="CF29" s="5">
        <v>43013</v>
      </c>
      <c r="CG29" s="2"/>
      <c r="CH29" s="2"/>
      <c r="CI29" s="2">
        <v>2</v>
      </c>
      <c r="CJ29" s="2">
        <v>2</v>
      </c>
      <c r="CK29" s="2" t="s">
        <v>90</v>
      </c>
      <c r="CL29" s="2" t="s">
        <v>85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"LCR000333"</f>
        <v>LCR000333</v>
      </c>
      <c r="F30" s="3">
        <v>43010</v>
      </c>
      <c r="G30" s="2">
        <v>201804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250</v>
      </c>
      <c r="M30" s="2" t="s">
        <v>251</v>
      </c>
      <c r="N30" s="2" t="s">
        <v>252</v>
      </c>
      <c r="O30" s="2" t="s">
        <v>81</v>
      </c>
      <c r="P30" s="2" t="str">
        <f>"143982 2oa23043               "</f>
        <v xml:space="preserve">143982 2oa23043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5.46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7</v>
      </c>
      <c r="BJ30" s="2">
        <v>6.6</v>
      </c>
      <c r="BK30" s="2">
        <v>7</v>
      </c>
      <c r="BL30" s="2">
        <v>55.46</v>
      </c>
      <c r="BM30" s="2">
        <v>7.76</v>
      </c>
      <c r="BN30" s="2">
        <v>63.22</v>
      </c>
      <c r="BO30" s="2">
        <v>63.22</v>
      </c>
      <c r="BP30" s="2"/>
      <c r="BQ30" s="2" t="s">
        <v>253</v>
      </c>
      <c r="BR30" s="2" t="s">
        <v>83</v>
      </c>
      <c r="BS30" s="3">
        <v>43011</v>
      </c>
      <c r="BT30" s="4">
        <v>0.4680555555555555</v>
      </c>
      <c r="BU30" s="2" t="s">
        <v>253</v>
      </c>
      <c r="BV30" s="2" t="s">
        <v>96</v>
      </c>
      <c r="BW30" s="2"/>
      <c r="BX30" s="2"/>
      <c r="BY30" s="2">
        <v>33075</v>
      </c>
      <c r="BZ30" s="2"/>
      <c r="CA30" s="2" t="s">
        <v>254</v>
      </c>
      <c r="CB30" s="2"/>
      <c r="CC30" s="2" t="s">
        <v>251</v>
      </c>
      <c r="CD30" s="2">
        <v>7600</v>
      </c>
      <c r="CE30" s="2" t="s">
        <v>134</v>
      </c>
      <c r="CF30" s="5">
        <v>43012</v>
      </c>
      <c r="CG30" s="2"/>
      <c r="CH30" s="2"/>
      <c r="CI30" s="2">
        <v>1</v>
      </c>
      <c r="CJ30" s="2">
        <v>1</v>
      </c>
      <c r="CK30" s="2" t="s">
        <v>154</v>
      </c>
      <c r="CL30" s="2" t="s">
        <v>85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"LCR000300"</f>
        <v>LCR000300</v>
      </c>
      <c r="F31" s="3">
        <v>43010</v>
      </c>
      <c r="G31" s="2">
        <v>201804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255</v>
      </c>
      <c r="M31" s="2" t="s">
        <v>256</v>
      </c>
      <c r="N31" s="2" t="s">
        <v>257</v>
      </c>
      <c r="O31" s="2" t="s">
        <v>81</v>
      </c>
      <c r="P31" s="2" t="str">
        <f>"143964 2OA23034               "</f>
        <v xml:space="preserve">143964 2OA23034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13.11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7</v>
      </c>
      <c r="BJ31" s="2">
        <v>6.6</v>
      </c>
      <c r="BK31" s="2">
        <v>7</v>
      </c>
      <c r="BL31" s="2">
        <v>126.11</v>
      </c>
      <c r="BM31" s="2">
        <v>17.66</v>
      </c>
      <c r="BN31" s="2">
        <v>143.77000000000001</v>
      </c>
      <c r="BO31" s="2">
        <v>143.77000000000001</v>
      </c>
      <c r="BP31" s="2"/>
      <c r="BQ31" s="2" t="s">
        <v>258</v>
      </c>
      <c r="BR31" s="2" t="s">
        <v>83</v>
      </c>
      <c r="BS31" s="3">
        <v>43013</v>
      </c>
      <c r="BT31" s="4">
        <v>0.48958333333333331</v>
      </c>
      <c r="BU31" s="2" t="s">
        <v>259</v>
      </c>
      <c r="BV31" s="2" t="s">
        <v>85</v>
      </c>
      <c r="BW31" s="2" t="s">
        <v>172</v>
      </c>
      <c r="BX31" s="2" t="s">
        <v>260</v>
      </c>
      <c r="BY31" s="2">
        <v>33075</v>
      </c>
      <c r="BZ31" s="2"/>
      <c r="CA31" s="2" t="s">
        <v>203</v>
      </c>
      <c r="CB31" s="2"/>
      <c r="CC31" s="2" t="s">
        <v>256</v>
      </c>
      <c r="CD31" s="2">
        <v>3000</v>
      </c>
      <c r="CE31" s="2" t="s">
        <v>134</v>
      </c>
      <c r="CF31" s="5">
        <v>43017</v>
      </c>
      <c r="CG31" s="2"/>
      <c r="CH31" s="2"/>
      <c r="CI31" s="2">
        <v>2</v>
      </c>
      <c r="CJ31" s="2">
        <v>3</v>
      </c>
      <c r="CK31" s="2" t="s">
        <v>181</v>
      </c>
      <c r="CL31" s="2" t="s">
        <v>85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"LCR000308"</f>
        <v>LCR000308</v>
      </c>
      <c r="F32" s="3">
        <v>43010</v>
      </c>
      <c r="G32" s="2">
        <v>201804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210</v>
      </c>
      <c r="M32" s="2" t="s">
        <v>211</v>
      </c>
      <c r="N32" s="2" t="s">
        <v>261</v>
      </c>
      <c r="O32" s="2" t="s">
        <v>81</v>
      </c>
      <c r="P32" s="2" t="str">
        <f>"143940 2oa23027               "</f>
        <v xml:space="preserve">143940 2oa23027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8.19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10</v>
      </c>
      <c r="BJ32" s="2">
        <v>9.6999999999999993</v>
      </c>
      <c r="BK32" s="2">
        <v>10</v>
      </c>
      <c r="BL32" s="2">
        <v>80.69</v>
      </c>
      <c r="BM32" s="2">
        <v>11.3</v>
      </c>
      <c r="BN32" s="2">
        <v>91.99</v>
      </c>
      <c r="BO32" s="2">
        <v>91.99</v>
      </c>
      <c r="BP32" s="2"/>
      <c r="BQ32" s="2" t="s">
        <v>262</v>
      </c>
      <c r="BR32" s="2" t="s">
        <v>83</v>
      </c>
      <c r="BS32" s="3">
        <v>43012</v>
      </c>
      <c r="BT32" s="4">
        <v>0.42499999999999999</v>
      </c>
      <c r="BU32" s="2" t="s">
        <v>263</v>
      </c>
      <c r="BV32" s="2" t="s">
        <v>96</v>
      </c>
      <c r="BW32" s="2"/>
      <c r="BX32" s="2"/>
      <c r="BY32" s="2">
        <v>48739</v>
      </c>
      <c r="BZ32" s="2"/>
      <c r="CA32" s="2" t="s">
        <v>264</v>
      </c>
      <c r="CB32" s="2"/>
      <c r="CC32" s="2" t="s">
        <v>211</v>
      </c>
      <c r="CD32" s="2">
        <v>157</v>
      </c>
      <c r="CE32" s="2" t="s">
        <v>204</v>
      </c>
      <c r="CF32" s="5">
        <v>43013</v>
      </c>
      <c r="CG32" s="2"/>
      <c r="CH32" s="2"/>
      <c r="CI32" s="2">
        <v>2</v>
      </c>
      <c r="CJ32" s="2">
        <v>2</v>
      </c>
      <c r="CK32" s="2" t="s">
        <v>90</v>
      </c>
      <c r="CL32" s="2" t="s">
        <v>85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"LCR000332"</f>
        <v>LCR000332</v>
      </c>
      <c r="F33" s="3">
        <v>43010</v>
      </c>
      <c r="G33" s="2">
        <v>201804</v>
      </c>
      <c r="H33" s="2" t="s">
        <v>74</v>
      </c>
      <c r="I33" s="2" t="s">
        <v>75</v>
      </c>
      <c r="J33" s="2" t="s">
        <v>76</v>
      </c>
      <c r="K33" s="2" t="s">
        <v>77</v>
      </c>
      <c r="L33" s="2" t="s">
        <v>149</v>
      </c>
      <c r="M33" s="2" t="s">
        <v>150</v>
      </c>
      <c r="N33" s="2" t="s">
        <v>265</v>
      </c>
      <c r="O33" s="2" t="s">
        <v>81</v>
      </c>
      <c r="P33" s="2" t="str">
        <f>"143882 2oa22991               "</f>
        <v xml:space="preserve">143882 2oa22991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5.46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7</v>
      </c>
      <c r="BJ33" s="2">
        <v>6.6</v>
      </c>
      <c r="BK33" s="2">
        <v>7</v>
      </c>
      <c r="BL33" s="2">
        <v>55.46</v>
      </c>
      <c r="BM33" s="2">
        <v>7.76</v>
      </c>
      <c r="BN33" s="2">
        <v>63.22</v>
      </c>
      <c r="BO33" s="2">
        <v>63.22</v>
      </c>
      <c r="BP33" s="2"/>
      <c r="BQ33" s="2" t="s">
        <v>266</v>
      </c>
      <c r="BR33" s="2" t="s">
        <v>83</v>
      </c>
      <c r="BS33" s="3">
        <v>43011</v>
      </c>
      <c r="BT33" s="4">
        <v>0.55347222222222225</v>
      </c>
      <c r="BU33" s="2" t="s">
        <v>266</v>
      </c>
      <c r="BV33" s="2" t="s">
        <v>96</v>
      </c>
      <c r="BW33" s="2"/>
      <c r="BX33" s="2"/>
      <c r="BY33" s="2">
        <v>33075</v>
      </c>
      <c r="BZ33" s="2"/>
      <c r="CA33" s="2" t="s">
        <v>267</v>
      </c>
      <c r="CB33" s="2"/>
      <c r="CC33" s="2" t="s">
        <v>150</v>
      </c>
      <c r="CD33" s="2">
        <v>8001</v>
      </c>
      <c r="CE33" s="2" t="s">
        <v>134</v>
      </c>
      <c r="CF33" s="5">
        <v>43012</v>
      </c>
      <c r="CG33" s="2"/>
      <c r="CH33" s="2"/>
      <c r="CI33" s="2">
        <v>1</v>
      </c>
      <c r="CJ33" s="2">
        <v>1</v>
      </c>
      <c r="CK33" s="2" t="s">
        <v>154</v>
      </c>
      <c r="CL33" s="2" t="s">
        <v>85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"LCR000331"</f>
        <v>LCR000331</v>
      </c>
      <c r="F34" s="3">
        <v>43010</v>
      </c>
      <c r="G34" s="2">
        <v>201804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91</v>
      </c>
      <c r="M34" s="2" t="s">
        <v>92</v>
      </c>
      <c r="N34" s="2" t="s">
        <v>268</v>
      </c>
      <c r="O34" s="2" t="s">
        <v>81</v>
      </c>
      <c r="P34" s="2" t="str">
        <f>"jan hendrik 2oa22995          "</f>
        <v xml:space="preserve">jan hendrik 2oa22995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10.39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10</v>
      </c>
      <c r="BJ34" s="2">
        <v>15.3</v>
      </c>
      <c r="BK34" s="2">
        <v>16</v>
      </c>
      <c r="BL34" s="2">
        <v>100.99</v>
      </c>
      <c r="BM34" s="2">
        <v>14.14</v>
      </c>
      <c r="BN34" s="2">
        <v>115.13</v>
      </c>
      <c r="BO34" s="2">
        <v>115.13</v>
      </c>
      <c r="BP34" s="2"/>
      <c r="BQ34" s="2" t="s">
        <v>269</v>
      </c>
      <c r="BR34" s="2" t="s">
        <v>83</v>
      </c>
      <c r="BS34" s="3">
        <v>43013</v>
      </c>
      <c r="BT34" s="4">
        <v>0.4513888888888889</v>
      </c>
      <c r="BU34" s="2" t="s">
        <v>270</v>
      </c>
      <c r="BV34" s="2" t="s">
        <v>85</v>
      </c>
      <c r="BW34" s="2"/>
      <c r="BX34" s="2"/>
      <c r="BY34" s="2">
        <v>76500</v>
      </c>
      <c r="BZ34" s="2"/>
      <c r="CA34" s="2" t="s">
        <v>271</v>
      </c>
      <c r="CB34" s="2"/>
      <c r="CC34" s="2" t="s">
        <v>92</v>
      </c>
      <c r="CD34" s="2">
        <v>2520</v>
      </c>
      <c r="CE34" s="2" t="s">
        <v>204</v>
      </c>
      <c r="CF34" s="5">
        <v>43017</v>
      </c>
      <c r="CG34" s="2"/>
      <c r="CH34" s="2"/>
      <c r="CI34" s="2">
        <v>2</v>
      </c>
      <c r="CJ34" s="2">
        <v>3</v>
      </c>
      <c r="CK34" s="2" t="s">
        <v>98</v>
      </c>
      <c r="CL34" s="2" t="s">
        <v>85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"LCR000327"</f>
        <v>LCR000327</v>
      </c>
      <c r="F35" s="3">
        <v>43010</v>
      </c>
      <c r="G35" s="2">
        <v>201804</v>
      </c>
      <c r="H35" s="2" t="s">
        <v>74</v>
      </c>
      <c r="I35" s="2" t="s">
        <v>75</v>
      </c>
      <c r="J35" s="2" t="s">
        <v>76</v>
      </c>
      <c r="K35" s="2" t="s">
        <v>77</v>
      </c>
      <c r="L35" s="2" t="s">
        <v>105</v>
      </c>
      <c r="M35" s="2" t="s">
        <v>106</v>
      </c>
      <c r="N35" s="2" t="s">
        <v>272</v>
      </c>
      <c r="O35" s="2" t="s">
        <v>81</v>
      </c>
      <c r="P35" s="2" t="str">
        <f>"143927 2OA23003               "</f>
        <v xml:space="preserve">143927 2OA23003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8.19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7</v>
      </c>
      <c r="BJ35" s="2">
        <v>6.6</v>
      </c>
      <c r="BK35" s="2">
        <v>7</v>
      </c>
      <c r="BL35" s="2">
        <v>80.69</v>
      </c>
      <c r="BM35" s="2">
        <v>11.3</v>
      </c>
      <c r="BN35" s="2">
        <v>91.99</v>
      </c>
      <c r="BO35" s="2">
        <v>91.99</v>
      </c>
      <c r="BP35" s="2"/>
      <c r="BQ35" s="2" t="s">
        <v>273</v>
      </c>
      <c r="BR35" s="2" t="s">
        <v>83</v>
      </c>
      <c r="BS35" s="3">
        <v>43012</v>
      </c>
      <c r="BT35" s="4">
        <v>0.48958333333333331</v>
      </c>
      <c r="BU35" s="2" t="s">
        <v>274</v>
      </c>
      <c r="BV35" s="2" t="s">
        <v>96</v>
      </c>
      <c r="BW35" s="2"/>
      <c r="BX35" s="2"/>
      <c r="BY35" s="2">
        <v>33075</v>
      </c>
      <c r="BZ35" s="2"/>
      <c r="CA35" s="2"/>
      <c r="CB35" s="2"/>
      <c r="CC35" s="2" t="s">
        <v>106</v>
      </c>
      <c r="CD35" s="2">
        <v>2192</v>
      </c>
      <c r="CE35" s="2" t="s">
        <v>134</v>
      </c>
      <c r="CF35" s="5">
        <v>43013</v>
      </c>
      <c r="CG35" s="2"/>
      <c r="CH35" s="2"/>
      <c r="CI35" s="2">
        <v>2</v>
      </c>
      <c r="CJ35" s="2">
        <v>2</v>
      </c>
      <c r="CK35" s="2" t="s">
        <v>90</v>
      </c>
      <c r="CL35" s="2" t="s">
        <v>85</v>
      </c>
      <c r="CM35" s="2"/>
    </row>
    <row r="36" spans="1:91">
      <c r="A36" s="2" t="s">
        <v>275</v>
      </c>
      <c r="B36" s="2" t="s">
        <v>72</v>
      </c>
      <c r="C36" s="2" t="s">
        <v>73</v>
      </c>
      <c r="D36" s="2"/>
      <c r="E36" s="2" t="str">
        <f>"029907801049"</f>
        <v>029907801049</v>
      </c>
      <c r="F36" s="3">
        <v>43010</v>
      </c>
      <c r="G36" s="2">
        <v>201804</v>
      </c>
      <c r="H36" s="2" t="s">
        <v>234</v>
      </c>
      <c r="I36" s="2" t="s">
        <v>235</v>
      </c>
      <c r="J36" s="2" t="s">
        <v>276</v>
      </c>
      <c r="K36" s="2" t="s">
        <v>77</v>
      </c>
      <c r="L36" s="2" t="s">
        <v>149</v>
      </c>
      <c r="M36" s="2" t="s">
        <v>150</v>
      </c>
      <c r="N36" s="2" t="s">
        <v>277</v>
      </c>
      <c r="O36" s="2" t="s">
        <v>278</v>
      </c>
      <c r="P36" s="2" t="str">
        <f>"                              "</f>
        <v xml:space="preserve">  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3.88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0.2</v>
      </c>
      <c r="BK36" s="2">
        <v>1</v>
      </c>
      <c r="BL36" s="2">
        <v>35.880000000000003</v>
      </c>
      <c r="BM36" s="2">
        <v>5.0199999999999996</v>
      </c>
      <c r="BN36" s="2">
        <v>40.9</v>
      </c>
      <c r="BO36" s="2">
        <v>40.9</v>
      </c>
      <c r="BP36" s="2"/>
      <c r="BQ36" s="2" t="s">
        <v>279</v>
      </c>
      <c r="BR36" s="2" t="s">
        <v>280</v>
      </c>
      <c r="BS36" s="3">
        <v>43011</v>
      </c>
      <c r="BT36" s="4">
        <v>0.42083333333333334</v>
      </c>
      <c r="BU36" s="2" t="s">
        <v>281</v>
      </c>
      <c r="BV36" s="2" t="s">
        <v>96</v>
      </c>
      <c r="BW36" s="2"/>
      <c r="BX36" s="2"/>
      <c r="BY36" s="2">
        <v>1200</v>
      </c>
      <c r="BZ36" s="2" t="s">
        <v>27</v>
      </c>
      <c r="CA36" s="2" t="s">
        <v>282</v>
      </c>
      <c r="CB36" s="2"/>
      <c r="CC36" s="2" t="s">
        <v>150</v>
      </c>
      <c r="CD36" s="2">
        <v>8000</v>
      </c>
      <c r="CE36" s="2" t="s">
        <v>283</v>
      </c>
      <c r="CF36" s="5">
        <v>43012</v>
      </c>
      <c r="CG36" s="2"/>
      <c r="CH36" s="2"/>
      <c r="CI36" s="2">
        <v>1</v>
      </c>
      <c r="CJ36" s="2">
        <v>1</v>
      </c>
      <c r="CK36" s="2">
        <v>21</v>
      </c>
      <c r="CL36" s="2" t="s">
        <v>85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"009935953813"</f>
        <v>009935953813</v>
      </c>
      <c r="F37" s="3">
        <v>43010</v>
      </c>
      <c r="G37" s="2">
        <v>201804</v>
      </c>
      <c r="H37" s="2" t="s">
        <v>284</v>
      </c>
      <c r="I37" s="2" t="s">
        <v>285</v>
      </c>
      <c r="J37" s="2" t="s">
        <v>286</v>
      </c>
      <c r="K37" s="2" t="s">
        <v>77</v>
      </c>
      <c r="L37" s="2" t="s">
        <v>122</v>
      </c>
      <c r="M37" s="2" t="s">
        <v>123</v>
      </c>
      <c r="N37" s="2" t="s">
        <v>287</v>
      </c>
      <c r="O37" s="2" t="s">
        <v>288</v>
      </c>
      <c r="P37" s="2" t="str">
        <f>"paq6716068                    "</f>
        <v xml:space="preserve">paq6716068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300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119.94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43</v>
      </c>
      <c r="BJ37" s="2">
        <v>20.3</v>
      </c>
      <c r="BK37" s="2">
        <v>43</v>
      </c>
      <c r="BL37" s="2">
        <v>1107.94</v>
      </c>
      <c r="BM37" s="2">
        <v>155.11000000000001</v>
      </c>
      <c r="BN37" s="2">
        <v>1263.05</v>
      </c>
      <c r="BO37" s="2">
        <v>1263.05</v>
      </c>
      <c r="BP37" s="2"/>
      <c r="BQ37" s="2"/>
      <c r="BR37" s="2" t="s">
        <v>289</v>
      </c>
      <c r="BS37" s="3">
        <v>43011</v>
      </c>
      <c r="BT37" s="4">
        <v>0.27430555555555552</v>
      </c>
      <c r="BU37" s="2" t="s">
        <v>290</v>
      </c>
      <c r="BV37" s="2" t="s">
        <v>85</v>
      </c>
      <c r="BW37" s="2"/>
      <c r="BX37" s="2"/>
      <c r="BY37" s="2">
        <v>101250</v>
      </c>
      <c r="BZ37" s="2" t="s">
        <v>291</v>
      </c>
      <c r="CA37" s="2"/>
      <c r="CB37" s="2"/>
      <c r="CC37" s="2" t="s">
        <v>123</v>
      </c>
      <c r="CD37" s="2">
        <v>6000</v>
      </c>
      <c r="CE37" s="2" t="s">
        <v>283</v>
      </c>
      <c r="CF37" s="5">
        <v>43012</v>
      </c>
      <c r="CG37" s="2"/>
      <c r="CH37" s="2"/>
      <c r="CI37" s="2">
        <v>0</v>
      </c>
      <c r="CJ37" s="2">
        <v>1</v>
      </c>
      <c r="CK37" s="2">
        <v>21</v>
      </c>
      <c r="CL37" s="2" t="s">
        <v>85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"LCR000309"</f>
        <v>LCR000309</v>
      </c>
      <c r="F38" s="3">
        <v>43010</v>
      </c>
      <c r="G38" s="2">
        <v>201804</v>
      </c>
      <c r="H38" s="2" t="s">
        <v>74</v>
      </c>
      <c r="I38" s="2" t="s">
        <v>75</v>
      </c>
      <c r="J38" s="2" t="s">
        <v>76</v>
      </c>
      <c r="K38" s="2" t="s">
        <v>77</v>
      </c>
      <c r="L38" s="2" t="s">
        <v>149</v>
      </c>
      <c r="M38" s="2" t="s">
        <v>150</v>
      </c>
      <c r="N38" s="2" t="s">
        <v>292</v>
      </c>
      <c r="O38" s="2" t="s">
        <v>293</v>
      </c>
      <c r="P38" s="2" t="str">
        <f>"143931 2oa23022               "</f>
        <v xml:space="preserve">143931 2oa23022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5.46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1.5</v>
      </c>
      <c r="BJ38" s="2">
        <v>1.4</v>
      </c>
      <c r="BK38" s="2">
        <v>2</v>
      </c>
      <c r="BL38" s="2">
        <v>50.46</v>
      </c>
      <c r="BM38" s="2">
        <v>7.06</v>
      </c>
      <c r="BN38" s="2">
        <v>57.52</v>
      </c>
      <c r="BO38" s="2">
        <v>57.52</v>
      </c>
      <c r="BP38" s="2"/>
      <c r="BQ38" s="2" t="s">
        <v>294</v>
      </c>
      <c r="BR38" s="2" t="s">
        <v>83</v>
      </c>
      <c r="BS38" s="3">
        <v>43011</v>
      </c>
      <c r="BT38" s="4">
        <v>0.40069444444444446</v>
      </c>
      <c r="BU38" s="2" t="s">
        <v>295</v>
      </c>
      <c r="BV38" s="2" t="s">
        <v>96</v>
      </c>
      <c r="BW38" s="2"/>
      <c r="BX38" s="2"/>
      <c r="BY38" s="2">
        <v>6800</v>
      </c>
      <c r="BZ38" s="2"/>
      <c r="CA38" s="2" t="s">
        <v>296</v>
      </c>
      <c r="CB38" s="2"/>
      <c r="CC38" s="2" t="s">
        <v>150</v>
      </c>
      <c r="CD38" s="2">
        <v>7405</v>
      </c>
      <c r="CE38" s="2" t="s">
        <v>297</v>
      </c>
      <c r="CF38" s="5">
        <v>43012</v>
      </c>
      <c r="CG38" s="2"/>
      <c r="CH38" s="2"/>
      <c r="CI38" s="2">
        <v>1</v>
      </c>
      <c r="CJ38" s="2">
        <v>1</v>
      </c>
      <c r="CK38" s="2">
        <v>34</v>
      </c>
      <c r="CL38" s="2" t="s">
        <v>85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"LCR000303"</f>
        <v>LCR000303</v>
      </c>
      <c r="F39" s="3">
        <v>43010</v>
      </c>
      <c r="G39" s="2">
        <v>201804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116</v>
      </c>
      <c r="M39" s="2" t="s">
        <v>117</v>
      </c>
      <c r="N39" s="2" t="s">
        <v>298</v>
      </c>
      <c r="O39" s="2" t="s">
        <v>293</v>
      </c>
      <c r="P39" s="2" t="str">
        <f>"143951 2oa23017               "</f>
        <v xml:space="preserve">143951 2oa23017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7.53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1.5</v>
      </c>
      <c r="BJ39" s="2">
        <v>1.4</v>
      </c>
      <c r="BK39" s="2">
        <v>2</v>
      </c>
      <c r="BL39" s="2">
        <v>69.53</v>
      </c>
      <c r="BM39" s="2">
        <v>9.73</v>
      </c>
      <c r="BN39" s="2">
        <v>79.260000000000005</v>
      </c>
      <c r="BO39" s="2">
        <v>79.260000000000005</v>
      </c>
      <c r="BP39" s="2"/>
      <c r="BQ39" s="2" t="s">
        <v>299</v>
      </c>
      <c r="BR39" s="2" t="s">
        <v>83</v>
      </c>
      <c r="BS39" s="3">
        <v>43012</v>
      </c>
      <c r="BT39" s="4">
        <v>0.53125</v>
      </c>
      <c r="BU39" s="2" t="s">
        <v>300</v>
      </c>
      <c r="BV39" s="2" t="s">
        <v>85</v>
      </c>
      <c r="BW39" s="2"/>
      <c r="BX39" s="2"/>
      <c r="BY39" s="2">
        <v>6800</v>
      </c>
      <c r="BZ39" s="2"/>
      <c r="CA39" s="2" t="s">
        <v>301</v>
      </c>
      <c r="CB39" s="2"/>
      <c r="CC39" s="2" t="s">
        <v>117</v>
      </c>
      <c r="CD39" s="2">
        <v>155</v>
      </c>
      <c r="CE39" s="2" t="s">
        <v>302</v>
      </c>
      <c r="CF39" s="5">
        <v>43013</v>
      </c>
      <c r="CG39" s="2"/>
      <c r="CH39" s="2"/>
      <c r="CI39" s="2">
        <v>1</v>
      </c>
      <c r="CJ39" s="2">
        <v>2</v>
      </c>
      <c r="CK39" s="2">
        <v>33</v>
      </c>
      <c r="CL39" s="2" t="s">
        <v>85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"LCR000306"</f>
        <v>LCR000306</v>
      </c>
      <c r="F40" s="3">
        <v>43010</v>
      </c>
      <c r="G40" s="2">
        <v>201804</v>
      </c>
      <c r="H40" s="2" t="s">
        <v>74</v>
      </c>
      <c r="I40" s="2" t="s">
        <v>75</v>
      </c>
      <c r="J40" s="2" t="s">
        <v>76</v>
      </c>
      <c r="K40" s="2" t="s">
        <v>77</v>
      </c>
      <c r="L40" s="2" t="s">
        <v>149</v>
      </c>
      <c r="M40" s="2" t="s">
        <v>150</v>
      </c>
      <c r="N40" s="2" t="s">
        <v>303</v>
      </c>
      <c r="O40" s="2" t="s">
        <v>81</v>
      </c>
      <c r="P40" s="2" t="str">
        <f>"143929 2oa23028               "</f>
        <v xml:space="preserve">143929 2oa23028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5.46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7</v>
      </c>
      <c r="BJ40" s="2">
        <v>6.6</v>
      </c>
      <c r="BK40" s="2">
        <v>7</v>
      </c>
      <c r="BL40" s="2">
        <v>55.46</v>
      </c>
      <c r="BM40" s="2">
        <v>7.76</v>
      </c>
      <c r="BN40" s="2">
        <v>63.22</v>
      </c>
      <c r="BO40" s="2">
        <v>63.22</v>
      </c>
      <c r="BP40" s="2"/>
      <c r="BQ40" s="2" t="s">
        <v>304</v>
      </c>
      <c r="BR40" s="2" t="s">
        <v>83</v>
      </c>
      <c r="BS40" s="3">
        <v>43028</v>
      </c>
      <c r="BT40" s="4">
        <v>0.64444444444444449</v>
      </c>
      <c r="BU40" s="2" t="s">
        <v>305</v>
      </c>
      <c r="BV40" s="2"/>
      <c r="BW40" s="2" t="s">
        <v>219</v>
      </c>
      <c r="BX40" s="2" t="s">
        <v>306</v>
      </c>
      <c r="BY40" s="2">
        <v>33075</v>
      </c>
      <c r="BZ40" s="2"/>
      <c r="CA40" s="2" t="s">
        <v>307</v>
      </c>
      <c r="CB40" s="2"/>
      <c r="CC40" s="2" t="s">
        <v>150</v>
      </c>
      <c r="CD40" s="2">
        <v>7975</v>
      </c>
      <c r="CE40" s="2" t="s">
        <v>134</v>
      </c>
      <c r="CF40" s="5">
        <v>43031</v>
      </c>
      <c r="CG40" s="2"/>
      <c r="CH40" s="2"/>
      <c r="CI40" s="2">
        <v>1</v>
      </c>
      <c r="CJ40" s="2">
        <v>14</v>
      </c>
      <c r="CK40" s="2" t="s">
        <v>154</v>
      </c>
      <c r="CL40" s="2" t="s">
        <v>85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"LCR000346"</f>
        <v>LCR000346</v>
      </c>
      <c r="F41" s="3">
        <v>43011</v>
      </c>
      <c r="G41" s="2">
        <v>201804</v>
      </c>
      <c r="H41" s="2" t="s">
        <v>74</v>
      </c>
      <c r="I41" s="2" t="s">
        <v>75</v>
      </c>
      <c r="J41" s="2" t="s">
        <v>76</v>
      </c>
      <c r="K41" s="2" t="s">
        <v>77</v>
      </c>
      <c r="L41" s="2" t="s">
        <v>234</v>
      </c>
      <c r="M41" s="2" t="s">
        <v>235</v>
      </c>
      <c r="N41" s="2" t="s">
        <v>308</v>
      </c>
      <c r="O41" s="2" t="s">
        <v>81</v>
      </c>
      <c r="P41" s="2" t="str">
        <f>"143979                        "</f>
        <v xml:space="preserve">143979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8.19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2.6</v>
      </c>
      <c r="BJ41" s="2">
        <v>7.7</v>
      </c>
      <c r="BK41" s="2">
        <v>8</v>
      </c>
      <c r="BL41" s="2">
        <v>80.69</v>
      </c>
      <c r="BM41" s="2">
        <v>11.3</v>
      </c>
      <c r="BN41" s="2">
        <v>91.99</v>
      </c>
      <c r="BO41" s="2">
        <v>91.99</v>
      </c>
      <c r="BP41" s="2"/>
      <c r="BQ41" s="2" t="s">
        <v>309</v>
      </c>
      <c r="BR41" s="2" t="s">
        <v>83</v>
      </c>
      <c r="BS41" s="3">
        <v>43013</v>
      </c>
      <c r="BT41" s="4">
        <v>0.57291666666666663</v>
      </c>
      <c r="BU41" s="2" t="s">
        <v>310</v>
      </c>
      <c r="BV41" s="2" t="s">
        <v>96</v>
      </c>
      <c r="BW41" s="2"/>
      <c r="BX41" s="2"/>
      <c r="BY41" s="2">
        <v>38362.5</v>
      </c>
      <c r="BZ41" s="2"/>
      <c r="CA41" s="2" t="s">
        <v>311</v>
      </c>
      <c r="CB41" s="2"/>
      <c r="CC41" s="2" t="s">
        <v>235</v>
      </c>
      <c r="CD41" s="2">
        <v>4051</v>
      </c>
      <c r="CE41" s="2" t="s">
        <v>134</v>
      </c>
      <c r="CF41" s="5">
        <v>43014</v>
      </c>
      <c r="CG41" s="2"/>
      <c r="CH41" s="2"/>
      <c r="CI41" s="2">
        <v>2</v>
      </c>
      <c r="CJ41" s="2">
        <v>2</v>
      </c>
      <c r="CK41" s="2" t="s">
        <v>90</v>
      </c>
      <c r="CL41" s="2" t="s">
        <v>85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"LCR000350"</f>
        <v>LCR000350</v>
      </c>
      <c r="F42" s="3">
        <v>43011</v>
      </c>
      <c r="G42" s="2">
        <v>201804</v>
      </c>
      <c r="H42" s="2" t="s">
        <v>74</v>
      </c>
      <c r="I42" s="2" t="s">
        <v>75</v>
      </c>
      <c r="J42" s="2" t="s">
        <v>76</v>
      </c>
      <c r="K42" s="2" t="s">
        <v>77</v>
      </c>
      <c r="L42" s="2" t="s">
        <v>312</v>
      </c>
      <c r="M42" s="2" t="s">
        <v>313</v>
      </c>
      <c r="N42" s="2" t="s">
        <v>314</v>
      </c>
      <c r="O42" s="2" t="s">
        <v>81</v>
      </c>
      <c r="P42" s="2" t="str">
        <f>"143705                        "</f>
        <v xml:space="preserve">143705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9.83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2</v>
      </c>
      <c r="BJ42" s="2">
        <v>4.7</v>
      </c>
      <c r="BK42" s="2">
        <v>5</v>
      </c>
      <c r="BL42" s="2">
        <v>95.83</v>
      </c>
      <c r="BM42" s="2">
        <v>13.42</v>
      </c>
      <c r="BN42" s="2">
        <v>109.25</v>
      </c>
      <c r="BO42" s="2">
        <v>109.25</v>
      </c>
      <c r="BP42" s="2"/>
      <c r="BQ42" s="2" t="s">
        <v>315</v>
      </c>
      <c r="BR42" s="2" t="s">
        <v>83</v>
      </c>
      <c r="BS42" s="3">
        <v>43014</v>
      </c>
      <c r="BT42" s="4">
        <v>0.48333333333333334</v>
      </c>
      <c r="BU42" s="2" t="s">
        <v>316</v>
      </c>
      <c r="BV42" s="2" t="s">
        <v>85</v>
      </c>
      <c r="BW42" s="2"/>
      <c r="BX42" s="2"/>
      <c r="BY42" s="2">
        <v>23307.3</v>
      </c>
      <c r="BZ42" s="2"/>
      <c r="CA42" s="2" t="s">
        <v>317</v>
      </c>
      <c r="CB42" s="2"/>
      <c r="CC42" s="2" t="s">
        <v>313</v>
      </c>
      <c r="CD42" s="2">
        <v>4180</v>
      </c>
      <c r="CE42" s="2" t="s">
        <v>89</v>
      </c>
      <c r="CF42" s="5">
        <v>43014</v>
      </c>
      <c r="CG42" s="2"/>
      <c r="CH42" s="2"/>
      <c r="CI42" s="2">
        <v>2</v>
      </c>
      <c r="CJ42" s="2">
        <v>3</v>
      </c>
      <c r="CK42" s="2" t="s">
        <v>174</v>
      </c>
      <c r="CL42" s="2" t="s">
        <v>85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"LCR000342"</f>
        <v>LCR000342</v>
      </c>
      <c r="F43" s="3">
        <v>43011</v>
      </c>
      <c r="G43" s="2">
        <v>201804</v>
      </c>
      <c r="H43" s="2" t="s">
        <v>74</v>
      </c>
      <c r="I43" s="2" t="s">
        <v>75</v>
      </c>
      <c r="J43" s="2" t="s">
        <v>76</v>
      </c>
      <c r="K43" s="2" t="s">
        <v>77</v>
      </c>
      <c r="L43" s="2" t="s">
        <v>105</v>
      </c>
      <c r="M43" s="2" t="s">
        <v>106</v>
      </c>
      <c r="N43" s="2" t="s">
        <v>318</v>
      </c>
      <c r="O43" s="2" t="s">
        <v>81</v>
      </c>
      <c r="P43" s="2" t="str">
        <f>"143971                        "</f>
        <v xml:space="preserve">143971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8.19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3.4</v>
      </c>
      <c r="BJ43" s="2">
        <v>7.7</v>
      </c>
      <c r="BK43" s="2">
        <v>8</v>
      </c>
      <c r="BL43" s="2">
        <v>80.69</v>
      </c>
      <c r="BM43" s="2">
        <v>11.3</v>
      </c>
      <c r="BN43" s="2">
        <v>91.99</v>
      </c>
      <c r="BO43" s="2">
        <v>91.99</v>
      </c>
      <c r="BP43" s="2"/>
      <c r="BQ43" s="2" t="s">
        <v>319</v>
      </c>
      <c r="BR43" s="2" t="s">
        <v>83</v>
      </c>
      <c r="BS43" s="3">
        <v>43013</v>
      </c>
      <c r="BT43" s="4">
        <v>0.57638888888888895</v>
      </c>
      <c r="BU43" s="2" t="s">
        <v>319</v>
      </c>
      <c r="BV43" s="2" t="s">
        <v>96</v>
      </c>
      <c r="BW43" s="2"/>
      <c r="BX43" s="2"/>
      <c r="BY43" s="2">
        <v>38524.639999999999</v>
      </c>
      <c r="BZ43" s="2"/>
      <c r="CA43" s="2" t="s">
        <v>320</v>
      </c>
      <c r="CB43" s="2"/>
      <c r="CC43" s="2" t="s">
        <v>106</v>
      </c>
      <c r="CD43" s="2">
        <v>2001</v>
      </c>
      <c r="CE43" s="2" t="s">
        <v>134</v>
      </c>
      <c r="CF43" s="5">
        <v>43014</v>
      </c>
      <c r="CG43" s="2"/>
      <c r="CH43" s="2"/>
      <c r="CI43" s="2">
        <v>2</v>
      </c>
      <c r="CJ43" s="2">
        <v>2</v>
      </c>
      <c r="CK43" s="2" t="s">
        <v>90</v>
      </c>
      <c r="CL43" s="2" t="s">
        <v>85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"LCR000379"</f>
        <v>LCR000379</v>
      </c>
      <c r="F44" s="3">
        <v>43011</v>
      </c>
      <c r="G44" s="2">
        <v>201804</v>
      </c>
      <c r="H44" s="2" t="s">
        <v>74</v>
      </c>
      <c r="I44" s="2" t="s">
        <v>75</v>
      </c>
      <c r="J44" s="2" t="s">
        <v>76</v>
      </c>
      <c r="K44" s="2" t="s">
        <v>77</v>
      </c>
      <c r="L44" s="2" t="s">
        <v>321</v>
      </c>
      <c r="M44" s="2" t="s">
        <v>322</v>
      </c>
      <c r="N44" s="2" t="s">
        <v>323</v>
      </c>
      <c r="O44" s="2" t="s">
        <v>81</v>
      </c>
      <c r="P44" s="2" t="str">
        <f>"143950                        "</f>
        <v xml:space="preserve">143950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5.46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2.9</v>
      </c>
      <c r="BJ44" s="2">
        <v>7.8</v>
      </c>
      <c r="BK44" s="2">
        <v>8</v>
      </c>
      <c r="BL44" s="2">
        <v>55.46</v>
      </c>
      <c r="BM44" s="2">
        <v>7.76</v>
      </c>
      <c r="BN44" s="2">
        <v>63.22</v>
      </c>
      <c r="BO44" s="2">
        <v>63.22</v>
      </c>
      <c r="BP44" s="2"/>
      <c r="BQ44" s="2" t="s">
        <v>324</v>
      </c>
      <c r="BR44" s="2" t="s">
        <v>83</v>
      </c>
      <c r="BS44" s="3">
        <v>43013</v>
      </c>
      <c r="BT44" s="4">
        <v>0.60416666666666663</v>
      </c>
      <c r="BU44" s="2" t="s">
        <v>325</v>
      </c>
      <c r="BV44" s="2" t="s">
        <v>85</v>
      </c>
      <c r="BW44" s="2"/>
      <c r="BX44" s="2"/>
      <c r="BY44" s="2">
        <v>39183</v>
      </c>
      <c r="BZ44" s="2"/>
      <c r="CA44" s="2"/>
      <c r="CB44" s="2"/>
      <c r="CC44" s="2" t="s">
        <v>322</v>
      </c>
      <c r="CD44" s="2">
        <v>6500</v>
      </c>
      <c r="CE44" s="2" t="s">
        <v>134</v>
      </c>
      <c r="CF44" s="5">
        <v>43014</v>
      </c>
      <c r="CG44" s="2"/>
      <c r="CH44" s="2"/>
      <c r="CI44" s="2">
        <v>1</v>
      </c>
      <c r="CJ44" s="2">
        <v>2</v>
      </c>
      <c r="CK44" s="2" t="s">
        <v>233</v>
      </c>
      <c r="CL44" s="2" t="s">
        <v>85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"LCR000355"</f>
        <v>LCR000355</v>
      </c>
      <c r="F45" s="3">
        <v>43011</v>
      </c>
      <c r="G45" s="2">
        <v>201804</v>
      </c>
      <c r="H45" s="2" t="s">
        <v>74</v>
      </c>
      <c r="I45" s="2" t="s">
        <v>75</v>
      </c>
      <c r="J45" s="2" t="s">
        <v>76</v>
      </c>
      <c r="K45" s="2" t="s">
        <v>77</v>
      </c>
      <c r="L45" s="2" t="s">
        <v>210</v>
      </c>
      <c r="M45" s="2" t="s">
        <v>211</v>
      </c>
      <c r="N45" s="2" t="s">
        <v>326</v>
      </c>
      <c r="O45" s="2" t="s">
        <v>81</v>
      </c>
      <c r="P45" s="2" t="str">
        <f>"144005                        "</f>
        <v xml:space="preserve">144005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8.19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4.4000000000000004</v>
      </c>
      <c r="BJ45" s="2">
        <v>11.5</v>
      </c>
      <c r="BK45" s="2">
        <v>12</v>
      </c>
      <c r="BL45" s="2">
        <v>80.69</v>
      </c>
      <c r="BM45" s="2">
        <v>11.3</v>
      </c>
      <c r="BN45" s="2">
        <v>91.99</v>
      </c>
      <c r="BO45" s="2">
        <v>91.99</v>
      </c>
      <c r="BP45" s="2"/>
      <c r="BQ45" s="2" t="s">
        <v>327</v>
      </c>
      <c r="BR45" s="2" t="s">
        <v>83</v>
      </c>
      <c r="BS45" s="3">
        <v>43013</v>
      </c>
      <c r="BT45" s="4">
        <v>0.3888888888888889</v>
      </c>
      <c r="BU45" s="2" t="s">
        <v>328</v>
      </c>
      <c r="BV45" s="2" t="s">
        <v>96</v>
      </c>
      <c r="BW45" s="2"/>
      <c r="BX45" s="2"/>
      <c r="BY45" s="2">
        <v>57396.72</v>
      </c>
      <c r="BZ45" s="2"/>
      <c r="CA45" s="2"/>
      <c r="CB45" s="2"/>
      <c r="CC45" s="2" t="s">
        <v>211</v>
      </c>
      <c r="CD45" s="2">
        <v>157</v>
      </c>
      <c r="CE45" s="2" t="s">
        <v>244</v>
      </c>
      <c r="CF45" s="5">
        <v>43014</v>
      </c>
      <c r="CG45" s="2"/>
      <c r="CH45" s="2"/>
      <c r="CI45" s="2">
        <v>2</v>
      </c>
      <c r="CJ45" s="2">
        <v>2</v>
      </c>
      <c r="CK45" s="2" t="s">
        <v>90</v>
      </c>
      <c r="CL45" s="2" t="s">
        <v>85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"LCR000339"</f>
        <v>LCR000339</v>
      </c>
      <c r="F46" s="3">
        <v>43011</v>
      </c>
      <c r="G46" s="2">
        <v>201804</v>
      </c>
      <c r="H46" s="2" t="s">
        <v>74</v>
      </c>
      <c r="I46" s="2" t="s">
        <v>75</v>
      </c>
      <c r="J46" s="2" t="s">
        <v>76</v>
      </c>
      <c r="K46" s="2" t="s">
        <v>77</v>
      </c>
      <c r="L46" s="2" t="s">
        <v>105</v>
      </c>
      <c r="M46" s="2" t="s">
        <v>106</v>
      </c>
      <c r="N46" s="2" t="s">
        <v>329</v>
      </c>
      <c r="O46" s="2" t="s">
        <v>81</v>
      </c>
      <c r="P46" s="2" t="str">
        <f>"143915                        "</f>
        <v xml:space="preserve">143915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8.19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2.6</v>
      </c>
      <c r="BJ46" s="2">
        <v>7.9</v>
      </c>
      <c r="BK46" s="2">
        <v>8</v>
      </c>
      <c r="BL46" s="2">
        <v>80.69</v>
      </c>
      <c r="BM46" s="2">
        <v>11.3</v>
      </c>
      <c r="BN46" s="2">
        <v>91.99</v>
      </c>
      <c r="BO46" s="2">
        <v>91.99</v>
      </c>
      <c r="BP46" s="2"/>
      <c r="BQ46" s="2" t="s">
        <v>330</v>
      </c>
      <c r="BR46" s="2" t="s">
        <v>83</v>
      </c>
      <c r="BS46" s="3">
        <v>43013</v>
      </c>
      <c r="BT46" s="4">
        <v>0.54097222222222219</v>
      </c>
      <c r="BU46" s="2" t="s">
        <v>330</v>
      </c>
      <c r="BV46" s="2" t="s">
        <v>96</v>
      </c>
      <c r="BW46" s="2"/>
      <c r="BX46" s="2"/>
      <c r="BY46" s="2">
        <v>39576.6</v>
      </c>
      <c r="BZ46" s="2"/>
      <c r="CA46" s="2" t="s">
        <v>320</v>
      </c>
      <c r="CB46" s="2"/>
      <c r="CC46" s="2" t="s">
        <v>106</v>
      </c>
      <c r="CD46" s="2">
        <v>2001</v>
      </c>
      <c r="CE46" s="2" t="s">
        <v>134</v>
      </c>
      <c r="CF46" s="5">
        <v>43014</v>
      </c>
      <c r="CG46" s="2"/>
      <c r="CH46" s="2"/>
      <c r="CI46" s="2">
        <v>2</v>
      </c>
      <c r="CJ46" s="2">
        <v>2</v>
      </c>
      <c r="CK46" s="2" t="s">
        <v>90</v>
      </c>
      <c r="CL46" s="2" t="s">
        <v>85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"LCR000354"</f>
        <v>LCR000354</v>
      </c>
      <c r="F47" s="3">
        <v>43011</v>
      </c>
      <c r="G47" s="2">
        <v>201804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149</v>
      </c>
      <c r="M47" s="2" t="s">
        <v>150</v>
      </c>
      <c r="N47" s="2" t="s">
        <v>331</v>
      </c>
      <c r="O47" s="2" t="s">
        <v>81</v>
      </c>
      <c r="P47" s="2" t="str">
        <f>"144002                        "</f>
        <v xml:space="preserve">144002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5.46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2.1</v>
      </c>
      <c r="BJ47" s="2">
        <v>3.8</v>
      </c>
      <c r="BK47" s="2">
        <v>4</v>
      </c>
      <c r="BL47" s="2">
        <v>55.46</v>
      </c>
      <c r="BM47" s="2">
        <v>7.76</v>
      </c>
      <c r="BN47" s="2">
        <v>63.22</v>
      </c>
      <c r="BO47" s="2">
        <v>63.22</v>
      </c>
      <c r="BP47" s="2"/>
      <c r="BQ47" s="2" t="s">
        <v>332</v>
      </c>
      <c r="BR47" s="2" t="s">
        <v>83</v>
      </c>
      <c r="BS47" s="3">
        <v>43012</v>
      </c>
      <c r="BT47" s="4">
        <v>0.41666666666666669</v>
      </c>
      <c r="BU47" s="2" t="s">
        <v>333</v>
      </c>
      <c r="BV47" s="2" t="s">
        <v>96</v>
      </c>
      <c r="BW47" s="2"/>
      <c r="BX47" s="2"/>
      <c r="BY47" s="2">
        <v>19073.599999999999</v>
      </c>
      <c r="BZ47" s="2"/>
      <c r="CA47" s="2" t="s">
        <v>334</v>
      </c>
      <c r="CB47" s="2"/>
      <c r="CC47" s="2" t="s">
        <v>150</v>
      </c>
      <c r="CD47" s="2">
        <v>7551</v>
      </c>
      <c r="CE47" s="2" t="s">
        <v>89</v>
      </c>
      <c r="CF47" s="5">
        <v>43013</v>
      </c>
      <c r="CG47" s="2"/>
      <c r="CH47" s="2"/>
      <c r="CI47" s="2">
        <v>1</v>
      </c>
      <c r="CJ47" s="2">
        <v>1</v>
      </c>
      <c r="CK47" s="2" t="s">
        <v>154</v>
      </c>
      <c r="CL47" s="2" t="s">
        <v>85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"LCR000340"</f>
        <v>LCR000340</v>
      </c>
      <c r="F48" s="3">
        <v>43011</v>
      </c>
      <c r="G48" s="2">
        <v>201804</v>
      </c>
      <c r="H48" s="2" t="s">
        <v>74</v>
      </c>
      <c r="I48" s="2" t="s">
        <v>75</v>
      </c>
      <c r="J48" s="2" t="s">
        <v>76</v>
      </c>
      <c r="K48" s="2" t="s">
        <v>77</v>
      </c>
      <c r="L48" s="2" t="s">
        <v>335</v>
      </c>
      <c r="M48" s="2" t="s">
        <v>336</v>
      </c>
      <c r="N48" s="2" t="s">
        <v>337</v>
      </c>
      <c r="O48" s="2" t="s">
        <v>81</v>
      </c>
      <c r="P48" s="2" t="str">
        <f>"143922                        "</f>
        <v xml:space="preserve">143922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8.19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5.4</v>
      </c>
      <c r="BJ48" s="2">
        <v>8.3000000000000007</v>
      </c>
      <c r="BK48" s="2">
        <v>9</v>
      </c>
      <c r="BL48" s="2">
        <v>80.69</v>
      </c>
      <c r="BM48" s="2">
        <v>11.3</v>
      </c>
      <c r="BN48" s="2">
        <v>91.99</v>
      </c>
      <c r="BO48" s="2">
        <v>91.99</v>
      </c>
      <c r="BP48" s="2"/>
      <c r="BQ48" s="2" t="s">
        <v>338</v>
      </c>
      <c r="BR48" s="2" t="s">
        <v>83</v>
      </c>
      <c r="BS48" s="3">
        <v>43013</v>
      </c>
      <c r="BT48" s="4">
        <v>0.57847222222222217</v>
      </c>
      <c r="BU48" s="2" t="s">
        <v>339</v>
      </c>
      <c r="BV48" s="2" t="s">
        <v>96</v>
      </c>
      <c r="BW48" s="2"/>
      <c r="BX48" s="2"/>
      <c r="BY48" s="2">
        <v>41714.400000000001</v>
      </c>
      <c r="BZ48" s="2"/>
      <c r="CA48" s="2"/>
      <c r="CB48" s="2"/>
      <c r="CC48" s="2" t="s">
        <v>336</v>
      </c>
      <c r="CD48" s="2">
        <v>2146</v>
      </c>
      <c r="CE48" s="2" t="s">
        <v>134</v>
      </c>
      <c r="CF48" s="5">
        <v>43014</v>
      </c>
      <c r="CG48" s="2"/>
      <c r="CH48" s="2"/>
      <c r="CI48" s="2">
        <v>2</v>
      </c>
      <c r="CJ48" s="2">
        <v>2</v>
      </c>
      <c r="CK48" s="2" t="s">
        <v>90</v>
      </c>
      <c r="CL48" s="2" t="s">
        <v>85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"LCR000352"</f>
        <v>LCR000352</v>
      </c>
      <c r="F49" s="3">
        <v>43011</v>
      </c>
      <c r="G49" s="2">
        <v>201804</v>
      </c>
      <c r="H49" s="2" t="s">
        <v>74</v>
      </c>
      <c r="I49" s="2" t="s">
        <v>75</v>
      </c>
      <c r="J49" s="2" t="s">
        <v>76</v>
      </c>
      <c r="K49" s="2" t="s">
        <v>77</v>
      </c>
      <c r="L49" s="2" t="s">
        <v>116</v>
      </c>
      <c r="M49" s="2" t="s">
        <v>117</v>
      </c>
      <c r="N49" s="2" t="s">
        <v>340</v>
      </c>
      <c r="O49" s="2" t="s">
        <v>81</v>
      </c>
      <c r="P49" s="2" t="str">
        <f>"143999                        "</f>
        <v xml:space="preserve">143999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8.19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1.1000000000000001</v>
      </c>
      <c r="BJ49" s="2">
        <v>3.8</v>
      </c>
      <c r="BK49" s="2">
        <v>4</v>
      </c>
      <c r="BL49" s="2">
        <v>80.69</v>
      </c>
      <c r="BM49" s="2">
        <v>11.3</v>
      </c>
      <c r="BN49" s="2">
        <v>91.99</v>
      </c>
      <c r="BO49" s="2">
        <v>91.99</v>
      </c>
      <c r="BP49" s="2"/>
      <c r="BQ49" s="2" t="s">
        <v>341</v>
      </c>
      <c r="BR49" s="2" t="s">
        <v>83</v>
      </c>
      <c r="BS49" s="3">
        <v>43013</v>
      </c>
      <c r="BT49" s="4">
        <v>0.53125</v>
      </c>
      <c r="BU49" s="2" t="s">
        <v>342</v>
      </c>
      <c r="BV49" s="2" t="s">
        <v>96</v>
      </c>
      <c r="BW49" s="2"/>
      <c r="BX49" s="2"/>
      <c r="BY49" s="2">
        <v>18975.599999999999</v>
      </c>
      <c r="BZ49" s="2"/>
      <c r="CA49" s="2" t="s">
        <v>343</v>
      </c>
      <c r="CB49" s="2"/>
      <c r="CC49" s="2" t="s">
        <v>117</v>
      </c>
      <c r="CD49" s="2">
        <v>182</v>
      </c>
      <c r="CE49" s="2" t="s">
        <v>89</v>
      </c>
      <c r="CF49" s="5">
        <v>43014</v>
      </c>
      <c r="CG49" s="2"/>
      <c r="CH49" s="2"/>
      <c r="CI49" s="2">
        <v>2</v>
      </c>
      <c r="CJ49" s="2">
        <v>2</v>
      </c>
      <c r="CK49" s="2" t="s">
        <v>90</v>
      </c>
      <c r="CL49" s="2" t="s">
        <v>85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"LCR000349"</f>
        <v>LCR000349</v>
      </c>
      <c r="F50" s="3">
        <v>43011</v>
      </c>
      <c r="G50" s="2">
        <v>201804</v>
      </c>
      <c r="H50" s="2" t="s">
        <v>74</v>
      </c>
      <c r="I50" s="2" t="s">
        <v>75</v>
      </c>
      <c r="J50" s="2" t="s">
        <v>76</v>
      </c>
      <c r="K50" s="2" t="s">
        <v>77</v>
      </c>
      <c r="L50" s="2" t="s">
        <v>210</v>
      </c>
      <c r="M50" s="2" t="s">
        <v>211</v>
      </c>
      <c r="N50" s="2" t="s">
        <v>344</v>
      </c>
      <c r="O50" s="2" t="s">
        <v>81</v>
      </c>
      <c r="P50" s="2" t="str">
        <f>"143991                        "</f>
        <v xml:space="preserve">143991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8.19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3.8</v>
      </c>
      <c r="BJ50" s="2">
        <v>3.8</v>
      </c>
      <c r="BK50" s="2">
        <v>4</v>
      </c>
      <c r="BL50" s="2">
        <v>80.69</v>
      </c>
      <c r="BM50" s="2">
        <v>11.3</v>
      </c>
      <c r="BN50" s="2">
        <v>91.99</v>
      </c>
      <c r="BO50" s="2">
        <v>91.99</v>
      </c>
      <c r="BP50" s="2"/>
      <c r="BQ50" s="2" t="s">
        <v>345</v>
      </c>
      <c r="BR50" s="2" t="s">
        <v>83</v>
      </c>
      <c r="BS50" s="3">
        <v>43013</v>
      </c>
      <c r="BT50" s="4">
        <v>0.35416666666666669</v>
      </c>
      <c r="BU50" s="2" t="s">
        <v>346</v>
      </c>
      <c r="BV50" s="2" t="s">
        <v>96</v>
      </c>
      <c r="BW50" s="2"/>
      <c r="BX50" s="2"/>
      <c r="BY50" s="2">
        <v>18824.400000000001</v>
      </c>
      <c r="BZ50" s="2"/>
      <c r="CA50" s="2" t="s">
        <v>215</v>
      </c>
      <c r="CB50" s="2"/>
      <c r="CC50" s="2" t="s">
        <v>211</v>
      </c>
      <c r="CD50" s="2">
        <v>157</v>
      </c>
      <c r="CE50" s="2" t="s">
        <v>89</v>
      </c>
      <c r="CF50" s="5">
        <v>43014</v>
      </c>
      <c r="CG50" s="2"/>
      <c r="CH50" s="2"/>
      <c r="CI50" s="2">
        <v>2</v>
      </c>
      <c r="CJ50" s="2">
        <v>2</v>
      </c>
      <c r="CK50" s="2" t="s">
        <v>90</v>
      </c>
      <c r="CL50" s="2" t="s">
        <v>85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"LCR000348"</f>
        <v>LCR000348</v>
      </c>
      <c r="F51" s="3">
        <v>43011</v>
      </c>
      <c r="G51" s="2">
        <v>201804</v>
      </c>
      <c r="H51" s="2" t="s">
        <v>74</v>
      </c>
      <c r="I51" s="2" t="s">
        <v>75</v>
      </c>
      <c r="J51" s="2" t="s">
        <v>76</v>
      </c>
      <c r="K51" s="2" t="s">
        <v>77</v>
      </c>
      <c r="L51" s="2" t="s">
        <v>347</v>
      </c>
      <c r="M51" s="2" t="s">
        <v>348</v>
      </c>
      <c r="N51" s="2" t="s">
        <v>349</v>
      </c>
      <c r="O51" s="2" t="s">
        <v>81</v>
      </c>
      <c r="P51" s="2" t="str">
        <f>"143990                        "</f>
        <v xml:space="preserve">143990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9.83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3</v>
      </c>
      <c r="BJ51" s="2">
        <v>10.6</v>
      </c>
      <c r="BK51" s="2">
        <v>11</v>
      </c>
      <c r="BL51" s="2">
        <v>95.83</v>
      </c>
      <c r="BM51" s="2">
        <v>13.42</v>
      </c>
      <c r="BN51" s="2">
        <v>109.25</v>
      </c>
      <c r="BO51" s="2">
        <v>109.25</v>
      </c>
      <c r="BP51" s="2"/>
      <c r="BQ51" s="2" t="s">
        <v>350</v>
      </c>
      <c r="BR51" s="2" t="s">
        <v>83</v>
      </c>
      <c r="BS51" s="3">
        <v>43014</v>
      </c>
      <c r="BT51" s="4">
        <v>0.39930555555555558</v>
      </c>
      <c r="BU51" s="2" t="s">
        <v>350</v>
      </c>
      <c r="BV51" s="2" t="s">
        <v>96</v>
      </c>
      <c r="BW51" s="2"/>
      <c r="BX51" s="2"/>
      <c r="BY51" s="2">
        <v>52871.519999999997</v>
      </c>
      <c r="BZ51" s="2"/>
      <c r="CA51" s="2" t="s">
        <v>351</v>
      </c>
      <c r="CB51" s="2"/>
      <c r="CC51" s="2" t="s">
        <v>348</v>
      </c>
      <c r="CD51" s="2">
        <v>3867</v>
      </c>
      <c r="CE51" s="2" t="s">
        <v>244</v>
      </c>
      <c r="CF51" s="5">
        <v>43018</v>
      </c>
      <c r="CG51" s="2"/>
      <c r="CH51" s="2"/>
      <c r="CI51" s="2">
        <v>5</v>
      </c>
      <c r="CJ51" s="2">
        <v>3</v>
      </c>
      <c r="CK51" s="2" t="s">
        <v>174</v>
      </c>
      <c r="CL51" s="2" t="s">
        <v>85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"LCR000344"</f>
        <v>LCR000344</v>
      </c>
      <c r="F52" s="3">
        <v>43011</v>
      </c>
      <c r="G52" s="2">
        <v>201804</v>
      </c>
      <c r="H52" s="2" t="s">
        <v>74</v>
      </c>
      <c r="I52" s="2" t="s">
        <v>75</v>
      </c>
      <c r="J52" s="2" t="s">
        <v>76</v>
      </c>
      <c r="K52" s="2" t="s">
        <v>77</v>
      </c>
      <c r="L52" s="2" t="s">
        <v>149</v>
      </c>
      <c r="M52" s="2" t="s">
        <v>150</v>
      </c>
      <c r="N52" s="2" t="s">
        <v>352</v>
      </c>
      <c r="O52" s="2" t="s">
        <v>81</v>
      </c>
      <c r="P52" s="2" t="str">
        <f>"143976                        "</f>
        <v xml:space="preserve">143976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5.46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10.5</v>
      </c>
      <c r="BJ52" s="2">
        <v>12.7</v>
      </c>
      <c r="BK52" s="2">
        <v>13</v>
      </c>
      <c r="BL52" s="2">
        <v>55.46</v>
      </c>
      <c r="BM52" s="2">
        <v>7.76</v>
      </c>
      <c r="BN52" s="2">
        <v>63.22</v>
      </c>
      <c r="BO52" s="2">
        <v>63.22</v>
      </c>
      <c r="BP52" s="2"/>
      <c r="BQ52" s="2" t="s">
        <v>353</v>
      </c>
      <c r="BR52" s="2" t="s">
        <v>83</v>
      </c>
      <c r="BS52" s="3">
        <v>43012</v>
      </c>
      <c r="BT52" s="4">
        <v>0.58819444444444446</v>
      </c>
      <c r="BU52" s="2" t="s">
        <v>353</v>
      </c>
      <c r="BV52" s="2" t="s">
        <v>96</v>
      </c>
      <c r="BW52" s="2"/>
      <c r="BX52" s="2"/>
      <c r="BY52" s="2">
        <v>63694.400000000001</v>
      </c>
      <c r="BZ52" s="2"/>
      <c r="CA52" s="2" t="s">
        <v>354</v>
      </c>
      <c r="CB52" s="2"/>
      <c r="CC52" s="2" t="s">
        <v>150</v>
      </c>
      <c r="CD52" s="2">
        <v>8000</v>
      </c>
      <c r="CE52" s="2" t="s">
        <v>197</v>
      </c>
      <c r="CF52" s="5">
        <v>43013</v>
      </c>
      <c r="CG52" s="2"/>
      <c r="CH52" s="2"/>
      <c r="CI52" s="2">
        <v>1</v>
      </c>
      <c r="CJ52" s="2">
        <v>1</v>
      </c>
      <c r="CK52" s="2" t="s">
        <v>154</v>
      </c>
      <c r="CL52" s="2" t="s">
        <v>85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"LCR000382"</f>
        <v>LCR000382</v>
      </c>
      <c r="F53" s="3">
        <v>43011</v>
      </c>
      <c r="G53" s="2">
        <v>201804</v>
      </c>
      <c r="H53" s="2" t="s">
        <v>74</v>
      </c>
      <c r="I53" s="2" t="s">
        <v>75</v>
      </c>
      <c r="J53" s="2" t="s">
        <v>76</v>
      </c>
      <c r="K53" s="2" t="s">
        <v>77</v>
      </c>
      <c r="L53" s="2" t="s">
        <v>182</v>
      </c>
      <c r="M53" s="2" t="s">
        <v>183</v>
      </c>
      <c r="N53" s="2" t="s">
        <v>355</v>
      </c>
      <c r="O53" s="2" t="s">
        <v>81</v>
      </c>
      <c r="P53" s="2" t="str">
        <f>"143993                        "</f>
        <v xml:space="preserve">143993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6.68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7.6</v>
      </c>
      <c r="BJ53" s="2">
        <v>11</v>
      </c>
      <c r="BK53" s="2">
        <v>11</v>
      </c>
      <c r="BL53" s="2">
        <v>66.680000000000007</v>
      </c>
      <c r="BM53" s="2">
        <v>9.34</v>
      </c>
      <c r="BN53" s="2">
        <v>76.02</v>
      </c>
      <c r="BO53" s="2">
        <v>76.02</v>
      </c>
      <c r="BP53" s="2"/>
      <c r="BQ53" s="2" t="s">
        <v>356</v>
      </c>
      <c r="BR53" s="2" t="s">
        <v>83</v>
      </c>
      <c r="BS53" s="3">
        <v>43012</v>
      </c>
      <c r="BT53" s="4">
        <v>0.32291666666666669</v>
      </c>
      <c r="BU53" s="2" t="s">
        <v>357</v>
      </c>
      <c r="BV53" s="2" t="s">
        <v>96</v>
      </c>
      <c r="BW53" s="2"/>
      <c r="BX53" s="2"/>
      <c r="BY53" s="2">
        <v>55111.88</v>
      </c>
      <c r="BZ53" s="2"/>
      <c r="CA53" s="2"/>
      <c r="CB53" s="2"/>
      <c r="CC53" s="2" t="s">
        <v>183</v>
      </c>
      <c r="CD53" s="2">
        <v>7320</v>
      </c>
      <c r="CE53" s="2" t="s">
        <v>244</v>
      </c>
      <c r="CF53" s="5">
        <v>43017</v>
      </c>
      <c r="CG53" s="2"/>
      <c r="CH53" s="2"/>
      <c r="CI53" s="2">
        <v>3</v>
      </c>
      <c r="CJ53" s="2">
        <v>1</v>
      </c>
      <c r="CK53" s="2" t="s">
        <v>187</v>
      </c>
      <c r="CL53" s="2" t="s">
        <v>85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"LCR000345"</f>
        <v>LCR000345</v>
      </c>
      <c r="F54" s="3">
        <v>43011</v>
      </c>
      <c r="G54" s="2">
        <v>201804</v>
      </c>
      <c r="H54" s="2" t="s">
        <v>74</v>
      </c>
      <c r="I54" s="2" t="s">
        <v>75</v>
      </c>
      <c r="J54" s="2" t="s">
        <v>76</v>
      </c>
      <c r="K54" s="2" t="s">
        <v>77</v>
      </c>
      <c r="L54" s="2" t="s">
        <v>149</v>
      </c>
      <c r="M54" s="2" t="s">
        <v>150</v>
      </c>
      <c r="N54" s="2" t="s">
        <v>358</v>
      </c>
      <c r="O54" s="2" t="s">
        <v>81</v>
      </c>
      <c r="P54" s="2" t="str">
        <f>"143978                        "</f>
        <v xml:space="preserve">143978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5.46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6.1</v>
      </c>
      <c r="BJ54" s="2">
        <v>7.9</v>
      </c>
      <c r="BK54" s="2">
        <v>8</v>
      </c>
      <c r="BL54" s="2">
        <v>55.46</v>
      </c>
      <c r="BM54" s="2">
        <v>7.76</v>
      </c>
      <c r="BN54" s="2">
        <v>63.22</v>
      </c>
      <c r="BO54" s="2">
        <v>63.22</v>
      </c>
      <c r="BP54" s="2"/>
      <c r="BQ54" s="2" t="s">
        <v>359</v>
      </c>
      <c r="BR54" s="2" t="s">
        <v>83</v>
      </c>
      <c r="BS54" s="3">
        <v>43012</v>
      </c>
      <c r="BT54" s="4">
        <v>0.52916666666666667</v>
      </c>
      <c r="BU54" s="2" t="s">
        <v>359</v>
      </c>
      <c r="BV54" s="2" t="s">
        <v>96</v>
      </c>
      <c r="BW54" s="2"/>
      <c r="BX54" s="2"/>
      <c r="BY54" s="2">
        <v>39405.39</v>
      </c>
      <c r="BZ54" s="2"/>
      <c r="CA54" s="2" t="s">
        <v>267</v>
      </c>
      <c r="CB54" s="2"/>
      <c r="CC54" s="2" t="s">
        <v>150</v>
      </c>
      <c r="CD54" s="2">
        <v>7925</v>
      </c>
      <c r="CE54" s="2" t="s">
        <v>134</v>
      </c>
      <c r="CF54" s="5">
        <v>43013</v>
      </c>
      <c r="CG54" s="2"/>
      <c r="CH54" s="2"/>
      <c r="CI54" s="2">
        <v>1</v>
      </c>
      <c r="CJ54" s="2">
        <v>1</v>
      </c>
      <c r="CK54" s="2" t="s">
        <v>154</v>
      </c>
      <c r="CL54" s="2" t="s">
        <v>85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"LCR000384"</f>
        <v>LCR000384</v>
      </c>
      <c r="F55" s="3">
        <v>43011</v>
      </c>
      <c r="G55" s="2">
        <v>201804</v>
      </c>
      <c r="H55" s="2" t="s">
        <v>74</v>
      </c>
      <c r="I55" s="2" t="s">
        <v>75</v>
      </c>
      <c r="J55" s="2" t="s">
        <v>76</v>
      </c>
      <c r="K55" s="2" t="s">
        <v>77</v>
      </c>
      <c r="L55" s="2" t="s">
        <v>360</v>
      </c>
      <c r="M55" s="2" t="s">
        <v>361</v>
      </c>
      <c r="N55" s="2" t="s">
        <v>362</v>
      </c>
      <c r="O55" s="2" t="s">
        <v>81</v>
      </c>
      <c r="P55" s="2" t="str">
        <f>"tasneem and zubair            "</f>
        <v xml:space="preserve">tasneem and zubair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9.83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2.2000000000000002</v>
      </c>
      <c r="BJ55" s="2">
        <v>3.8</v>
      </c>
      <c r="BK55" s="2">
        <v>4</v>
      </c>
      <c r="BL55" s="2">
        <v>95.83</v>
      </c>
      <c r="BM55" s="2">
        <v>13.42</v>
      </c>
      <c r="BN55" s="2">
        <v>109.25</v>
      </c>
      <c r="BO55" s="2">
        <v>109.25</v>
      </c>
      <c r="BP55" s="2"/>
      <c r="BQ55" s="2" t="s">
        <v>363</v>
      </c>
      <c r="BR55" s="2" t="s">
        <v>83</v>
      </c>
      <c r="BS55" s="3">
        <v>43013</v>
      </c>
      <c r="BT55" s="4">
        <v>0.40833333333333338</v>
      </c>
      <c r="BU55" s="2" t="s">
        <v>364</v>
      </c>
      <c r="BV55" s="2" t="s">
        <v>96</v>
      </c>
      <c r="BW55" s="2"/>
      <c r="BX55" s="2"/>
      <c r="BY55" s="2">
        <v>18952.5</v>
      </c>
      <c r="BZ55" s="2"/>
      <c r="CA55" s="2" t="s">
        <v>365</v>
      </c>
      <c r="CB55" s="2"/>
      <c r="CC55" s="2" t="s">
        <v>361</v>
      </c>
      <c r="CD55" s="2">
        <v>2571</v>
      </c>
      <c r="CE55" s="2" t="s">
        <v>89</v>
      </c>
      <c r="CF55" s="5">
        <v>43017</v>
      </c>
      <c r="CG55" s="2"/>
      <c r="CH55" s="2"/>
      <c r="CI55" s="2">
        <v>2</v>
      </c>
      <c r="CJ55" s="2">
        <v>2</v>
      </c>
      <c r="CK55" s="2" t="s">
        <v>98</v>
      </c>
      <c r="CL55" s="2" t="s">
        <v>85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"LCR000385"</f>
        <v>LCR000385</v>
      </c>
      <c r="F56" s="3">
        <v>43011</v>
      </c>
      <c r="G56" s="2">
        <v>201804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105</v>
      </c>
      <c r="M56" s="2" t="s">
        <v>106</v>
      </c>
      <c r="N56" s="2" t="s">
        <v>366</v>
      </c>
      <c r="O56" s="2" t="s">
        <v>81</v>
      </c>
      <c r="P56" s="2" t="str">
        <f>"144040                        "</f>
        <v xml:space="preserve">144040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8.19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6.4</v>
      </c>
      <c r="BJ56" s="2">
        <v>10.9</v>
      </c>
      <c r="BK56" s="2">
        <v>11</v>
      </c>
      <c r="BL56" s="2">
        <v>80.69</v>
      </c>
      <c r="BM56" s="2">
        <v>11.3</v>
      </c>
      <c r="BN56" s="2">
        <v>91.99</v>
      </c>
      <c r="BO56" s="2">
        <v>91.99</v>
      </c>
      <c r="BP56" s="2"/>
      <c r="BQ56" s="2" t="s">
        <v>367</v>
      </c>
      <c r="BR56" s="2" t="s">
        <v>83</v>
      </c>
      <c r="BS56" s="3">
        <v>43013</v>
      </c>
      <c r="BT56" s="4">
        <v>0.43541666666666662</v>
      </c>
      <c r="BU56" s="2" t="s">
        <v>368</v>
      </c>
      <c r="BV56" s="2" t="s">
        <v>96</v>
      </c>
      <c r="BW56" s="2"/>
      <c r="BX56" s="2"/>
      <c r="BY56" s="2">
        <v>54551.09</v>
      </c>
      <c r="BZ56" s="2"/>
      <c r="CA56" s="2"/>
      <c r="CB56" s="2"/>
      <c r="CC56" s="2" t="s">
        <v>106</v>
      </c>
      <c r="CD56" s="2">
        <v>2007</v>
      </c>
      <c r="CE56" s="2" t="s">
        <v>244</v>
      </c>
      <c r="CF56" s="5">
        <v>43014</v>
      </c>
      <c r="CG56" s="2"/>
      <c r="CH56" s="2"/>
      <c r="CI56" s="2">
        <v>2</v>
      </c>
      <c r="CJ56" s="2">
        <v>2</v>
      </c>
      <c r="CK56" s="2" t="s">
        <v>90</v>
      </c>
      <c r="CL56" s="2" t="s">
        <v>85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"LCR000370"</f>
        <v>LCR000370</v>
      </c>
      <c r="F57" s="3">
        <v>43011</v>
      </c>
      <c r="G57" s="2">
        <v>201804</v>
      </c>
      <c r="H57" s="2" t="s">
        <v>74</v>
      </c>
      <c r="I57" s="2" t="s">
        <v>75</v>
      </c>
      <c r="J57" s="2" t="s">
        <v>76</v>
      </c>
      <c r="K57" s="2" t="s">
        <v>77</v>
      </c>
      <c r="L57" s="2" t="s">
        <v>105</v>
      </c>
      <c r="M57" s="2" t="s">
        <v>106</v>
      </c>
      <c r="N57" s="2" t="s">
        <v>369</v>
      </c>
      <c r="O57" s="2" t="s">
        <v>81</v>
      </c>
      <c r="P57" s="2" t="str">
        <f>"143944                        "</f>
        <v xml:space="preserve">143944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8.19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3.3</v>
      </c>
      <c r="BJ57" s="2">
        <v>11.3</v>
      </c>
      <c r="BK57" s="2">
        <v>12</v>
      </c>
      <c r="BL57" s="2">
        <v>80.69</v>
      </c>
      <c r="BM57" s="2">
        <v>11.3</v>
      </c>
      <c r="BN57" s="2">
        <v>91.99</v>
      </c>
      <c r="BO57" s="2">
        <v>91.99</v>
      </c>
      <c r="BP57" s="2"/>
      <c r="BQ57" s="2" t="s">
        <v>370</v>
      </c>
      <c r="BR57" s="2" t="s">
        <v>83</v>
      </c>
      <c r="BS57" s="3">
        <v>43013</v>
      </c>
      <c r="BT57" s="4">
        <v>0.6118055555555556</v>
      </c>
      <c r="BU57" s="2" t="s">
        <v>371</v>
      </c>
      <c r="BV57" s="2" t="s">
        <v>96</v>
      </c>
      <c r="BW57" s="2"/>
      <c r="BX57" s="2"/>
      <c r="BY57" s="2">
        <v>56346.78</v>
      </c>
      <c r="BZ57" s="2"/>
      <c r="CA57" s="2" t="s">
        <v>372</v>
      </c>
      <c r="CB57" s="2"/>
      <c r="CC57" s="2" t="s">
        <v>106</v>
      </c>
      <c r="CD57" s="2">
        <v>2193</v>
      </c>
      <c r="CE57" s="2" t="s">
        <v>244</v>
      </c>
      <c r="CF57" s="5">
        <v>43013</v>
      </c>
      <c r="CG57" s="2"/>
      <c r="CH57" s="2"/>
      <c r="CI57" s="2">
        <v>2</v>
      </c>
      <c r="CJ57" s="2">
        <v>2</v>
      </c>
      <c r="CK57" s="2" t="s">
        <v>90</v>
      </c>
      <c r="CL57" s="2" t="s">
        <v>85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"LCR000371"</f>
        <v>LCR000371</v>
      </c>
      <c r="F58" s="3">
        <v>43011</v>
      </c>
      <c r="G58" s="2">
        <v>201804</v>
      </c>
      <c r="H58" s="2" t="s">
        <v>74</v>
      </c>
      <c r="I58" s="2" t="s">
        <v>75</v>
      </c>
      <c r="J58" s="2" t="s">
        <v>76</v>
      </c>
      <c r="K58" s="2" t="s">
        <v>77</v>
      </c>
      <c r="L58" s="2" t="s">
        <v>373</v>
      </c>
      <c r="M58" s="2" t="s">
        <v>374</v>
      </c>
      <c r="N58" s="2" t="s">
        <v>375</v>
      </c>
      <c r="O58" s="2" t="s">
        <v>81</v>
      </c>
      <c r="P58" s="2" t="str">
        <f>"144028                        "</f>
        <v xml:space="preserve">144028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6.68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8.5</v>
      </c>
      <c r="BJ58" s="2">
        <v>12.8</v>
      </c>
      <c r="BK58" s="2">
        <v>13</v>
      </c>
      <c r="BL58" s="2">
        <v>66.680000000000007</v>
      </c>
      <c r="BM58" s="2">
        <v>9.34</v>
      </c>
      <c r="BN58" s="2">
        <v>76.02</v>
      </c>
      <c r="BO58" s="2">
        <v>76.02</v>
      </c>
      <c r="BP58" s="2"/>
      <c r="BQ58" s="2" t="s">
        <v>376</v>
      </c>
      <c r="BR58" s="2" t="s">
        <v>83</v>
      </c>
      <c r="BS58" s="3">
        <v>43012</v>
      </c>
      <c r="BT58" s="4">
        <v>0.66319444444444442</v>
      </c>
      <c r="BU58" s="2" t="s">
        <v>377</v>
      </c>
      <c r="BV58" s="2" t="s">
        <v>96</v>
      </c>
      <c r="BW58" s="2"/>
      <c r="BX58" s="2"/>
      <c r="BY58" s="2">
        <v>64142.1</v>
      </c>
      <c r="BZ58" s="2"/>
      <c r="CA58" s="2" t="s">
        <v>378</v>
      </c>
      <c r="CB58" s="2"/>
      <c r="CC58" s="2" t="s">
        <v>374</v>
      </c>
      <c r="CD58" s="2">
        <v>7200</v>
      </c>
      <c r="CE58" s="2" t="s">
        <v>197</v>
      </c>
      <c r="CF58" s="5">
        <v>43014</v>
      </c>
      <c r="CG58" s="2"/>
      <c r="CH58" s="2"/>
      <c r="CI58" s="2">
        <v>3</v>
      </c>
      <c r="CJ58" s="2">
        <v>1</v>
      </c>
      <c r="CK58" s="2" t="s">
        <v>187</v>
      </c>
      <c r="CL58" s="2" t="s">
        <v>85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"LCR000372"</f>
        <v>LCR000372</v>
      </c>
      <c r="F59" s="3">
        <v>43011</v>
      </c>
      <c r="G59" s="2">
        <v>201804</v>
      </c>
      <c r="H59" s="2" t="s">
        <v>74</v>
      </c>
      <c r="I59" s="2" t="s">
        <v>75</v>
      </c>
      <c r="J59" s="2" t="s">
        <v>76</v>
      </c>
      <c r="K59" s="2" t="s">
        <v>77</v>
      </c>
      <c r="L59" s="2" t="s">
        <v>379</v>
      </c>
      <c r="M59" s="2" t="s">
        <v>379</v>
      </c>
      <c r="N59" s="2" t="s">
        <v>380</v>
      </c>
      <c r="O59" s="2" t="s">
        <v>81</v>
      </c>
      <c r="P59" s="2" t="str">
        <f>"144041                        "</f>
        <v xml:space="preserve">144041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5.46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0.9</v>
      </c>
      <c r="BJ59" s="2">
        <v>3.9</v>
      </c>
      <c r="BK59" s="2">
        <v>4</v>
      </c>
      <c r="BL59" s="2">
        <v>55.46</v>
      </c>
      <c r="BM59" s="2">
        <v>7.76</v>
      </c>
      <c r="BN59" s="2">
        <v>63.22</v>
      </c>
      <c r="BO59" s="2">
        <v>63.22</v>
      </c>
      <c r="BP59" s="2"/>
      <c r="BQ59" s="2" t="s">
        <v>381</v>
      </c>
      <c r="BR59" s="2" t="s">
        <v>83</v>
      </c>
      <c r="BS59" s="3">
        <v>43012</v>
      </c>
      <c r="BT59" s="4">
        <v>0.46736111111111112</v>
      </c>
      <c r="BU59" s="2" t="s">
        <v>381</v>
      </c>
      <c r="BV59" s="2" t="s">
        <v>96</v>
      </c>
      <c r="BW59" s="2"/>
      <c r="BX59" s="2"/>
      <c r="BY59" s="2">
        <v>19456.8</v>
      </c>
      <c r="BZ59" s="2"/>
      <c r="CA59" s="2" t="s">
        <v>382</v>
      </c>
      <c r="CB59" s="2"/>
      <c r="CC59" s="2" t="s">
        <v>379</v>
      </c>
      <c r="CD59" s="2">
        <v>7646</v>
      </c>
      <c r="CE59" s="2" t="s">
        <v>89</v>
      </c>
      <c r="CF59" s="5">
        <v>43013</v>
      </c>
      <c r="CG59" s="2"/>
      <c r="CH59" s="2"/>
      <c r="CI59" s="2">
        <v>1</v>
      </c>
      <c r="CJ59" s="2">
        <v>1</v>
      </c>
      <c r="CK59" s="2" t="s">
        <v>154</v>
      </c>
      <c r="CL59" s="2" t="s">
        <v>85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"LCR000374"</f>
        <v>LCR000374</v>
      </c>
      <c r="F60" s="3">
        <v>43011</v>
      </c>
      <c r="G60" s="2">
        <v>201804</v>
      </c>
      <c r="H60" s="2" t="s">
        <v>74</v>
      </c>
      <c r="I60" s="2" t="s">
        <v>75</v>
      </c>
      <c r="J60" s="2" t="s">
        <v>76</v>
      </c>
      <c r="K60" s="2" t="s">
        <v>77</v>
      </c>
      <c r="L60" s="2" t="s">
        <v>250</v>
      </c>
      <c r="M60" s="2" t="s">
        <v>251</v>
      </c>
      <c r="N60" s="2" t="s">
        <v>383</v>
      </c>
      <c r="O60" s="2" t="s">
        <v>81</v>
      </c>
      <c r="P60" s="2" t="str">
        <f>"144027                        "</f>
        <v xml:space="preserve">144027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5.46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4</v>
      </c>
      <c r="BJ60" s="2">
        <v>7.9</v>
      </c>
      <c r="BK60" s="2">
        <v>8</v>
      </c>
      <c r="BL60" s="2">
        <v>55.46</v>
      </c>
      <c r="BM60" s="2">
        <v>7.76</v>
      </c>
      <c r="BN60" s="2">
        <v>63.22</v>
      </c>
      <c r="BO60" s="2">
        <v>63.22</v>
      </c>
      <c r="BP60" s="2"/>
      <c r="BQ60" s="2" t="s">
        <v>384</v>
      </c>
      <c r="BR60" s="2" t="s">
        <v>83</v>
      </c>
      <c r="BS60" s="3">
        <v>43012</v>
      </c>
      <c r="BT60" s="4">
        <v>0.55347222222222225</v>
      </c>
      <c r="BU60" s="2" t="s">
        <v>384</v>
      </c>
      <c r="BV60" s="2" t="s">
        <v>96</v>
      </c>
      <c r="BW60" s="2"/>
      <c r="BX60" s="2"/>
      <c r="BY60" s="2">
        <v>39633.599999999999</v>
      </c>
      <c r="BZ60" s="2"/>
      <c r="CA60" s="2" t="s">
        <v>254</v>
      </c>
      <c r="CB60" s="2"/>
      <c r="CC60" s="2" t="s">
        <v>251</v>
      </c>
      <c r="CD60" s="2">
        <v>7600</v>
      </c>
      <c r="CE60" s="2" t="s">
        <v>134</v>
      </c>
      <c r="CF60" s="5">
        <v>43013</v>
      </c>
      <c r="CG60" s="2"/>
      <c r="CH60" s="2"/>
      <c r="CI60" s="2">
        <v>1</v>
      </c>
      <c r="CJ60" s="2">
        <v>1</v>
      </c>
      <c r="CK60" s="2" t="s">
        <v>154</v>
      </c>
      <c r="CL60" s="2" t="s">
        <v>85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"LCR000375"</f>
        <v>LCR000375</v>
      </c>
      <c r="F61" s="3">
        <v>43011</v>
      </c>
      <c r="G61" s="2">
        <v>201804</v>
      </c>
      <c r="H61" s="2" t="s">
        <v>74</v>
      </c>
      <c r="I61" s="2" t="s">
        <v>75</v>
      </c>
      <c r="J61" s="2" t="s">
        <v>76</v>
      </c>
      <c r="K61" s="2" t="s">
        <v>77</v>
      </c>
      <c r="L61" s="2" t="s">
        <v>149</v>
      </c>
      <c r="M61" s="2" t="s">
        <v>150</v>
      </c>
      <c r="N61" s="2" t="s">
        <v>385</v>
      </c>
      <c r="O61" s="2" t="s">
        <v>81</v>
      </c>
      <c r="P61" s="2" t="str">
        <f>"144043                        "</f>
        <v xml:space="preserve">144043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5.46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3.7</v>
      </c>
      <c r="BJ61" s="2">
        <v>12.5</v>
      </c>
      <c r="BK61" s="2">
        <v>13</v>
      </c>
      <c r="BL61" s="2">
        <v>55.46</v>
      </c>
      <c r="BM61" s="2">
        <v>7.76</v>
      </c>
      <c r="BN61" s="2">
        <v>63.22</v>
      </c>
      <c r="BO61" s="2">
        <v>63.22</v>
      </c>
      <c r="BP61" s="2"/>
      <c r="BQ61" s="2" t="s">
        <v>386</v>
      </c>
      <c r="BR61" s="2" t="s">
        <v>83</v>
      </c>
      <c r="BS61" s="3">
        <v>43012</v>
      </c>
      <c r="BT61" s="4">
        <v>0.41666666666666669</v>
      </c>
      <c r="BU61" s="2" t="s">
        <v>387</v>
      </c>
      <c r="BV61" s="2" t="s">
        <v>96</v>
      </c>
      <c r="BW61" s="2"/>
      <c r="BX61" s="2"/>
      <c r="BY61" s="2">
        <v>62481.120000000003</v>
      </c>
      <c r="BZ61" s="2"/>
      <c r="CA61" s="2"/>
      <c r="CB61" s="2"/>
      <c r="CC61" s="2" t="s">
        <v>150</v>
      </c>
      <c r="CD61" s="2">
        <v>7530</v>
      </c>
      <c r="CE61" s="2" t="s">
        <v>244</v>
      </c>
      <c r="CF61" s="5">
        <v>43013</v>
      </c>
      <c r="CG61" s="2"/>
      <c r="CH61" s="2"/>
      <c r="CI61" s="2">
        <v>1</v>
      </c>
      <c r="CJ61" s="2">
        <v>1</v>
      </c>
      <c r="CK61" s="2" t="s">
        <v>154</v>
      </c>
      <c r="CL61" s="2" t="s">
        <v>85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"LCR000376"</f>
        <v>LCR000376</v>
      </c>
      <c r="F62" s="3">
        <v>43011</v>
      </c>
      <c r="G62" s="2">
        <v>201804</v>
      </c>
      <c r="H62" s="2" t="s">
        <v>74</v>
      </c>
      <c r="I62" s="2" t="s">
        <v>75</v>
      </c>
      <c r="J62" s="2" t="s">
        <v>76</v>
      </c>
      <c r="K62" s="2" t="s">
        <v>77</v>
      </c>
      <c r="L62" s="2" t="s">
        <v>149</v>
      </c>
      <c r="M62" s="2" t="s">
        <v>150</v>
      </c>
      <c r="N62" s="2" t="s">
        <v>388</v>
      </c>
      <c r="O62" s="2" t="s">
        <v>81</v>
      </c>
      <c r="P62" s="2" t="str">
        <f>"144000                        "</f>
        <v xml:space="preserve">144000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5.46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4.5</v>
      </c>
      <c r="BJ62" s="2">
        <v>12.8</v>
      </c>
      <c r="BK62" s="2">
        <v>13</v>
      </c>
      <c r="BL62" s="2">
        <v>55.46</v>
      </c>
      <c r="BM62" s="2">
        <v>7.76</v>
      </c>
      <c r="BN62" s="2">
        <v>63.22</v>
      </c>
      <c r="BO62" s="2">
        <v>63.22</v>
      </c>
      <c r="BP62" s="2"/>
      <c r="BQ62" s="2" t="s">
        <v>389</v>
      </c>
      <c r="BR62" s="2" t="s">
        <v>83</v>
      </c>
      <c r="BS62" s="3">
        <v>43012</v>
      </c>
      <c r="BT62" s="4">
        <v>0.78055555555555556</v>
      </c>
      <c r="BU62" s="2" t="s">
        <v>389</v>
      </c>
      <c r="BV62" s="2" t="s">
        <v>85</v>
      </c>
      <c r="BW62" s="2" t="s">
        <v>219</v>
      </c>
      <c r="BX62" s="2" t="s">
        <v>306</v>
      </c>
      <c r="BY62" s="2">
        <v>64162.05</v>
      </c>
      <c r="BZ62" s="2"/>
      <c r="CA62" s="2" t="s">
        <v>227</v>
      </c>
      <c r="CB62" s="2"/>
      <c r="CC62" s="2" t="s">
        <v>150</v>
      </c>
      <c r="CD62" s="2">
        <v>7560</v>
      </c>
      <c r="CE62" s="2" t="s">
        <v>197</v>
      </c>
      <c r="CF62" s="5">
        <v>43013</v>
      </c>
      <c r="CG62" s="2"/>
      <c r="CH62" s="2"/>
      <c r="CI62" s="2">
        <v>1</v>
      </c>
      <c r="CJ62" s="2">
        <v>1</v>
      </c>
      <c r="CK62" s="2" t="s">
        <v>154</v>
      </c>
      <c r="CL62" s="2" t="s">
        <v>85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"LCR000377"</f>
        <v>LCR000377</v>
      </c>
      <c r="F63" s="3">
        <v>43011</v>
      </c>
      <c r="G63" s="2">
        <v>201804</v>
      </c>
      <c r="H63" s="2" t="s">
        <v>74</v>
      </c>
      <c r="I63" s="2" t="s">
        <v>75</v>
      </c>
      <c r="J63" s="2" t="s">
        <v>76</v>
      </c>
      <c r="K63" s="2" t="s">
        <v>77</v>
      </c>
      <c r="L63" s="2" t="s">
        <v>149</v>
      </c>
      <c r="M63" s="2" t="s">
        <v>150</v>
      </c>
      <c r="N63" s="2" t="s">
        <v>390</v>
      </c>
      <c r="O63" s="2" t="s">
        <v>81</v>
      </c>
      <c r="P63" s="2" t="str">
        <f>"143988                        "</f>
        <v xml:space="preserve">143988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5.46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2.4</v>
      </c>
      <c r="BJ63" s="2">
        <v>8</v>
      </c>
      <c r="BK63" s="2">
        <v>8</v>
      </c>
      <c r="BL63" s="2">
        <v>55.46</v>
      </c>
      <c r="BM63" s="2">
        <v>7.76</v>
      </c>
      <c r="BN63" s="2">
        <v>63.22</v>
      </c>
      <c r="BO63" s="2">
        <v>63.22</v>
      </c>
      <c r="BP63" s="2"/>
      <c r="BQ63" s="2" t="s">
        <v>391</v>
      </c>
      <c r="BR63" s="2" t="s">
        <v>83</v>
      </c>
      <c r="BS63" s="3">
        <v>43012</v>
      </c>
      <c r="BT63" s="4">
        <v>0.81805555555555554</v>
      </c>
      <c r="BU63" s="2" t="s">
        <v>391</v>
      </c>
      <c r="BV63" s="2" t="s">
        <v>85</v>
      </c>
      <c r="BW63" s="2" t="s">
        <v>219</v>
      </c>
      <c r="BX63" s="2" t="s">
        <v>306</v>
      </c>
      <c r="BY63" s="2">
        <v>39880.28</v>
      </c>
      <c r="BZ63" s="2"/>
      <c r="CA63" s="2" t="s">
        <v>392</v>
      </c>
      <c r="CB63" s="2"/>
      <c r="CC63" s="2" t="s">
        <v>150</v>
      </c>
      <c r="CD63" s="2">
        <v>7945</v>
      </c>
      <c r="CE63" s="2" t="s">
        <v>134</v>
      </c>
      <c r="CF63" s="5">
        <v>43013</v>
      </c>
      <c r="CG63" s="2"/>
      <c r="CH63" s="2"/>
      <c r="CI63" s="2">
        <v>1</v>
      </c>
      <c r="CJ63" s="2">
        <v>1</v>
      </c>
      <c r="CK63" s="2" t="s">
        <v>154</v>
      </c>
      <c r="CL63" s="2" t="s">
        <v>85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"LCR000357"</f>
        <v>LCR000357</v>
      </c>
      <c r="F64" s="3">
        <v>43011</v>
      </c>
      <c r="G64" s="2">
        <v>201804</v>
      </c>
      <c r="H64" s="2" t="s">
        <v>74</v>
      </c>
      <c r="I64" s="2" t="s">
        <v>75</v>
      </c>
      <c r="J64" s="2" t="s">
        <v>76</v>
      </c>
      <c r="K64" s="2" t="s">
        <v>77</v>
      </c>
      <c r="L64" s="2" t="s">
        <v>149</v>
      </c>
      <c r="M64" s="2" t="s">
        <v>150</v>
      </c>
      <c r="N64" s="2" t="s">
        <v>393</v>
      </c>
      <c r="O64" s="2" t="s">
        <v>81</v>
      </c>
      <c r="P64" s="2" t="str">
        <f>"144009                        "</f>
        <v xml:space="preserve">144009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5.46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</v>
      </c>
      <c r="BJ64" s="2">
        <v>3.7</v>
      </c>
      <c r="BK64" s="2">
        <v>4</v>
      </c>
      <c r="BL64" s="2">
        <v>55.46</v>
      </c>
      <c r="BM64" s="2">
        <v>7.76</v>
      </c>
      <c r="BN64" s="2">
        <v>63.22</v>
      </c>
      <c r="BO64" s="2">
        <v>63.22</v>
      </c>
      <c r="BP64" s="2"/>
      <c r="BQ64" s="2" t="s">
        <v>394</v>
      </c>
      <c r="BR64" s="2" t="s">
        <v>83</v>
      </c>
      <c r="BS64" s="3">
        <v>43012</v>
      </c>
      <c r="BT64" s="4">
        <v>0.67013888888888884</v>
      </c>
      <c r="BU64" s="2" t="s">
        <v>395</v>
      </c>
      <c r="BV64" s="2" t="s">
        <v>96</v>
      </c>
      <c r="BW64" s="2"/>
      <c r="BX64" s="2"/>
      <c r="BY64" s="2">
        <v>18465.72</v>
      </c>
      <c r="BZ64" s="2"/>
      <c r="CA64" s="2" t="s">
        <v>307</v>
      </c>
      <c r="CB64" s="2"/>
      <c r="CC64" s="2" t="s">
        <v>150</v>
      </c>
      <c r="CD64" s="2">
        <v>7806</v>
      </c>
      <c r="CE64" s="2" t="s">
        <v>89</v>
      </c>
      <c r="CF64" s="5">
        <v>43013</v>
      </c>
      <c r="CG64" s="2"/>
      <c r="CH64" s="2"/>
      <c r="CI64" s="2">
        <v>1</v>
      </c>
      <c r="CJ64" s="2">
        <v>1</v>
      </c>
      <c r="CK64" s="2" t="s">
        <v>154</v>
      </c>
      <c r="CL64" s="2" t="s">
        <v>85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"LCR000356"</f>
        <v>LCR000356</v>
      </c>
      <c r="F65" s="3">
        <v>43011</v>
      </c>
      <c r="G65" s="2">
        <v>201804</v>
      </c>
      <c r="H65" s="2" t="s">
        <v>74</v>
      </c>
      <c r="I65" s="2" t="s">
        <v>75</v>
      </c>
      <c r="J65" s="2" t="s">
        <v>76</v>
      </c>
      <c r="K65" s="2" t="s">
        <v>77</v>
      </c>
      <c r="L65" s="2" t="s">
        <v>396</v>
      </c>
      <c r="M65" s="2" t="s">
        <v>397</v>
      </c>
      <c r="N65" s="2" t="s">
        <v>398</v>
      </c>
      <c r="O65" s="2" t="s">
        <v>81</v>
      </c>
      <c r="P65" s="2" t="str">
        <f>"144006                        "</f>
        <v xml:space="preserve">144006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9.83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1.9</v>
      </c>
      <c r="BJ65" s="2">
        <v>3.8</v>
      </c>
      <c r="BK65" s="2">
        <v>4</v>
      </c>
      <c r="BL65" s="2">
        <v>95.83</v>
      </c>
      <c r="BM65" s="2">
        <v>13.42</v>
      </c>
      <c r="BN65" s="2">
        <v>109.25</v>
      </c>
      <c r="BO65" s="2">
        <v>109.25</v>
      </c>
      <c r="BP65" s="2"/>
      <c r="BQ65" s="2" t="s">
        <v>399</v>
      </c>
      <c r="BR65" s="2" t="s">
        <v>83</v>
      </c>
      <c r="BS65" s="3">
        <v>43013</v>
      </c>
      <c r="BT65" s="4">
        <v>0.47430555555555554</v>
      </c>
      <c r="BU65" s="2" t="s">
        <v>400</v>
      </c>
      <c r="BV65" s="2" t="s">
        <v>96</v>
      </c>
      <c r="BW65" s="2"/>
      <c r="BX65" s="2"/>
      <c r="BY65" s="2">
        <v>19234.88</v>
      </c>
      <c r="BZ65" s="2"/>
      <c r="CA65" s="2" t="s">
        <v>203</v>
      </c>
      <c r="CB65" s="2"/>
      <c r="CC65" s="2" t="s">
        <v>397</v>
      </c>
      <c r="CD65" s="2">
        <v>6139</v>
      </c>
      <c r="CE65" s="2" t="s">
        <v>89</v>
      </c>
      <c r="CF65" s="5">
        <v>43019</v>
      </c>
      <c r="CG65" s="2"/>
      <c r="CH65" s="2"/>
      <c r="CI65" s="2">
        <v>3</v>
      </c>
      <c r="CJ65" s="2">
        <v>2</v>
      </c>
      <c r="CK65" s="2" t="s">
        <v>98</v>
      </c>
      <c r="CL65" s="2" t="s">
        <v>85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"LCR000358"</f>
        <v>LCR000358</v>
      </c>
      <c r="F66" s="3">
        <v>43011</v>
      </c>
      <c r="G66" s="2">
        <v>201804</v>
      </c>
      <c r="H66" s="2" t="s">
        <v>74</v>
      </c>
      <c r="I66" s="2" t="s">
        <v>75</v>
      </c>
      <c r="J66" s="2" t="s">
        <v>76</v>
      </c>
      <c r="K66" s="2" t="s">
        <v>77</v>
      </c>
      <c r="L66" s="2" t="s">
        <v>78</v>
      </c>
      <c r="M66" s="2" t="s">
        <v>79</v>
      </c>
      <c r="N66" s="2" t="s">
        <v>401</v>
      </c>
      <c r="O66" s="2" t="s">
        <v>81</v>
      </c>
      <c r="P66" s="2" t="str">
        <f>"144012                        "</f>
        <v xml:space="preserve">144012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8.19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5.7</v>
      </c>
      <c r="BJ66" s="2">
        <v>13.2</v>
      </c>
      <c r="BK66" s="2">
        <v>14</v>
      </c>
      <c r="BL66" s="2">
        <v>80.69</v>
      </c>
      <c r="BM66" s="2">
        <v>11.3</v>
      </c>
      <c r="BN66" s="2">
        <v>91.99</v>
      </c>
      <c r="BO66" s="2">
        <v>91.99</v>
      </c>
      <c r="BP66" s="2"/>
      <c r="BQ66" s="2" t="s">
        <v>402</v>
      </c>
      <c r="BR66" s="2" t="s">
        <v>83</v>
      </c>
      <c r="BS66" s="3">
        <v>43014</v>
      </c>
      <c r="BT66" s="4">
        <v>0.4375</v>
      </c>
      <c r="BU66" s="2" t="s">
        <v>403</v>
      </c>
      <c r="BV66" s="2" t="s">
        <v>85</v>
      </c>
      <c r="BW66" s="2"/>
      <c r="BX66" s="2"/>
      <c r="BY66" s="2">
        <v>65839.28</v>
      </c>
      <c r="BZ66" s="2"/>
      <c r="CA66" s="2"/>
      <c r="CB66" s="2"/>
      <c r="CC66" s="2" t="s">
        <v>79</v>
      </c>
      <c r="CD66" s="2">
        <v>3201</v>
      </c>
      <c r="CE66" s="2" t="s">
        <v>197</v>
      </c>
      <c r="CF66" s="5">
        <v>43017</v>
      </c>
      <c r="CG66" s="2"/>
      <c r="CH66" s="2"/>
      <c r="CI66" s="2">
        <v>2</v>
      </c>
      <c r="CJ66" s="2">
        <v>3</v>
      </c>
      <c r="CK66" s="2" t="s">
        <v>90</v>
      </c>
      <c r="CL66" s="2" t="s">
        <v>85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"LCR000359"</f>
        <v>LCR000359</v>
      </c>
      <c r="F67" s="3">
        <v>43011</v>
      </c>
      <c r="G67" s="2">
        <v>201804</v>
      </c>
      <c r="H67" s="2" t="s">
        <v>74</v>
      </c>
      <c r="I67" s="2" t="s">
        <v>75</v>
      </c>
      <c r="J67" s="2" t="s">
        <v>76</v>
      </c>
      <c r="K67" s="2" t="s">
        <v>77</v>
      </c>
      <c r="L67" s="2" t="s">
        <v>116</v>
      </c>
      <c r="M67" s="2" t="s">
        <v>117</v>
      </c>
      <c r="N67" s="2" t="s">
        <v>404</v>
      </c>
      <c r="O67" s="2" t="s">
        <v>81</v>
      </c>
      <c r="P67" s="2" t="str">
        <f>"144013                        "</f>
        <v xml:space="preserve">144013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8.19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1.1000000000000001</v>
      </c>
      <c r="BJ67" s="2">
        <v>3.6</v>
      </c>
      <c r="BK67" s="2">
        <v>4</v>
      </c>
      <c r="BL67" s="2">
        <v>80.69</v>
      </c>
      <c r="BM67" s="2">
        <v>11.3</v>
      </c>
      <c r="BN67" s="2">
        <v>91.99</v>
      </c>
      <c r="BO67" s="2">
        <v>91.99</v>
      </c>
      <c r="BP67" s="2"/>
      <c r="BQ67" s="2" t="s">
        <v>405</v>
      </c>
      <c r="BR67" s="2" t="s">
        <v>83</v>
      </c>
      <c r="BS67" s="3">
        <v>43013</v>
      </c>
      <c r="BT67" s="4">
        <v>0.44444444444444442</v>
      </c>
      <c r="BU67" s="2" t="s">
        <v>342</v>
      </c>
      <c r="BV67" s="2" t="s">
        <v>96</v>
      </c>
      <c r="BW67" s="2"/>
      <c r="BX67" s="2"/>
      <c r="BY67" s="2">
        <v>17851.12</v>
      </c>
      <c r="BZ67" s="2"/>
      <c r="CA67" s="2"/>
      <c r="CB67" s="2"/>
      <c r="CC67" s="2" t="s">
        <v>117</v>
      </c>
      <c r="CD67" s="2">
        <v>181</v>
      </c>
      <c r="CE67" s="2" t="s">
        <v>89</v>
      </c>
      <c r="CF67" s="5">
        <v>43014</v>
      </c>
      <c r="CG67" s="2"/>
      <c r="CH67" s="2"/>
      <c r="CI67" s="2">
        <v>2</v>
      </c>
      <c r="CJ67" s="2">
        <v>2</v>
      </c>
      <c r="CK67" s="2" t="s">
        <v>90</v>
      </c>
      <c r="CL67" s="2" t="s">
        <v>85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"LCR000373"</f>
        <v>LCR000373</v>
      </c>
      <c r="F68" s="3">
        <v>43011</v>
      </c>
      <c r="G68" s="2">
        <v>201804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149</v>
      </c>
      <c r="M68" s="2" t="s">
        <v>150</v>
      </c>
      <c r="N68" s="2" t="s">
        <v>406</v>
      </c>
      <c r="O68" s="2" t="s">
        <v>293</v>
      </c>
      <c r="P68" s="2" t="str">
        <f>"144035                        "</f>
        <v xml:space="preserve">144035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5.46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1.3</v>
      </c>
      <c r="BJ68" s="2">
        <v>2.1</v>
      </c>
      <c r="BK68" s="2">
        <v>3</v>
      </c>
      <c r="BL68" s="2">
        <v>50.46</v>
      </c>
      <c r="BM68" s="2">
        <v>7.06</v>
      </c>
      <c r="BN68" s="2">
        <v>57.52</v>
      </c>
      <c r="BO68" s="2">
        <v>57.52</v>
      </c>
      <c r="BP68" s="2"/>
      <c r="BQ68" s="2" t="s">
        <v>407</v>
      </c>
      <c r="BR68" s="2" t="s">
        <v>83</v>
      </c>
      <c r="BS68" s="3">
        <v>43012</v>
      </c>
      <c r="BT68" s="4">
        <v>0.39444444444444443</v>
      </c>
      <c r="BU68" s="2" t="s">
        <v>408</v>
      </c>
      <c r="BV68" s="2" t="s">
        <v>96</v>
      </c>
      <c r="BW68" s="2"/>
      <c r="BX68" s="2"/>
      <c r="BY68" s="2">
        <v>10669.68</v>
      </c>
      <c r="BZ68" s="2"/>
      <c r="CA68" s="2" t="s">
        <v>409</v>
      </c>
      <c r="CB68" s="2"/>
      <c r="CC68" s="2" t="s">
        <v>150</v>
      </c>
      <c r="CD68" s="2">
        <v>7446</v>
      </c>
      <c r="CE68" s="2" t="s">
        <v>302</v>
      </c>
      <c r="CF68" s="5">
        <v>43013</v>
      </c>
      <c r="CG68" s="2"/>
      <c r="CH68" s="2"/>
      <c r="CI68" s="2">
        <v>1</v>
      </c>
      <c r="CJ68" s="2">
        <v>1</v>
      </c>
      <c r="CK68" s="2">
        <v>34</v>
      </c>
      <c r="CL68" s="2" t="s">
        <v>85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"069907658935"</f>
        <v>069907658935</v>
      </c>
      <c r="F69" s="3">
        <v>43010</v>
      </c>
      <c r="G69" s="2">
        <v>201804</v>
      </c>
      <c r="H69" s="2" t="s">
        <v>410</v>
      </c>
      <c r="I69" s="2" t="s">
        <v>411</v>
      </c>
      <c r="J69" s="2" t="s">
        <v>412</v>
      </c>
      <c r="K69" s="2" t="s">
        <v>77</v>
      </c>
      <c r="L69" s="2" t="s">
        <v>284</v>
      </c>
      <c r="M69" s="2" t="s">
        <v>285</v>
      </c>
      <c r="N69" s="2" t="s">
        <v>276</v>
      </c>
      <c r="O69" s="2" t="s">
        <v>278</v>
      </c>
      <c r="P69" s="2" t="str">
        <f>"                              "</f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3.88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0.2</v>
      </c>
      <c r="BK69" s="2">
        <v>1</v>
      </c>
      <c r="BL69" s="2">
        <v>35.880000000000003</v>
      </c>
      <c r="BM69" s="2">
        <v>5.0199999999999996</v>
      </c>
      <c r="BN69" s="2">
        <v>40.9</v>
      </c>
      <c r="BO69" s="2">
        <v>40.9</v>
      </c>
      <c r="BP69" s="2"/>
      <c r="BQ69" s="2" t="s">
        <v>413</v>
      </c>
      <c r="BR69" s="2" t="s">
        <v>414</v>
      </c>
      <c r="BS69" s="3">
        <v>43011</v>
      </c>
      <c r="BT69" s="4">
        <v>0.34583333333333338</v>
      </c>
      <c r="BU69" s="2" t="s">
        <v>415</v>
      </c>
      <c r="BV69" s="2" t="s">
        <v>96</v>
      </c>
      <c r="BW69" s="2"/>
      <c r="BX69" s="2"/>
      <c r="BY69" s="2">
        <v>1200</v>
      </c>
      <c r="BZ69" s="2" t="s">
        <v>27</v>
      </c>
      <c r="CA69" s="2" t="s">
        <v>416</v>
      </c>
      <c r="CB69" s="2"/>
      <c r="CC69" s="2" t="s">
        <v>285</v>
      </c>
      <c r="CD69" s="2">
        <v>1600</v>
      </c>
      <c r="CE69" s="2" t="s">
        <v>283</v>
      </c>
      <c r="CF69" s="5">
        <v>43012</v>
      </c>
      <c r="CG69" s="2"/>
      <c r="CH69" s="2"/>
      <c r="CI69" s="2">
        <v>1</v>
      </c>
      <c r="CJ69" s="2">
        <v>1</v>
      </c>
      <c r="CK69" s="2">
        <v>21</v>
      </c>
      <c r="CL69" s="2" t="s">
        <v>85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"039902303603"</f>
        <v>039902303603</v>
      </c>
      <c r="F70" s="3">
        <v>43010</v>
      </c>
      <c r="G70" s="2">
        <v>201804</v>
      </c>
      <c r="H70" s="2" t="s">
        <v>161</v>
      </c>
      <c r="I70" s="2" t="s">
        <v>162</v>
      </c>
      <c r="J70" s="2" t="s">
        <v>417</v>
      </c>
      <c r="K70" s="2" t="s">
        <v>77</v>
      </c>
      <c r="L70" s="2" t="s">
        <v>122</v>
      </c>
      <c r="M70" s="2" t="s">
        <v>123</v>
      </c>
      <c r="N70" s="2" t="s">
        <v>417</v>
      </c>
      <c r="O70" s="2" t="s">
        <v>278</v>
      </c>
      <c r="P70" s="2" t="str">
        <f>"                              "</f>
        <v xml:space="preserve"> 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200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3.88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</v>
      </c>
      <c r="BJ70" s="2">
        <v>0.2</v>
      </c>
      <c r="BK70" s="2">
        <v>1</v>
      </c>
      <c r="BL70" s="2">
        <v>235.88</v>
      </c>
      <c r="BM70" s="2">
        <v>33.020000000000003</v>
      </c>
      <c r="BN70" s="2">
        <v>268.89999999999998</v>
      </c>
      <c r="BO70" s="2">
        <v>268.89999999999998</v>
      </c>
      <c r="BP70" s="2"/>
      <c r="BQ70" s="2" t="s">
        <v>418</v>
      </c>
      <c r="BR70" s="2" t="s">
        <v>419</v>
      </c>
      <c r="BS70" s="3">
        <v>43011</v>
      </c>
      <c r="BT70" s="4">
        <v>0.33333333333333331</v>
      </c>
      <c r="BU70" s="2" t="s">
        <v>420</v>
      </c>
      <c r="BV70" s="2" t="s">
        <v>96</v>
      </c>
      <c r="BW70" s="2"/>
      <c r="BX70" s="2"/>
      <c r="BY70" s="2">
        <v>1200</v>
      </c>
      <c r="BZ70" s="2" t="s">
        <v>421</v>
      </c>
      <c r="CA70" s="2" t="s">
        <v>422</v>
      </c>
      <c r="CB70" s="2"/>
      <c r="CC70" s="2" t="s">
        <v>123</v>
      </c>
      <c r="CD70" s="2">
        <v>6045</v>
      </c>
      <c r="CE70" s="2" t="s">
        <v>283</v>
      </c>
      <c r="CF70" s="5">
        <v>43012</v>
      </c>
      <c r="CG70" s="2"/>
      <c r="CH70" s="2"/>
      <c r="CI70" s="2">
        <v>1</v>
      </c>
      <c r="CJ70" s="2">
        <v>1</v>
      </c>
      <c r="CK70" s="2">
        <v>21</v>
      </c>
      <c r="CL70" s="2" t="s">
        <v>96</v>
      </c>
      <c r="CM70" s="4">
        <v>0.33333333333333331</v>
      </c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"LCR000351"</f>
        <v>LCR000351</v>
      </c>
      <c r="F71" s="3">
        <v>43011</v>
      </c>
      <c r="G71" s="2">
        <v>201804</v>
      </c>
      <c r="H71" s="2" t="s">
        <v>74</v>
      </c>
      <c r="I71" s="2" t="s">
        <v>75</v>
      </c>
      <c r="J71" s="2" t="s">
        <v>76</v>
      </c>
      <c r="K71" s="2" t="s">
        <v>77</v>
      </c>
      <c r="L71" s="2" t="s">
        <v>234</v>
      </c>
      <c r="M71" s="2" t="s">
        <v>235</v>
      </c>
      <c r="N71" s="2" t="s">
        <v>423</v>
      </c>
      <c r="O71" s="2" t="s">
        <v>293</v>
      </c>
      <c r="P71" s="2" t="str">
        <f>"143992                        "</f>
        <v xml:space="preserve">143992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7.53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1.6</v>
      </c>
      <c r="BJ71" s="2">
        <v>2.1</v>
      </c>
      <c r="BK71" s="2">
        <v>3</v>
      </c>
      <c r="BL71" s="2">
        <v>69.53</v>
      </c>
      <c r="BM71" s="2">
        <v>9.73</v>
      </c>
      <c r="BN71" s="2">
        <v>79.260000000000005</v>
      </c>
      <c r="BO71" s="2">
        <v>79.260000000000005</v>
      </c>
      <c r="BP71" s="2"/>
      <c r="BQ71" s="2" t="s">
        <v>424</v>
      </c>
      <c r="BR71" s="2" t="s">
        <v>83</v>
      </c>
      <c r="BS71" s="3">
        <v>43012</v>
      </c>
      <c r="BT71" s="4">
        <v>0.5</v>
      </c>
      <c r="BU71" s="2" t="s">
        <v>103</v>
      </c>
      <c r="BV71" s="2" t="s">
        <v>96</v>
      </c>
      <c r="BW71" s="2"/>
      <c r="BX71" s="2"/>
      <c r="BY71" s="2">
        <v>10415.64</v>
      </c>
      <c r="BZ71" s="2"/>
      <c r="CA71" s="2"/>
      <c r="CB71" s="2"/>
      <c r="CC71" s="2" t="s">
        <v>235</v>
      </c>
      <c r="CD71" s="2">
        <v>4001</v>
      </c>
      <c r="CE71" s="2" t="s">
        <v>302</v>
      </c>
      <c r="CF71" s="5">
        <v>43013</v>
      </c>
      <c r="CG71" s="2"/>
      <c r="CH71" s="2"/>
      <c r="CI71" s="2">
        <v>1</v>
      </c>
      <c r="CJ71" s="2">
        <v>1</v>
      </c>
      <c r="CK71" s="2">
        <v>33</v>
      </c>
      <c r="CL71" s="2" t="s">
        <v>85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"LCR000353"</f>
        <v>LCR000353</v>
      </c>
      <c r="F72" s="3">
        <v>43011</v>
      </c>
      <c r="G72" s="2">
        <v>201804</v>
      </c>
      <c r="H72" s="2" t="s">
        <v>74</v>
      </c>
      <c r="I72" s="2" t="s">
        <v>75</v>
      </c>
      <c r="J72" s="2" t="s">
        <v>76</v>
      </c>
      <c r="K72" s="2" t="s">
        <v>77</v>
      </c>
      <c r="L72" s="2" t="s">
        <v>149</v>
      </c>
      <c r="M72" s="2" t="s">
        <v>150</v>
      </c>
      <c r="N72" s="2" t="s">
        <v>425</v>
      </c>
      <c r="O72" s="2" t="s">
        <v>293</v>
      </c>
      <c r="P72" s="2" t="str">
        <f>"144001                        "</f>
        <v xml:space="preserve">144001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5.46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0.5</v>
      </c>
      <c r="BJ72" s="2">
        <v>1.9</v>
      </c>
      <c r="BK72" s="2">
        <v>2</v>
      </c>
      <c r="BL72" s="2">
        <v>50.46</v>
      </c>
      <c r="BM72" s="2">
        <v>7.06</v>
      </c>
      <c r="BN72" s="2">
        <v>57.52</v>
      </c>
      <c r="BO72" s="2">
        <v>57.52</v>
      </c>
      <c r="BP72" s="2"/>
      <c r="BQ72" s="2" t="s">
        <v>426</v>
      </c>
      <c r="BR72" s="2" t="s">
        <v>83</v>
      </c>
      <c r="BS72" s="3">
        <v>43012</v>
      </c>
      <c r="BT72" s="4">
        <v>0.47430555555555554</v>
      </c>
      <c r="BU72" s="2" t="s">
        <v>427</v>
      </c>
      <c r="BV72" s="2" t="s">
        <v>96</v>
      </c>
      <c r="BW72" s="2"/>
      <c r="BX72" s="2"/>
      <c r="BY72" s="2">
        <v>9254.52</v>
      </c>
      <c r="BZ72" s="2"/>
      <c r="CA72" s="2" t="s">
        <v>428</v>
      </c>
      <c r="CB72" s="2"/>
      <c r="CC72" s="2" t="s">
        <v>150</v>
      </c>
      <c r="CD72" s="2">
        <v>8005</v>
      </c>
      <c r="CE72" s="2" t="s">
        <v>302</v>
      </c>
      <c r="CF72" s="5">
        <v>43012</v>
      </c>
      <c r="CG72" s="2"/>
      <c r="CH72" s="2"/>
      <c r="CI72" s="2">
        <v>1</v>
      </c>
      <c r="CJ72" s="2">
        <v>1</v>
      </c>
      <c r="CK72" s="2">
        <v>34</v>
      </c>
      <c r="CL72" s="2" t="s">
        <v>85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"LCR000347"</f>
        <v>LCR000347</v>
      </c>
      <c r="F73" s="3">
        <v>43011</v>
      </c>
      <c r="G73" s="2">
        <v>201804</v>
      </c>
      <c r="H73" s="2" t="s">
        <v>74</v>
      </c>
      <c r="I73" s="2" t="s">
        <v>75</v>
      </c>
      <c r="J73" s="2" t="s">
        <v>76</v>
      </c>
      <c r="K73" s="2" t="s">
        <v>77</v>
      </c>
      <c r="L73" s="2" t="s">
        <v>105</v>
      </c>
      <c r="M73" s="2" t="s">
        <v>106</v>
      </c>
      <c r="N73" s="2" t="s">
        <v>429</v>
      </c>
      <c r="O73" s="2" t="s">
        <v>293</v>
      </c>
      <c r="P73" s="2" t="str">
        <f>"143987                        "</f>
        <v xml:space="preserve">143987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7.53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1.5</v>
      </c>
      <c r="BJ73" s="2">
        <v>1.9</v>
      </c>
      <c r="BK73" s="2">
        <v>2</v>
      </c>
      <c r="BL73" s="2">
        <v>69.53</v>
      </c>
      <c r="BM73" s="2">
        <v>9.73</v>
      </c>
      <c r="BN73" s="2">
        <v>79.260000000000005</v>
      </c>
      <c r="BO73" s="2">
        <v>79.260000000000005</v>
      </c>
      <c r="BP73" s="2"/>
      <c r="BQ73" s="2" t="s">
        <v>430</v>
      </c>
      <c r="BR73" s="2" t="s">
        <v>83</v>
      </c>
      <c r="BS73" s="3">
        <v>43012</v>
      </c>
      <c r="BT73" s="4">
        <v>0.40763888888888888</v>
      </c>
      <c r="BU73" s="2" t="s">
        <v>431</v>
      </c>
      <c r="BV73" s="2" t="s">
        <v>96</v>
      </c>
      <c r="BW73" s="2"/>
      <c r="BX73" s="2"/>
      <c r="BY73" s="2">
        <v>9417.2900000000009</v>
      </c>
      <c r="BZ73" s="2"/>
      <c r="CA73" s="2"/>
      <c r="CB73" s="2"/>
      <c r="CC73" s="2" t="s">
        <v>106</v>
      </c>
      <c r="CD73" s="2">
        <v>2021</v>
      </c>
      <c r="CE73" s="2" t="s">
        <v>302</v>
      </c>
      <c r="CF73" s="5">
        <v>43013</v>
      </c>
      <c r="CG73" s="2"/>
      <c r="CH73" s="2"/>
      <c r="CI73" s="2">
        <v>1</v>
      </c>
      <c r="CJ73" s="2">
        <v>1</v>
      </c>
      <c r="CK73" s="2">
        <v>33</v>
      </c>
      <c r="CL73" s="2" t="s">
        <v>85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"LCR000341"</f>
        <v>LCR000341</v>
      </c>
      <c r="F74" s="3">
        <v>43011</v>
      </c>
      <c r="G74" s="2">
        <v>201804</v>
      </c>
      <c r="H74" s="2" t="s">
        <v>74</v>
      </c>
      <c r="I74" s="2" t="s">
        <v>75</v>
      </c>
      <c r="J74" s="2" t="s">
        <v>76</v>
      </c>
      <c r="K74" s="2" t="s">
        <v>77</v>
      </c>
      <c r="L74" s="2" t="s">
        <v>149</v>
      </c>
      <c r="M74" s="2" t="s">
        <v>150</v>
      </c>
      <c r="N74" s="2" t="s">
        <v>432</v>
      </c>
      <c r="O74" s="2" t="s">
        <v>293</v>
      </c>
      <c r="P74" s="2" t="str">
        <f>"143970                        "</f>
        <v xml:space="preserve">143970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5.46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1.1000000000000001</v>
      </c>
      <c r="BJ74" s="2">
        <v>2.1</v>
      </c>
      <c r="BK74" s="2">
        <v>3</v>
      </c>
      <c r="BL74" s="2">
        <v>50.46</v>
      </c>
      <c r="BM74" s="2">
        <v>7.06</v>
      </c>
      <c r="BN74" s="2">
        <v>57.52</v>
      </c>
      <c r="BO74" s="2">
        <v>57.52</v>
      </c>
      <c r="BP74" s="2"/>
      <c r="BQ74" s="2" t="s">
        <v>433</v>
      </c>
      <c r="BR74" s="2" t="s">
        <v>83</v>
      </c>
      <c r="BS74" s="3">
        <v>43013</v>
      </c>
      <c r="BT74" s="4">
        <v>0.37152777777777773</v>
      </c>
      <c r="BU74" s="2" t="s">
        <v>434</v>
      </c>
      <c r="BV74" s="2" t="s">
        <v>85</v>
      </c>
      <c r="BW74" s="2"/>
      <c r="BX74" s="2"/>
      <c r="BY74" s="2">
        <v>10415.64</v>
      </c>
      <c r="BZ74" s="2"/>
      <c r="CA74" s="2" t="s">
        <v>435</v>
      </c>
      <c r="CB74" s="2"/>
      <c r="CC74" s="2" t="s">
        <v>150</v>
      </c>
      <c r="CD74" s="2">
        <v>7405</v>
      </c>
      <c r="CE74" s="2" t="s">
        <v>302</v>
      </c>
      <c r="CF74" s="5">
        <v>43014</v>
      </c>
      <c r="CG74" s="2"/>
      <c r="CH74" s="2"/>
      <c r="CI74" s="2">
        <v>1</v>
      </c>
      <c r="CJ74" s="2">
        <v>2</v>
      </c>
      <c r="CK74" s="2">
        <v>34</v>
      </c>
      <c r="CL74" s="2" t="s">
        <v>85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"LCR000343"</f>
        <v>LCR000343</v>
      </c>
      <c r="F75" s="3">
        <v>43011</v>
      </c>
      <c r="G75" s="2">
        <v>201804</v>
      </c>
      <c r="H75" s="2" t="s">
        <v>74</v>
      </c>
      <c r="I75" s="2" t="s">
        <v>75</v>
      </c>
      <c r="J75" s="2" t="s">
        <v>76</v>
      </c>
      <c r="K75" s="2" t="s">
        <v>77</v>
      </c>
      <c r="L75" s="2" t="s">
        <v>321</v>
      </c>
      <c r="M75" s="2" t="s">
        <v>322</v>
      </c>
      <c r="N75" s="2" t="s">
        <v>436</v>
      </c>
      <c r="O75" s="2" t="s">
        <v>293</v>
      </c>
      <c r="P75" s="2" t="str">
        <f>"143972                        "</f>
        <v xml:space="preserve">143972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7.53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0.4</v>
      </c>
      <c r="BJ75" s="2">
        <v>1.9</v>
      </c>
      <c r="BK75" s="2">
        <v>2</v>
      </c>
      <c r="BL75" s="2">
        <v>69.53</v>
      </c>
      <c r="BM75" s="2">
        <v>9.73</v>
      </c>
      <c r="BN75" s="2">
        <v>79.260000000000005</v>
      </c>
      <c r="BO75" s="2">
        <v>79.260000000000005</v>
      </c>
      <c r="BP75" s="2"/>
      <c r="BQ75" s="2" t="s">
        <v>437</v>
      </c>
      <c r="BR75" s="2" t="s">
        <v>83</v>
      </c>
      <c r="BS75" s="3">
        <v>43012</v>
      </c>
      <c r="BT75" s="4">
        <v>0.50694444444444442</v>
      </c>
      <c r="BU75" s="2" t="s">
        <v>437</v>
      </c>
      <c r="BV75" s="2" t="s">
        <v>96</v>
      </c>
      <c r="BW75" s="2"/>
      <c r="BX75" s="2"/>
      <c r="BY75" s="2">
        <v>9714.18</v>
      </c>
      <c r="BZ75" s="2"/>
      <c r="CA75" s="2" t="s">
        <v>438</v>
      </c>
      <c r="CB75" s="2"/>
      <c r="CC75" s="2" t="s">
        <v>322</v>
      </c>
      <c r="CD75" s="2">
        <v>6500</v>
      </c>
      <c r="CE75" s="2" t="s">
        <v>302</v>
      </c>
      <c r="CF75" s="5">
        <v>43013</v>
      </c>
      <c r="CG75" s="2"/>
      <c r="CH75" s="2"/>
      <c r="CI75" s="2">
        <v>1</v>
      </c>
      <c r="CJ75" s="2">
        <v>1</v>
      </c>
      <c r="CK75" s="2">
        <v>33</v>
      </c>
      <c r="CL75" s="2" t="s">
        <v>85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"009935616874"</f>
        <v>009935616874</v>
      </c>
      <c r="F76" s="3">
        <v>43011</v>
      </c>
      <c r="G76" s="2">
        <v>201804</v>
      </c>
      <c r="H76" s="2" t="s">
        <v>284</v>
      </c>
      <c r="I76" s="2" t="s">
        <v>285</v>
      </c>
      <c r="J76" s="2" t="s">
        <v>439</v>
      </c>
      <c r="K76" s="2" t="s">
        <v>77</v>
      </c>
      <c r="L76" s="2" t="s">
        <v>440</v>
      </c>
      <c r="M76" s="2" t="s">
        <v>441</v>
      </c>
      <c r="N76" s="2" t="s">
        <v>442</v>
      </c>
      <c r="O76" s="2" t="s">
        <v>278</v>
      </c>
      <c r="P76" s="2" t="str">
        <f>"                              "</f>
        <v xml:space="preserve"> 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3.88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0.5</v>
      </c>
      <c r="BJ76" s="2">
        <v>0.2</v>
      </c>
      <c r="BK76" s="2">
        <v>0.5</v>
      </c>
      <c r="BL76" s="2">
        <v>35.880000000000003</v>
      </c>
      <c r="BM76" s="2">
        <v>5.0199999999999996</v>
      </c>
      <c r="BN76" s="2">
        <v>40.9</v>
      </c>
      <c r="BO76" s="2">
        <v>40.9</v>
      </c>
      <c r="BP76" s="2"/>
      <c r="BQ76" s="2" t="s">
        <v>443</v>
      </c>
      <c r="BR76" s="2" t="s">
        <v>444</v>
      </c>
      <c r="BS76" s="3">
        <v>43012</v>
      </c>
      <c r="BT76" s="4">
        <v>0.42708333333333331</v>
      </c>
      <c r="BU76" s="2" t="s">
        <v>445</v>
      </c>
      <c r="BV76" s="2" t="s">
        <v>96</v>
      </c>
      <c r="BW76" s="2"/>
      <c r="BX76" s="2"/>
      <c r="BY76" s="2">
        <v>1200</v>
      </c>
      <c r="BZ76" s="2" t="s">
        <v>27</v>
      </c>
      <c r="CA76" s="2" t="s">
        <v>446</v>
      </c>
      <c r="CB76" s="2"/>
      <c r="CC76" s="2" t="s">
        <v>441</v>
      </c>
      <c r="CD76" s="2">
        <v>1200</v>
      </c>
      <c r="CE76" s="2" t="s">
        <v>283</v>
      </c>
      <c r="CF76" s="5">
        <v>43013</v>
      </c>
      <c r="CG76" s="2"/>
      <c r="CH76" s="2"/>
      <c r="CI76" s="2">
        <v>1</v>
      </c>
      <c r="CJ76" s="2">
        <v>1</v>
      </c>
      <c r="CK76" s="2">
        <v>21</v>
      </c>
      <c r="CL76" s="2" t="s">
        <v>85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"LCR000380"</f>
        <v>LCR000380</v>
      </c>
      <c r="F77" s="3">
        <v>43011</v>
      </c>
      <c r="G77" s="2">
        <v>201804</v>
      </c>
      <c r="H77" s="2" t="s">
        <v>74</v>
      </c>
      <c r="I77" s="2" t="s">
        <v>75</v>
      </c>
      <c r="J77" s="2" t="s">
        <v>76</v>
      </c>
      <c r="K77" s="2" t="s">
        <v>77</v>
      </c>
      <c r="L77" s="2" t="s">
        <v>234</v>
      </c>
      <c r="M77" s="2" t="s">
        <v>235</v>
      </c>
      <c r="N77" s="2" t="s">
        <v>447</v>
      </c>
      <c r="O77" s="2" t="s">
        <v>81</v>
      </c>
      <c r="P77" s="2" t="str">
        <f>"144038                        "</f>
        <v xml:space="preserve">144038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8.19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0.9</v>
      </c>
      <c r="BJ77" s="2">
        <v>1.8</v>
      </c>
      <c r="BK77" s="2">
        <v>2</v>
      </c>
      <c r="BL77" s="2">
        <v>80.69</v>
      </c>
      <c r="BM77" s="2">
        <v>11.3</v>
      </c>
      <c r="BN77" s="2">
        <v>91.99</v>
      </c>
      <c r="BO77" s="2">
        <v>91.99</v>
      </c>
      <c r="BP77" s="2"/>
      <c r="BQ77" s="2" t="s">
        <v>448</v>
      </c>
      <c r="BR77" s="2" t="s">
        <v>83</v>
      </c>
      <c r="BS77" s="3">
        <v>43012</v>
      </c>
      <c r="BT77" s="4">
        <v>0.38055555555555554</v>
      </c>
      <c r="BU77" s="2" t="s">
        <v>449</v>
      </c>
      <c r="BV77" s="2" t="s">
        <v>96</v>
      </c>
      <c r="BW77" s="2"/>
      <c r="BX77" s="2"/>
      <c r="BY77" s="2">
        <v>9213.52</v>
      </c>
      <c r="BZ77" s="2"/>
      <c r="CA77" s="2" t="s">
        <v>450</v>
      </c>
      <c r="CB77" s="2"/>
      <c r="CC77" s="2" t="s">
        <v>235</v>
      </c>
      <c r="CD77" s="2">
        <v>4001</v>
      </c>
      <c r="CE77" s="2" t="s">
        <v>302</v>
      </c>
      <c r="CF77" s="5">
        <v>43013</v>
      </c>
      <c r="CG77" s="2"/>
      <c r="CH77" s="2"/>
      <c r="CI77" s="2">
        <v>2</v>
      </c>
      <c r="CJ77" s="2">
        <v>1</v>
      </c>
      <c r="CK77" s="2" t="s">
        <v>90</v>
      </c>
      <c r="CL77" s="2" t="s">
        <v>85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"069907115704"</f>
        <v>069907115704</v>
      </c>
      <c r="F78" s="3">
        <v>43011</v>
      </c>
      <c r="G78" s="2">
        <v>201804</v>
      </c>
      <c r="H78" s="2" t="s">
        <v>116</v>
      </c>
      <c r="I78" s="2" t="s">
        <v>117</v>
      </c>
      <c r="J78" s="2" t="s">
        <v>451</v>
      </c>
      <c r="K78" s="2" t="s">
        <v>77</v>
      </c>
      <c r="L78" s="2" t="s">
        <v>122</v>
      </c>
      <c r="M78" s="2" t="s">
        <v>123</v>
      </c>
      <c r="N78" s="2" t="s">
        <v>452</v>
      </c>
      <c r="O78" s="2" t="s">
        <v>81</v>
      </c>
      <c r="P78" s="2" t="str">
        <f>"N                             "</f>
        <v xml:space="preserve">N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9.83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1</v>
      </c>
      <c r="BJ78" s="2">
        <v>0.2</v>
      </c>
      <c r="BK78" s="2">
        <v>1</v>
      </c>
      <c r="BL78" s="2">
        <v>95.83</v>
      </c>
      <c r="BM78" s="2">
        <v>13.42</v>
      </c>
      <c r="BN78" s="2">
        <v>109.25</v>
      </c>
      <c r="BO78" s="2">
        <v>109.25</v>
      </c>
      <c r="BP78" s="2"/>
      <c r="BQ78" s="2" t="s">
        <v>453</v>
      </c>
      <c r="BR78" s="2" t="s">
        <v>454</v>
      </c>
      <c r="BS78" s="3">
        <v>43013</v>
      </c>
      <c r="BT78" s="4">
        <v>0.3527777777777778</v>
      </c>
      <c r="BU78" s="2" t="s">
        <v>455</v>
      </c>
      <c r="BV78" s="2"/>
      <c r="BW78" s="2"/>
      <c r="BX78" s="2"/>
      <c r="BY78" s="2">
        <v>1200</v>
      </c>
      <c r="BZ78" s="2"/>
      <c r="CA78" s="2" t="s">
        <v>456</v>
      </c>
      <c r="CB78" s="2"/>
      <c r="CC78" s="2" t="s">
        <v>123</v>
      </c>
      <c r="CD78" s="2">
        <v>6045</v>
      </c>
      <c r="CE78" s="2" t="s">
        <v>457</v>
      </c>
      <c r="CF78" s="5">
        <v>43014</v>
      </c>
      <c r="CG78" s="2"/>
      <c r="CH78" s="2"/>
      <c r="CI78" s="2">
        <v>0</v>
      </c>
      <c r="CJ78" s="2">
        <v>0</v>
      </c>
      <c r="CK78" s="2" t="s">
        <v>174</v>
      </c>
      <c r="CL78" s="2" t="s">
        <v>85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"LCR000361"</f>
        <v>LCR000361</v>
      </c>
      <c r="F79" s="3">
        <v>43011</v>
      </c>
      <c r="G79" s="2">
        <v>201804</v>
      </c>
      <c r="H79" s="2" t="s">
        <v>74</v>
      </c>
      <c r="I79" s="2" t="s">
        <v>75</v>
      </c>
      <c r="J79" s="2" t="s">
        <v>76</v>
      </c>
      <c r="K79" s="2" t="s">
        <v>77</v>
      </c>
      <c r="L79" s="2" t="s">
        <v>149</v>
      </c>
      <c r="M79" s="2" t="s">
        <v>150</v>
      </c>
      <c r="N79" s="2" t="s">
        <v>458</v>
      </c>
      <c r="O79" s="2" t="s">
        <v>293</v>
      </c>
      <c r="P79" s="2" t="str">
        <f>"144017                        "</f>
        <v xml:space="preserve">144017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5.46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1.7</v>
      </c>
      <c r="BJ79" s="2">
        <v>1.7</v>
      </c>
      <c r="BK79" s="2">
        <v>2</v>
      </c>
      <c r="BL79" s="2">
        <v>50.46</v>
      </c>
      <c r="BM79" s="2">
        <v>7.06</v>
      </c>
      <c r="BN79" s="2">
        <v>57.52</v>
      </c>
      <c r="BO79" s="2">
        <v>57.52</v>
      </c>
      <c r="BP79" s="2"/>
      <c r="BQ79" s="2" t="s">
        <v>459</v>
      </c>
      <c r="BR79" s="2" t="s">
        <v>83</v>
      </c>
      <c r="BS79" s="3">
        <v>43012</v>
      </c>
      <c r="BT79" s="4">
        <v>0.47222222222222227</v>
      </c>
      <c r="BU79" s="2" t="s">
        <v>460</v>
      </c>
      <c r="BV79" s="2" t="s">
        <v>96</v>
      </c>
      <c r="BW79" s="2"/>
      <c r="BX79" s="2"/>
      <c r="BY79" s="2">
        <v>8735.4599999999991</v>
      </c>
      <c r="BZ79" s="2" t="s">
        <v>27</v>
      </c>
      <c r="CA79" s="2" t="s">
        <v>461</v>
      </c>
      <c r="CB79" s="2"/>
      <c r="CC79" s="2" t="s">
        <v>150</v>
      </c>
      <c r="CD79" s="2">
        <v>7945</v>
      </c>
      <c r="CE79" s="2" t="s">
        <v>283</v>
      </c>
      <c r="CF79" s="5">
        <v>43012</v>
      </c>
      <c r="CG79" s="2"/>
      <c r="CH79" s="2"/>
      <c r="CI79" s="2">
        <v>1</v>
      </c>
      <c r="CJ79" s="2">
        <v>1</v>
      </c>
      <c r="CK79" s="2">
        <v>34</v>
      </c>
      <c r="CL79" s="2" t="s">
        <v>85</v>
      </c>
      <c r="CM79" s="2"/>
    </row>
    <row r="80" spans="1:91">
      <c r="A80" s="2" t="s">
        <v>275</v>
      </c>
      <c r="B80" s="2" t="s">
        <v>72</v>
      </c>
      <c r="C80" s="2" t="s">
        <v>73</v>
      </c>
      <c r="D80" s="2"/>
      <c r="E80" s="2" t="str">
        <f>"029907801050"</f>
        <v>029907801050</v>
      </c>
      <c r="F80" s="3">
        <v>43012</v>
      </c>
      <c r="G80" s="2">
        <v>201804</v>
      </c>
      <c r="H80" s="2" t="s">
        <v>234</v>
      </c>
      <c r="I80" s="2" t="s">
        <v>235</v>
      </c>
      <c r="J80" s="2" t="s">
        <v>462</v>
      </c>
      <c r="K80" s="2" t="s">
        <v>77</v>
      </c>
      <c r="L80" s="2" t="s">
        <v>149</v>
      </c>
      <c r="M80" s="2" t="s">
        <v>150</v>
      </c>
      <c r="N80" s="2" t="s">
        <v>463</v>
      </c>
      <c r="O80" s="2" t="s">
        <v>278</v>
      </c>
      <c r="P80" s="2" t="str">
        <f>"119 422 70FM                  "</f>
        <v xml:space="preserve">119 422 70FM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4.33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1</v>
      </c>
      <c r="BJ80" s="2">
        <v>0.2</v>
      </c>
      <c r="BK80" s="2">
        <v>1</v>
      </c>
      <c r="BL80" s="2">
        <v>36.33</v>
      </c>
      <c r="BM80" s="2">
        <v>5.09</v>
      </c>
      <c r="BN80" s="2">
        <v>41.42</v>
      </c>
      <c r="BO80" s="2">
        <v>41.42</v>
      </c>
      <c r="BP80" s="2"/>
      <c r="BQ80" s="2" t="s">
        <v>279</v>
      </c>
      <c r="BR80" s="2" t="s">
        <v>280</v>
      </c>
      <c r="BS80" s="3">
        <v>43013</v>
      </c>
      <c r="BT80" s="4">
        <v>0.40902777777777777</v>
      </c>
      <c r="BU80" s="2" t="s">
        <v>464</v>
      </c>
      <c r="BV80" s="2" t="s">
        <v>96</v>
      </c>
      <c r="BW80" s="2"/>
      <c r="BX80" s="2"/>
      <c r="BY80" s="2">
        <v>1200</v>
      </c>
      <c r="BZ80" s="2" t="s">
        <v>27</v>
      </c>
      <c r="CA80" s="2" t="s">
        <v>465</v>
      </c>
      <c r="CB80" s="2"/>
      <c r="CC80" s="2" t="s">
        <v>150</v>
      </c>
      <c r="CD80" s="2">
        <v>8000</v>
      </c>
      <c r="CE80" s="2" t="s">
        <v>283</v>
      </c>
      <c r="CF80" s="5">
        <v>43026</v>
      </c>
      <c r="CG80" s="2"/>
      <c r="CH80" s="2"/>
      <c r="CI80" s="2">
        <v>1</v>
      </c>
      <c r="CJ80" s="2">
        <v>1</v>
      </c>
      <c r="CK80" s="2">
        <v>21</v>
      </c>
      <c r="CL80" s="2" t="s">
        <v>85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"LCR000383"</f>
        <v>LCR000383</v>
      </c>
      <c r="F81" s="3">
        <v>43011</v>
      </c>
      <c r="G81" s="2">
        <v>201804</v>
      </c>
      <c r="H81" s="2" t="s">
        <v>74</v>
      </c>
      <c r="I81" s="2" t="s">
        <v>75</v>
      </c>
      <c r="J81" s="2" t="s">
        <v>76</v>
      </c>
      <c r="K81" s="2" t="s">
        <v>77</v>
      </c>
      <c r="L81" s="2" t="s">
        <v>116</v>
      </c>
      <c r="M81" s="2" t="s">
        <v>117</v>
      </c>
      <c r="N81" s="2" t="s">
        <v>466</v>
      </c>
      <c r="O81" s="2" t="s">
        <v>81</v>
      </c>
      <c r="P81" s="2" t="str">
        <f>"144053                        "</f>
        <v xml:space="preserve">144053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8.19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2</v>
      </c>
      <c r="BI81" s="2">
        <v>6.3</v>
      </c>
      <c r="BJ81" s="2">
        <v>7.9</v>
      </c>
      <c r="BK81" s="2">
        <v>8</v>
      </c>
      <c r="BL81" s="2">
        <v>80.69</v>
      </c>
      <c r="BM81" s="2">
        <v>11.3</v>
      </c>
      <c r="BN81" s="2">
        <v>91.99</v>
      </c>
      <c r="BO81" s="2">
        <v>91.99</v>
      </c>
      <c r="BP81" s="2"/>
      <c r="BQ81" s="2" t="s">
        <v>467</v>
      </c>
      <c r="BR81" s="2" t="s">
        <v>83</v>
      </c>
      <c r="BS81" s="3">
        <v>43013</v>
      </c>
      <c r="BT81" s="4">
        <v>0.48402777777777778</v>
      </c>
      <c r="BU81" s="2" t="s">
        <v>468</v>
      </c>
      <c r="BV81" s="2" t="s">
        <v>96</v>
      </c>
      <c r="BW81" s="2"/>
      <c r="BX81" s="2"/>
      <c r="BY81" s="2">
        <v>39619.89</v>
      </c>
      <c r="BZ81" s="2"/>
      <c r="CA81" s="2" t="s">
        <v>203</v>
      </c>
      <c r="CB81" s="2"/>
      <c r="CC81" s="2" t="s">
        <v>117</v>
      </c>
      <c r="CD81" s="2">
        <v>81</v>
      </c>
      <c r="CE81" s="2" t="s">
        <v>89</v>
      </c>
      <c r="CF81" s="5">
        <v>43014</v>
      </c>
      <c r="CG81" s="2"/>
      <c r="CH81" s="2"/>
      <c r="CI81" s="2">
        <v>2</v>
      </c>
      <c r="CJ81" s="2">
        <v>2</v>
      </c>
      <c r="CK81" s="2" t="s">
        <v>90</v>
      </c>
      <c r="CL81" s="2" t="s">
        <v>85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"LCR000389"</f>
        <v>LCR000389</v>
      </c>
      <c r="F82" s="3">
        <v>43011</v>
      </c>
      <c r="G82" s="2">
        <v>201804</v>
      </c>
      <c r="H82" s="2" t="s">
        <v>74</v>
      </c>
      <c r="I82" s="2" t="s">
        <v>75</v>
      </c>
      <c r="J82" s="2" t="s">
        <v>76</v>
      </c>
      <c r="K82" s="2" t="s">
        <v>77</v>
      </c>
      <c r="L82" s="2" t="s">
        <v>105</v>
      </c>
      <c r="M82" s="2" t="s">
        <v>106</v>
      </c>
      <c r="N82" s="2" t="s">
        <v>469</v>
      </c>
      <c r="O82" s="2" t="s">
        <v>81</v>
      </c>
      <c r="P82" s="2" t="str">
        <f>"144037                        "</f>
        <v xml:space="preserve">144037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8.19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7.9</v>
      </c>
      <c r="BJ82" s="2">
        <v>8</v>
      </c>
      <c r="BK82" s="2">
        <v>8</v>
      </c>
      <c r="BL82" s="2">
        <v>80.69</v>
      </c>
      <c r="BM82" s="2">
        <v>11.3</v>
      </c>
      <c r="BN82" s="2">
        <v>91.99</v>
      </c>
      <c r="BO82" s="2">
        <v>91.99</v>
      </c>
      <c r="BP82" s="2"/>
      <c r="BQ82" s="2" t="s">
        <v>470</v>
      </c>
      <c r="BR82" s="2" t="s">
        <v>83</v>
      </c>
      <c r="BS82" s="3">
        <v>43014</v>
      </c>
      <c r="BT82" s="4">
        <v>0.47986111111111113</v>
      </c>
      <c r="BU82" s="2" t="s">
        <v>470</v>
      </c>
      <c r="BV82" s="2" t="s">
        <v>85</v>
      </c>
      <c r="BW82" s="2"/>
      <c r="BX82" s="2"/>
      <c r="BY82" s="2">
        <v>39845.4</v>
      </c>
      <c r="BZ82" s="2"/>
      <c r="CA82" s="2" t="s">
        <v>471</v>
      </c>
      <c r="CB82" s="2"/>
      <c r="CC82" s="2" t="s">
        <v>106</v>
      </c>
      <c r="CD82" s="2">
        <v>2191</v>
      </c>
      <c r="CE82" s="2" t="s">
        <v>283</v>
      </c>
      <c r="CF82" s="5">
        <v>43017</v>
      </c>
      <c r="CG82" s="2"/>
      <c r="CH82" s="2"/>
      <c r="CI82" s="2">
        <v>2</v>
      </c>
      <c r="CJ82" s="2">
        <v>3</v>
      </c>
      <c r="CK82" s="2" t="s">
        <v>90</v>
      </c>
      <c r="CL82" s="2" t="s">
        <v>85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"LCR000336"</f>
        <v>LCR000336</v>
      </c>
      <c r="F83" s="3">
        <v>43010</v>
      </c>
      <c r="G83" s="2">
        <v>201804</v>
      </c>
      <c r="H83" s="2" t="s">
        <v>74</v>
      </c>
      <c r="I83" s="2" t="s">
        <v>75</v>
      </c>
      <c r="J83" s="2" t="s">
        <v>76</v>
      </c>
      <c r="K83" s="2" t="s">
        <v>77</v>
      </c>
      <c r="L83" s="2" t="s">
        <v>99</v>
      </c>
      <c r="M83" s="2" t="s">
        <v>100</v>
      </c>
      <c r="N83" s="2" t="s">
        <v>472</v>
      </c>
      <c r="O83" s="2" t="s">
        <v>81</v>
      </c>
      <c r="P83" s="2" t="str">
        <f>"143985 2oa23045               "</f>
        <v xml:space="preserve">143985 2oa23045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8.19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7</v>
      </c>
      <c r="BJ83" s="2">
        <v>6.6</v>
      </c>
      <c r="BK83" s="2">
        <v>7</v>
      </c>
      <c r="BL83" s="2">
        <v>80.69</v>
      </c>
      <c r="BM83" s="2">
        <v>11.3</v>
      </c>
      <c r="BN83" s="2">
        <v>91.99</v>
      </c>
      <c r="BO83" s="2">
        <v>91.99</v>
      </c>
      <c r="BP83" s="2"/>
      <c r="BQ83" s="2" t="s">
        <v>473</v>
      </c>
      <c r="BR83" s="2" t="s">
        <v>83</v>
      </c>
      <c r="BS83" s="3">
        <v>43014</v>
      </c>
      <c r="BT83" s="4">
        <v>0.59722222222222221</v>
      </c>
      <c r="BU83" s="2" t="s">
        <v>474</v>
      </c>
      <c r="BV83" s="2" t="s">
        <v>85</v>
      </c>
      <c r="BW83" s="2" t="s">
        <v>86</v>
      </c>
      <c r="BX83" s="2" t="s">
        <v>475</v>
      </c>
      <c r="BY83" s="2">
        <v>33075</v>
      </c>
      <c r="BZ83" s="2"/>
      <c r="CA83" s="2" t="s">
        <v>203</v>
      </c>
      <c r="CB83" s="2"/>
      <c r="CC83" s="2" t="s">
        <v>100</v>
      </c>
      <c r="CD83" s="2">
        <v>2158</v>
      </c>
      <c r="CE83" s="2" t="s">
        <v>134</v>
      </c>
      <c r="CF83" s="5">
        <v>43017</v>
      </c>
      <c r="CG83" s="2"/>
      <c r="CH83" s="2"/>
      <c r="CI83" s="2">
        <v>2</v>
      </c>
      <c r="CJ83" s="2">
        <v>4</v>
      </c>
      <c r="CK83" s="2" t="s">
        <v>90</v>
      </c>
      <c r="CL83" s="2" t="s">
        <v>85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"LCR000362"</f>
        <v>LCR000362</v>
      </c>
      <c r="F84" s="3">
        <v>43011</v>
      </c>
      <c r="G84" s="2">
        <v>201804</v>
      </c>
      <c r="H84" s="2" t="s">
        <v>74</v>
      </c>
      <c r="I84" s="2" t="s">
        <v>75</v>
      </c>
      <c r="J84" s="2" t="s">
        <v>76</v>
      </c>
      <c r="K84" s="2" t="s">
        <v>77</v>
      </c>
      <c r="L84" s="2" t="s">
        <v>149</v>
      </c>
      <c r="M84" s="2" t="s">
        <v>150</v>
      </c>
      <c r="N84" s="2" t="s">
        <v>476</v>
      </c>
      <c r="O84" s="2" t="s">
        <v>81</v>
      </c>
      <c r="P84" s="2" t="str">
        <f>"144018                        "</f>
        <v xml:space="preserve">144018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5.46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1.6</v>
      </c>
      <c r="BJ84" s="2">
        <v>3.8</v>
      </c>
      <c r="BK84" s="2">
        <v>4</v>
      </c>
      <c r="BL84" s="2">
        <v>55.46</v>
      </c>
      <c r="BM84" s="2">
        <v>7.76</v>
      </c>
      <c r="BN84" s="2">
        <v>63.22</v>
      </c>
      <c r="BO84" s="2">
        <v>63.22</v>
      </c>
      <c r="BP84" s="2"/>
      <c r="BQ84" s="2" t="s">
        <v>477</v>
      </c>
      <c r="BR84" s="2" t="s">
        <v>83</v>
      </c>
      <c r="BS84" s="3">
        <v>43012</v>
      </c>
      <c r="BT84" s="4">
        <v>0.50208333333333333</v>
      </c>
      <c r="BU84" s="2" t="s">
        <v>478</v>
      </c>
      <c r="BV84" s="2" t="s">
        <v>96</v>
      </c>
      <c r="BW84" s="2"/>
      <c r="BX84" s="2"/>
      <c r="BY84" s="2">
        <v>18839.52</v>
      </c>
      <c r="BZ84" s="2"/>
      <c r="CA84" s="2" t="s">
        <v>479</v>
      </c>
      <c r="CB84" s="2"/>
      <c r="CC84" s="2" t="s">
        <v>150</v>
      </c>
      <c r="CD84" s="2">
        <v>7708</v>
      </c>
      <c r="CE84" s="2" t="s">
        <v>283</v>
      </c>
      <c r="CF84" s="5">
        <v>43013</v>
      </c>
      <c r="CG84" s="2"/>
      <c r="CH84" s="2"/>
      <c r="CI84" s="2">
        <v>1</v>
      </c>
      <c r="CJ84" s="2">
        <v>1</v>
      </c>
      <c r="CK84" s="2" t="s">
        <v>154</v>
      </c>
      <c r="CL84" s="2" t="s">
        <v>85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"LCR000277"</f>
        <v>LCR000277</v>
      </c>
      <c r="F85" s="3">
        <v>43007</v>
      </c>
      <c r="G85" s="2">
        <v>201804</v>
      </c>
      <c r="H85" s="2" t="s">
        <v>74</v>
      </c>
      <c r="I85" s="2" t="s">
        <v>75</v>
      </c>
      <c r="J85" s="2" t="s">
        <v>76</v>
      </c>
      <c r="K85" s="2" t="s">
        <v>77</v>
      </c>
      <c r="L85" s="2" t="s">
        <v>480</v>
      </c>
      <c r="M85" s="2" t="s">
        <v>481</v>
      </c>
      <c r="N85" s="2" t="s">
        <v>482</v>
      </c>
      <c r="O85" s="2" t="s">
        <v>81</v>
      </c>
      <c r="P85" s="2" t="str">
        <f>"143864                        "</f>
        <v xml:space="preserve">143864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6.68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1</v>
      </c>
      <c r="BJ85" s="2">
        <v>6.6</v>
      </c>
      <c r="BK85" s="2">
        <v>7</v>
      </c>
      <c r="BL85" s="2">
        <v>66.680000000000007</v>
      </c>
      <c r="BM85" s="2">
        <v>9.34</v>
      </c>
      <c r="BN85" s="2">
        <v>76.02</v>
      </c>
      <c r="BO85" s="2">
        <v>76.02</v>
      </c>
      <c r="BP85" s="2"/>
      <c r="BQ85" s="2" t="s">
        <v>483</v>
      </c>
      <c r="BR85" s="2" t="s">
        <v>83</v>
      </c>
      <c r="BS85" s="3">
        <v>43011</v>
      </c>
      <c r="BT85" s="4">
        <v>0.52361111111111114</v>
      </c>
      <c r="BU85" s="2" t="s">
        <v>483</v>
      </c>
      <c r="BV85" s="2" t="s">
        <v>85</v>
      </c>
      <c r="BW85" s="2" t="s">
        <v>219</v>
      </c>
      <c r="BX85" s="2" t="s">
        <v>484</v>
      </c>
      <c r="BY85" s="2">
        <v>33075</v>
      </c>
      <c r="BZ85" s="2"/>
      <c r="CA85" s="2" t="s">
        <v>485</v>
      </c>
      <c r="CB85" s="2"/>
      <c r="CC85" s="2" t="s">
        <v>481</v>
      </c>
      <c r="CD85" s="2">
        <v>7299</v>
      </c>
      <c r="CE85" s="2" t="s">
        <v>134</v>
      </c>
      <c r="CF85" s="5">
        <v>43012</v>
      </c>
      <c r="CG85" s="2"/>
      <c r="CH85" s="2"/>
      <c r="CI85" s="2">
        <v>1</v>
      </c>
      <c r="CJ85" s="2">
        <v>2</v>
      </c>
      <c r="CK85" s="2" t="s">
        <v>187</v>
      </c>
      <c r="CL85" s="2" t="s">
        <v>85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"LCR000403"</f>
        <v>LCR000403</v>
      </c>
      <c r="F86" s="3">
        <v>43012</v>
      </c>
      <c r="G86" s="2">
        <v>201804</v>
      </c>
      <c r="H86" s="2" t="s">
        <v>74</v>
      </c>
      <c r="I86" s="2" t="s">
        <v>75</v>
      </c>
      <c r="J86" s="2" t="s">
        <v>76</v>
      </c>
      <c r="K86" s="2" t="s">
        <v>77</v>
      </c>
      <c r="L86" s="2" t="s">
        <v>105</v>
      </c>
      <c r="M86" s="2" t="s">
        <v>106</v>
      </c>
      <c r="N86" s="2" t="s">
        <v>486</v>
      </c>
      <c r="O86" s="2" t="s">
        <v>81</v>
      </c>
      <c r="P86" s="2" t="str">
        <f>"144069                        "</f>
        <v xml:space="preserve">144069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9.1300000000000008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4</v>
      </c>
      <c r="BJ86" s="2">
        <v>3.9</v>
      </c>
      <c r="BK86" s="2">
        <v>4</v>
      </c>
      <c r="BL86" s="2">
        <v>81.63</v>
      </c>
      <c r="BM86" s="2">
        <v>11.43</v>
      </c>
      <c r="BN86" s="2">
        <v>93.06</v>
      </c>
      <c r="BO86" s="2">
        <v>93.06</v>
      </c>
      <c r="BP86" s="2"/>
      <c r="BQ86" s="2" t="s">
        <v>487</v>
      </c>
      <c r="BR86" s="2" t="s">
        <v>83</v>
      </c>
      <c r="BS86" s="3">
        <v>43018</v>
      </c>
      <c r="BT86" s="4">
        <v>0.4236111111111111</v>
      </c>
      <c r="BU86" s="2" t="s">
        <v>488</v>
      </c>
      <c r="BV86" s="2" t="s">
        <v>85</v>
      </c>
      <c r="BW86" s="2" t="s">
        <v>86</v>
      </c>
      <c r="BX86" s="2" t="s">
        <v>489</v>
      </c>
      <c r="BY86" s="2">
        <v>19683</v>
      </c>
      <c r="BZ86" s="2"/>
      <c r="CA86" s="2" t="s">
        <v>203</v>
      </c>
      <c r="CB86" s="2"/>
      <c r="CC86" s="2" t="s">
        <v>106</v>
      </c>
      <c r="CD86" s="2">
        <v>2092</v>
      </c>
      <c r="CE86" s="2" t="s">
        <v>89</v>
      </c>
      <c r="CF86" s="5">
        <v>43020</v>
      </c>
      <c r="CG86" s="2"/>
      <c r="CH86" s="2"/>
      <c r="CI86" s="2">
        <v>2</v>
      </c>
      <c r="CJ86" s="2">
        <v>4</v>
      </c>
      <c r="CK86" s="2" t="s">
        <v>90</v>
      </c>
      <c r="CL86" s="2" t="s">
        <v>85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"LCR000368"</f>
        <v>LCR000368</v>
      </c>
      <c r="F87" s="3">
        <v>43011</v>
      </c>
      <c r="G87" s="2">
        <v>201804</v>
      </c>
      <c r="H87" s="2" t="s">
        <v>74</v>
      </c>
      <c r="I87" s="2" t="s">
        <v>75</v>
      </c>
      <c r="J87" s="2" t="s">
        <v>76</v>
      </c>
      <c r="K87" s="2" t="s">
        <v>77</v>
      </c>
      <c r="L87" s="2" t="s">
        <v>105</v>
      </c>
      <c r="M87" s="2" t="s">
        <v>106</v>
      </c>
      <c r="N87" s="2" t="s">
        <v>490</v>
      </c>
      <c r="O87" s="2" t="s">
        <v>81</v>
      </c>
      <c r="P87" s="2" t="str">
        <f>"144032                        "</f>
        <v xml:space="preserve">144032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8.19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4.3</v>
      </c>
      <c r="BJ87" s="2">
        <v>10.8</v>
      </c>
      <c r="BK87" s="2">
        <v>11</v>
      </c>
      <c r="BL87" s="2">
        <v>80.69</v>
      </c>
      <c r="BM87" s="2">
        <v>11.3</v>
      </c>
      <c r="BN87" s="2">
        <v>91.99</v>
      </c>
      <c r="BO87" s="2">
        <v>91.99</v>
      </c>
      <c r="BP87" s="2" t="s">
        <v>491</v>
      </c>
      <c r="BQ87" s="2" t="s">
        <v>492</v>
      </c>
      <c r="BR87" s="2" t="s">
        <v>83</v>
      </c>
      <c r="BS87" s="3">
        <v>43013</v>
      </c>
      <c r="BT87" s="4">
        <v>0.54166666666666663</v>
      </c>
      <c r="BU87" s="2" t="s">
        <v>493</v>
      </c>
      <c r="BV87" s="2" t="s">
        <v>96</v>
      </c>
      <c r="BW87" s="2"/>
      <c r="BX87" s="2"/>
      <c r="BY87" s="2">
        <v>53828.33</v>
      </c>
      <c r="BZ87" s="2"/>
      <c r="CA87" s="2"/>
      <c r="CB87" s="2"/>
      <c r="CC87" s="2" t="s">
        <v>106</v>
      </c>
      <c r="CD87" s="2">
        <v>2198</v>
      </c>
      <c r="CE87" s="2" t="s">
        <v>283</v>
      </c>
      <c r="CF87" s="5">
        <v>43014</v>
      </c>
      <c r="CG87" s="2"/>
      <c r="CH87" s="2"/>
      <c r="CI87" s="2">
        <v>2</v>
      </c>
      <c r="CJ87" s="2">
        <v>2</v>
      </c>
      <c r="CK87" s="2" t="s">
        <v>90</v>
      </c>
      <c r="CL87" s="2" t="s">
        <v>85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"LCR000330"</f>
        <v>LCR000330</v>
      </c>
      <c r="F88" s="3">
        <v>43010</v>
      </c>
      <c r="G88" s="2">
        <v>201804</v>
      </c>
      <c r="H88" s="2" t="s">
        <v>74</v>
      </c>
      <c r="I88" s="2" t="s">
        <v>75</v>
      </c>
      <c r="J88" s="2" t="s">
        <v>76</v>
      </c>
      <c r="K88" s="2" t="s">
        <v>77</v>
      </c>
      <c r="L88" s="2" t="s">
        <v>105</v>
      </c>
      <c r="M88" s="2" t="s">
        <v>106</v>
      </c>
      <c r="N88" s="2" t="s">
        <v>494</v>
      </c>
      <c r="O88" s="2" t="s">
        <v>81</v>
      </c>
      <c r="P88" s="2" t="str">
        <f>"akila 2oa22994                "</f>
        <v xml:space="preserve">akila 2oa22994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8.19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7</v>
      </c>
      <c r="BJ88" s="2">
        <v>6.6</v>
      </c>
      <c r="BK88" s="2">
        <v>7</v>
      </c>
      <c r="BL88" s="2">
        <v>80.69</v>
      </c>
      <c r="BM88" s="2">
        <v>11.3</v>
      </c>
      <c r="BN88" s="2">
        <v>91.99</v>
      </c>
      <c r="BO88" s="2">
        <v>91.99</v>
      </c>
      <c r="BP88" s="2"/>
      <c r="BQ88" s="2" t="s">
        <v>495</v>
      </c>
      <c r="BR88" s="2" t="s">
        <v>83</v>
      </c>
      <c r="BS88" s="3">
        <v>43013</v>
      </c>
      <c r="BT88" s="4">
        <v>0.66249999999999998</v>
      </c>
      <c r="BU88" s="2" t="s">
        <v>496</v>
      </c>
      <c r="BV88" s="2" t="s">
        <v>85</v>
      </c>
      <c r="BW88" s="2" t="s">
        <v>497</v>
      </c>
      <c r="BX88" s="2" t="s">
        <v>498</v>
      </c>
      <c r="BY88" s="2">
        <v>33075</v>
      </c>
      <c r="BZ88" s="2"/>
      <c r="CA88" s="2"/>
      <c r="CB88" s="2"/>
      <c r="CC88" s="2" t="s">
        <v>106</v>
      </c>
      <c r="CD88" s="2">
        <v>2198</v>
      </c>
      <c r="CE88" s="2" t="s">
        <v>134</v>
      </c>
      <c r="CF88" s="5">
        <v>43013</v>
      </c>
      <c r="CG88" s="2"/>
      <c r="CH88" s="2"/>
      <c r="CI88" s="2">
        <v>2</v>
      </c>
      <c r="CJ88" s="2">
        <v>3</v>
      </c>
      <c r="CK88" s="2" t="s">
        <v>90</v>
      </c>
      <c r="CL88" s="2" t="s">
        <v>85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"LCR000365"</f>
        <v>LCR000365</v>
      </c>
      <c r="F89" s="3">
        <v>43011</v>
      </c>
      <c r="G89" s="2">
        <v>201804</v>
      </c>
      <c r="H89" s="2" t="s">
        <v>74</v>
      </c>
      <c r="I89" s="2" t="s">
        <v>75</v>
      </c>
      <c r="J89" s="2" t="s">
        <v>76</v>
      </c>
      <c r="K89" s="2" t="s">
        <v>77</v>
      </c>
      <c r="L89" s="2" t="s">
        <v>198</v>
      </c>
      <c r="M89" s="2" t="s">
        <v>199</v>
      </c>
      <c r="N89" s="2" t="s">
        <v>499</v>
      </c>
      <c r="O89" s="2" t="s">
        <v>81</v>
      </c>
      <c r="P89" s="2" t="str">
        <f>"144024                        "</f>
        <v xml:space="preserve">144024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9.83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1</v>
      </c>
      <c r="BJ89" s="2">
        <v>3.8</v>
      </c>
      <c r="BK89" s="2">
        <v>4</v>
      </c>
      <c r="BL89" s="2">
        <v>95.83</v>
      </c>
      <c r="BM89" s="2">
        <v>13.42</v>
      </c>
      <c r="BN89" s="2">
        <v>109.25</v>
      </c>
      <c r="BO89" s="2">
        <v>109.25</v>
      </c>
      <c r="BP89" s="2"/>
      <c r="BQ89" s="2" t="s">
        <v>500</v>
      </c>
      <c r="BR89" s="2" t="s">
        <v>83</v>
      </c>
      <c r="BS89" s="3">
        <v>43013</v>
      </c>
      <c r="BT89" s="4">
        <v>0.3444444444444445</v>
      </c>
      <c r="BU89" s="2" t="s">
        <v>501</v>
      </c>
      <c r="BV89" s="2" t="s">
        <v>96</v>
      </c>
      <c r="BW89" s="2"/>
      <c r="BX89" s="2"/>
      <c r="BY89" s="2">
        <v>18812.88</v>
      </c>
      <c r="BZ89" s="2"/>
      <c r="CA89" s="2"/>
      <c r="CB89" s="2"/>
      <c r="CC89" s="2" t="s">
        <v>199</v>
      </c>
      <c r="CD89" s="2">
        <v>299</v>
      </c>
      <c r="CE89" s="2" t="s">
        <v>283</v>
      </c>
      <c r="CF89" s="5">
        <v>43017</v>
      </c>
      <c r="CG89" s="2"/>
      <c r="CH89" s="2"/>
      <c r="CI89" s="2">
        <v>2</v>
      </c>
      <c r="CJ89" s="2">
        <v>2</v>
      </c>
      <c r="CK89" s="2" t="s">
        <v>174</v>
      </c>
      <c r="CL89" s="2" t="s">
        <v>85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"LCR000367"</f>
        <v>LCR000367</v>
      </c>
      <c r="F90" s="3">
        <v>43011</v>
      </c>
      <c r="G90" s="2">
        <v>201804</v>
      </c>
      <c r="H90" s="2" t="s">
        <v>74</v>
      </c>
      <c r="I90" s="2" t="s">
        <v>75</v>
      </c>
      <c r="J90" s="2" t="s">
        <v>76</v>
      </c>
      <c r="K90" s="2" t="s">
        <v>77</v>
      </c>
      <c r="L90" s="2" t="s">
        <v>149</v>
      </c>
      <c r="M90" s="2" t="s">
        <v>150</v>
      </c>
      <c r="N90" s="2" t="s">
        <v>502</v>
      </c>
      <c r="O90" s="2" t="s">
        <v>81</v>
      </c>
      <c r="P90" s="2" t="str">
        <f>"144026                        "</f>
        <v xml:space="preserve">144026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5.46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1.1000000000000001</v>
      </c>
      <c r="BJ90" s="2">
        <v>3.7</v>
      </c>
      <c r="BK90" s="2">
        <v>4</v>
      </c>
      <c r="BL90" s="2">
        <v>55.46</v>
      </c>
      <c r="BM90" s="2">
        <v>7.76</v>
      </c>
      <c r="BN90" s="2">
        <v>63.22</v>
      </c>
      <c r="BO90" s="2">
        <v>63.22</v>
      </c>
      <c r="BP90" s="2"/>
      <c r="BQ90" s="2" t="s">
        <v>503</v>
      </c>
      <c r="BR90" s="2" t="s">
        <v>83</v>
      </c>
      <c r="BS90" s="3">
        <v>43012</v>
      </c>
      <c r="BT90" s="4">
        <v>0.6</v>
      </c>
      <c r="BU90" s="2" t="s">
        <v>504</v>
      </c>
      <c r="BV90" s="2" t="s">
        <v>96</v>
      </c>
      <c r="BW90" s="2"/>
      <c r="BX90" s="2"/>
      <c r="BY90" s="2">
        <v>18446.400000000001</v>
      </c>
      <c r="BZ90" s="2"/>
      <c r="CA90" s="2" t="s">
        <v>505</v>
      </c>
      <c r="CB90" s="2"/>
      <c r="CC90" s="2" t="s">
        <v>150</v>
      </c>
      <c r="CD90" s="2">
        <v>7945</v>
      </c>
      <c r="CE90" s="2" t="s">
        <v>283</v>
      </c>
      <c r="CF90" s="5">
        <v>43013</v>
      </c>
      <c r="CG90" s="2"/>
      <c r="CH90" s="2"/>
      <c r="CI90" s="2">
        <v>1</v>
      </c>
      <c r="CJ90" s="2">
        <v>1</v>
      </c>
      <c r="CK90" s="2" t="s">
        <v>154</v>
      </c>
      <c r="CL90" s="2" t="s">
        <v>85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"LCR000429"</f>
        <v>LCR000429</v>
      </c>
      <c r="F91" s="3">
        <v>43012</v>
      </c>
      <c r="G91" s="2">
        <v>201804</v>
      </c>
      <c r="H91" s="2" t="s">
        <v>74</v>
      </c>
      <c r="I91" s="2" t="s">
        <v>75</v>
      </c>
      <c r="J91" s="2" t="s">
        <v>76</v>
      </c>
      <c r="K91" s="2" t="s">
        <v>77</v>
      </c>
      <c r="L91" s="2" t="s">
        <v>506</v>
      </c>
      <c r="M91" s="2" t="s">
        <v>507</v>
      </c>
      <c r="N91" s="2" t="s">
        <v>508</v>
      </c>
      <c r="O91" s="2" t="s">
        <v>81</v>
      </c>
      <c r="P91" s="2" t="str">
        <f>"144102                        "</f>
        <v xml:space="preserve">144102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10.96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4</v>
      </c>
      <c r="BJ91" s="2">
        <v>3.9</v>
      </c>
      <c r="BK91" s="2">
        <v>4</v>
      </c>
      <c r="BL91" s="2">
        <v>96.96</v>
      </c>
      <c r="BM91" s="2">
        <v>13.57</v>
      </c>
      <c r="BN91" s="2">
        <v>110.53</v>
      </c>
      <c r="BO91" s="2">
        <v>110.53</v>
      </c>
      <c r="BP91" s="2"/>
      <c r="BQ91" s="2" t="s">
        <v>509</v>
      </c>
      <c r="BR91" s="2" t="s">
        <v>83</v>
      </c>
      <c r="BS91" s="3">
        <v>43014</v>
      </c>
      <c r="BT91" s="4">
        <v>0.54166666666666663</v>
      </c>
      <c r="BU91" s="2" t="s">
        <v>510</v>
      </c>
      <c r="BV91" s="2" t="s">
        <v>96</v>
      </c>
      <c r="BW91" s="2"/>
      <c r="BX91" s="2"/>
      <c r="BY91" s="2">
        <v>19683</v>
      </c>
      <c r="BZ91" s="2"/>
      <c r="CA91" s="2"/>
      <c r="CB91" s="2"/>
      <c r="CC91" s="2" t="s">
        <v>507</v>
      </c>
      <c r="CD91" s="2">
        <v>4240</v>
      </c>
      <c r="CE91" s="2" t="s">
        <v>89</v>
      </c>
      <c r="CF91" s="5">
        <v>43017</v>
      </c>
      <c r="CG91" s="2"/>
      <c r="CH91" s="2"/>
      <c r="CI91" s="2">
        <v>2</v>
      </c>
      <c r="CJ91" s="2">
        <v>2</v>
      </c>
      <c r="CK91" s="2" t="s">
        <v>174</v>
      </c>
      <c r="CL91" s="2" t="s">
        <v>85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"LCR000402"</f>
        <v>LCR000402</v>
      </c>
      <c r="F92" s="3">
        <v>43012</v>
      </c>
      <c r="G92" s="2">
        <v>201804</v>
      </c>
      <c r="H92" s="2" t="s">
        <v>74</v>
      </c>
      <c r="I92" s="2" t="s">
        <v>75</v>
      </c>
      <c r="J92" s="2" t="s">
        <v>76</v>
      </c>
      <c r="K92" s="2" t="s">
        <v>77</v>
      </c>
      <c r="L92" s="2" t="s">
        <v>175</v>
      </c>
      <c r="M92" s="2" t="s">
        <v>176</v>
      </c>
      <c r="N92" s="2" t="s">
        <v>511</v>
      </c>
      <c r="O92" s="2" t="s">
        <v>81</v>
      </c>
      <c r="P92" s="2" t="str">
        <f>"144081                        "</f>
        <v xml:space="preserve">144081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14.61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4</v>
      </c>
      <c r="BJ92" s="2">
        <v>3.9</v>
      </c>
      <c r="BK92" s="2">
        <v>4</v>
      </c>
      <c r="BL92" s="2">
        <v>127.61</v>
      </c>
      <c r="BM92" s="2">
        <v>17.87</v>
      </c>
      <c r="BN92" s="2">
        <v>145.47999999999999</v>
      </c>
      <c r="BO92" s="2">
        <v>145.47999999999999</v>
      </c>
      <c r="BP92" s="2"/>
      <c r="BQ92" s="2" t="s">
        <v>512</v>
      </c>
      <c r="BR92" s="2" t="s">
        <v>83</v>
      </c>
      <c r="BS92" s="3">
        <v>43018</v>
      </c>
      <c r="BT92" s="4">
        <v>0.54166666666666663</v>
      </c>
      <c r="BU92" s="2" t="s">
        <v>513</v>
      </c>
      <c r="BV92" s="2" t="s">
        <v>85</v>
      </c>
      <c r="BW92" s="2" t="s">
        <v>86</v>
      </c>
      <c r="BX92" s="2" t="s">
        <v>514</v>
      </c>
      <c r="BY92" s="2">
        <v>19683</v>
      </c>
      <c r="BZ92" s="2"/>
      <c r="CA92" s="2"/>
      <c r="CB92" s="2"/>
      <c r="CC92" s="2" t="s">
        <v>176</v>
      </c>
      <c r="CD92" s="2">
        <v>1947</v>
      </c>
      <c r="CE92" s="2" t="s">
        <v>89</v>
      </c>
      <c r="CF92" s="5">
        <v>43020</v>
      </c>
      <c r="CG92" s="2"/>
      <c r="CH92" s="2"/>
      <c r="CI92" s="2">
        <v>2</v>
      </c>
      <c r="CJ92" s="2">
        <v>4</v>
      </c>
      <c r="CK92" s="2" t="s">
        <v>181</v>
      </c>
      <c r="CL92" s="2" t="s">
        <v>85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"LCR000390"</f>
        <v>LCR000390</v>
      </c>
      <c r="F93" s="3">
        <v>43011</v>
      </c>
      <c r="G93" s="2">
        <v>201804</v>
      </c>
      <c r="H93" s="2" t="s">
        <v>74</v>
      </c>
      <c r="I93" s="2" t="s">
        <v>75</v>
      </c>
      <c r="J93" s="2" t="s">
        <v>76</v>
      </c>
      <c r="K93" s="2" t="s">
        <v>77</v>
      </c>
      <c r="L93" s="2" t="s">
        <v>149</v>
      </c>
      <c r="M93" s="2" t="s">
        <v>150</v>
      </c>
      <c r="N93" s="2" t="s">
        <v>515</v>
      </c>
      <c r="O93" s="2" t="s">
        <v>81</v>
      </c>
      <c r="P93" s="2" t="str">
        <f>"143943                        "</f>
        <v xml:space="preserve">143943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5.46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3.3</v>
      </c>
      <c r="BJ93" s="2">
        <v>7.9</v>
      </c>
      <c r="BK93" s="2">
        <v>8</v>
      </c>
      <c r="BL93" s="2">
        <v>55.46</v>
      </c>
      <c r="BM93" s="2">
        <v>7.76</v>
      </c>
      <c r="BN93" s="2">
        <v>63.22</v>
      </c>
      <c r="BO93" s="2">
        <v>63.22</v>
      </c>
      <c r="BP93" s="2"/>
      <c r="BQ93" s="2" t="s">
        <v>516</v>
      </c>
      <c r="BR93" s="2" t="s">
        <v>83</v>
      </c>
      <c r="BS93" s="3">
        <v>43012</v>
      </c>
      <c r="BT93" s="4">
        <v>0.71805555555555556</v>
      </c>
      <c r="BU93" s="2" t="s">
        <v>517</v>
      </c>
      <c r="BV93" s="2" t="s">
        <v>96</v>
      </c>
      <c r="BW93" s="2"/>
      <c r="BX93" s="2"/>
      <c r="BY93" s="2">
        <v>39471.9</v>
      </c>
      <c r="BZ93" s="2"/>
      <c r="CA93" s="2" t="s">
        <v>518</v>
      </c>
      <c r="CB93" s="2"/>
      <c r="CC93" s="2" t="s">
        <v>150</v>
      </c>
      <c r="CD93" s="2">
        <v>7441</v>
      </c>
      <c r="CE93" s="2" t="s">
        <v>283</v>
      </c>
      <c r="CF93" s="5">
        <v>43013</v>
      </c>
      <c r="CG93" s="2"/>
      <c r="CH93" s="2"/>
      <c r="CI93" s="2">
        <v>1</v>
      </c>
      <c r="CJ93" s="2">
        <v>1</v>
      </c>
      <c r="CK93" s="2" t="s">
        <v>154</v>
      </c>
      <c r="CL93" s="2" t="s">
        <v>85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"LCR000430"</f>
        <v>LCR000430</v>
      </c>
      <c r="F94" s="3">
        <v>43012</v>
      </c>
      <c r="G94" s="2">
        <v>201804</v>
      </c>
      <c r="H94" s="2" t="s">
        <v>74</v>
      </c>
      <c r="I94" s="2" t="s">
        <v>75</v>
      </c>
      <c r="J94" s="2" t="s">
        <v>76</v>
      </c>
      <c r="K94" s="2" t="s">
        <v>77</v>
      </c>
      <c r="L94" s="2" t="s">
        <v>519</v>
      </c>
      <c r="M94" s="2" t="s">
        <v>520</v>
      </c>
      <c r="N94" s="2" t="s">
        <v>521</v>
      </c>
      <c r="O94" s="2" t="s">
        <v>81</v>
      </c>
      <c r="P94" s="2" t="str">
        <f>"144109                        "</f>
        <v xml:space="preserve">144109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6.09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12</v>
      </c>
      <c r="BJ94" s="2">
        <v>11.4</v>
      </c>
      <c r="BK94" s="2">
        <v>12</v>
      </c>
      <c r="BL94" s="2">
        <v>56.09</v>
      </c>
      <c r="BM94" s="2">
        <v>7.85</v>
      </c>
      <c r="BN94" s="2">
        <v>63.94</v>
      </c>
      <c r="BO94" s="2">
        <v>63.94</v>
      </c>
      <c r="BP94" s="2"/>
      <c r="BQ94" s="2" t="s">
        <v>522</v>
      </c>
      <c r="BR94" s="2" t="s">
        <v>83</v>
      </c>
      <c r="BS94" s="3">
        <v>43013</v>
      </c>
      <c r="BT94" s="4">
        <v>0.52638888888888891</v>
      </c>
      <c r="BU94" s="2" t="s">
        <v>522</v>
      </c>
      <c r="BV94" s="2" t="s">
        <v>96</v>
      </c>
      <c r="BW94" s="2"/>
      <c r="BX94" s="2"/>
      <c r="BY94" s="2">
        <v>57132</v>
      </c>
      <c r="BZ94" s="2"/>
      <c r="CA94" s="2" t="s">
        <v>523</v>
      </c>
      <c r="CB94" s="2"/>
      <c r="CC94" s="2" t="s">
        <v>520</v>
      </c>
      <c r="CD94" s="2">
        <v>7140</v>
      </c>
      <c r="CE94" s="2" t="s">
        <v>197</v>
      </c>
      <c r="CF94" s="5">
        <v>43014</v>
      </c>
      <c r="CG94" s="2"/>
      <c r="CH94" s="2"/>
      <c r="CI94" s="2">
        <v>1</v>
      </c>
      <c r="CJ94" s="2">
        <v>1</v>
      </c>
      <c r="CK94" s="2" t="s">
        <v>154</v>
      </c>
      <c r="CL94" s="2" t="s">
        <v>85</v>
      </c>
      <c r="CM94" s="2"/>
    </row>
    <row r="95" spans="1:91">
      <c r="A95" s="2" t="s">
        <v>71</v>
      </c>
      <c r="B95" s="2" t="s">
        <v>72</v>
      </c>
      <c r="C95" s="2" t="s">
        <v>73</v>
      </c>
      <c r="D95" s="2"/>
      <c r="E95" s="2" t="str">
        <f>"LCR000400"</f>
        <v>LCR000400</v>
      </c>
      <c r="F95" s="3">
        <v>43012</v>
      </c>
      <c r="G95" s="2">
        <v>201804</v>
      </c>
      <c r="H95" s="2" t="s">
        <v>74</v>
      </c>
      <c r="I95" s="2" t="s">
        <v>75</v>
      </c>
      <c r="J95" s="2" t="s">
        <v>76</v>
      </c>
      <c r="K95" s="2" t="s">
        <v>77</v>
      </c>
      <c r="L95" s="2" t="s">
        <v>210</v>
      </c>
      <c r="M95" s="2" t="s">
        <v>211</v>
      </c>
      <c r="N95" s="2" t="s">
        <v>524</v>
      </c>
      <c r="O95" s="2" t="s">
        <v>81</v>
      </c>
      <c r="P95" s="2" t="str">
        <f>"144066                        "</f>
        <v xml:space="preserve">144066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9.1300000000000008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4</v>
      </c>
      <c r="BJ95" s="2">
        <v>3.9</v>
      </c>
      <c r="BK95" s="2">
        <v>4</v>
      </c>
      <c r="BL95" s="2">
        <v>81.63</v>
      </c>
      <c r="BM95" s="2">
        <v>11.43</v>
      </c>
      <c r="BN95" s="2">
        <v>93.06</v>
      </c>
      <c r="BO95" s="2">
        <v>93.06</v>
      </c>
      <c r="BP95" s="2"/>
      <c r="BQ95" s="2" t="s">
        <v>525</v>
      </c>
      <c r="BR95" s="2" t="s">
        <v>83</v>
      </c>
      <c r="BS95" s="3">
        <v>43017</v>
      </c>
      <c r="BT95" s="4">
        <v>0.5708333333333333</v>
      </c>
      <c r="BU95" s="2" t="s">
        <v>526</v>
      </c>
      <c r="BV95" s="2" t="s">
        <v>85</v>
      </c>
      <c r="BW95" s="2" t="s">
        <v>219</v>
      </c>
      <c r="BX95" s="2" t="s">
        <v>527</v>
      </c>
      <c r="BY95" s="2">
        <v>19683</v>
      </c>
      <c r="BZ95" s="2"/>
      <c r="CA95" s="2" t="s">
        <v>528</v>
      </c>
      <c r="CB95" s="2"/>
      <c r="CC95" s="2" t="s">
        <v>211</v>
      </c>
      <c r="CD95" s="2">
        <v>157</v>
      </c>
      <c r="CE95" s="2" t="s">
        <v>89</v>
      </c>
      <c r="CF95" s="5">
        <v>43018</v>
      </c>
      <c r="CG95" s="2"/>
      <c r="CH95" s="2"/>
      <c r="CI95" s="2">
        <v>2</v>
      </c>
      <c r="CJ95" s="2">
        <v>3</v>
      </c>
      <c r="CK95" s="2" t="s">
        <v>90</v>
      </c>
      <c r="CL95" s="2" t="s">
        <v>85</v>
      </c>
      <c r="CM95" s="2"/>
    </row>
    <row r="96" spans="1:91">
      <c r="A96" s="2" t="s">
        <v>71</v>
      </c>
      <c r="B96" s="2" t="s">
        <v>72</v>
      </c>
      <c r="C96" s="2" t="s">
        <v>73</v>
      </c>
      <c r="D96" s="2"/>
      <c r="E96" s="2" t="str">
        <f>"LCR000364"</f>
        <v>LCR000364</v>
      </c>
      <c r="F96" s="3">
        <v>43011</v>
      </c>
      <c r="G96" s="2">
        <v>201804</v>
      </c>
      <c r="H96" s="2" t="s">
        <v>74</v>
      </c>
      <c r="I96" s="2" t="s">
        <v>75</v>
      </c>
      <c r="J96" s="2" t="s">
        <v>76</v>
      </c>
      <c r="K96" s="2" t="s">
        <v>77</v>
      </c>
      <c r="L96" s="2" t="s">
        <v>105</v>
      </c>
      <c r="M96" s="2" t="s">
        <v>106</v>
      </c>
      <c r="N96" s="2" t="s">
        <v>529</v>
      </c>
      <c r="O96" s="2" t="s">
        <v>81</v>
      </c>
      <c r="P96" s="2" t="str">
        <f>"144022                        "</f>
        <v xml:space="preserve">144022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8.19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1.1000000000000001</v>
      </c>
      <c r="BJ96" s="2">
        <v>3.9</v>
      </c>
      <c r="BK96" s="2">
        <v>4</v>
      </c>
      <c r="BL96" s="2">
        <v>80.69</v>
      </c>
      <c r="BM96" s="2">
        <v>11.3</v>
      </c>
      <c r="BN96" s="2">
        <v>91.99</v>
      </c>
      <c r="BO96" s="2">
        <v>91.99</v>
      </c>
      <c r="BP96" s="2" t="s">
        <v>530</v>
      </c>
      <c r="BQ96" s="2" t="s">
        <v>531</v>
      </c>
      <c r="BR96" s="2" t="s">
        <v>83</v>
      </c>
      <c r="BS96" s="3">
        <v>43013</v>
      </c>
      <c r="BT96" s="4">
        <v>0.55694444444444446</v>
      </c>
      <c r="BU96" s="2" t="s">
        <v>532</v>
      </c>
      <c r="BV96" s="2" t="s">
        <v>96</v>
      </c>
      <c r="BW96" s="2"/>
      <c r="BX96" s="2"/>
      <c r="BY96" s="2">
        <v>19440.96</v>
      </c>
      <c r="BZ96" s="2"/>
      <c r="CA96" s="2" t="s">
        <v>320</v>
      </c>
      <c r="CB96" s="2"/>
      <c r="CC96" s="2" t="s">
        <v>106</v>
      </c>
      <c r="CD96" s="2">
        <v>2000</v>
      </c>
      <c r="CE96" s="2" t="s">
        <v>283</v>
      </c>
      <c r="CF96" s="5">
        <v>43014</v>
      </c>
      <c r="CG96" s="2"/>
      <c r="CH96" s="2"/>
      <c r="CI96" s="2">
        <v>2</v>
      </c>
      <c r="CJ96" s="2">
        <v>2</v>
      </c>
      <c r="CK96" s="2" t="s">
        <v>90</v>
      </c>
      <c r="CL96" s="2" t="s">
        <v>85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"LCR000432"</f>
        <v>LCR000432</v>
      </c>
      <c r="F97" s="3">
        <v>43012</v>
      </c>
      <c r="G97" s="2">
        <v>201804</v>
      </c>
      <c r="H97" s="2" t="s">
        <v>74</v>
      </c>
      <c r="I97" s="2" t="s">
        <v>75</v>
      </c>
      <c r="J97" s="2" t="s">
        <v>76</v>
      </c>
      <c r="K97" s="2" t="s">
        <v>77</v>
      </c>
      <c r="L97" s="2" t="s">
        <v>284</v>
      </c>
      <c r="M97" s="2" t="s">
        <v>285</v>
      </c>
      <c r="N97" s="2" t="s">
        <v>533</v>
      </c>
      <c r="O97" s="2" t="s">
        <v>81</v>
      </c>
      <c r="P97" s="2" t="str">
        <f>"144110                        "</f>
        <v xml:space="preserve">144110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9.1300000000000008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4</v>
      </c>
      <c r="BJ97" s="2">
        <v>3.9</v>
      </c>
      <c r="BK97" s="2">
        <v>4</v>
      </c>
      <c r="BL97" s="2">
        <v>81.63</v>
      </c>
      <c r="BM97" s="2">
        <v>11.43</v>
      </c>
      <c r="BN97" s="2">
        <v>93.06</v>
      </c>
      <c r="BO97" s="2">
        <v>93.06</v>
      </c>
      <c r="BP97" s="2"/>
      <c r="BQ97" s="2" t="s">
        <v>534</v>
      </c>
      <c r="BR97" s="2" t="s">
        <v>83</v>
      </c>
      <c r="BS97" s="3">
        <v>43017</v>
      </c>
      <c r="BT97" s="4">
        <v>0.41666666666666669</v>
      </c>
      <c r="BU97" s="2" t="s">
        <v>535</v>
      </c>
      <c r="BV97" s="2" t="s">
        <v>85</v>
      </c>
      <c r="BW97" s="2" t="s">
        <v>86</v>
      </c>
      <c r="BX97" s="2" t="s">
        <v>536</v>
      </c>
      <c r="BY97" s="2">
        <v>19683</v>
      </c>
      <c r="BZ97" s="2"/>
      <c r="CA97" s="2"/>
      <c r="CB97" s="2"/>
      <c r="CC97" s="2" t="s">
        <v>285</v>
      </c>
      <c r="CD97" s="2">
        <v>1609</v>
      </c>
      <c r="CE97" s="2" t="s">
        <v>89</v>
      </c>
      <c r="CF97" s="5">
        <v>43020</v>
      </c>
      <c r="CG97" s="2"/>
      <c r="CH97" s="2"/>
      <c r="CI97" s="2">
        <v>2</v>
      </c>
      <c r="CJ97" s="2">
        <v>3</v>
      </c>
      <c r="CK97" s="2" t="s">
        <v>90</v>
      </c>
      <c r="CL97" s="2" t="s">
        <v>85</v>
      </c>
      <c r="CM97" s="2"/>
    </row>
    <row r="98" spans="1:91">
      <c r="A98" s="2" t="s">
        <v>71</v>
      </c>
      <c r="B98" s="2" t="s">
        <v>72</v>
      </c>
      <c r="C98" s="2" t="s">
        <v>73</v>
      </c>
      <c r="D98" s="2"/>
      <c r="E98" s="2" t="str">
        <f>"LCR000415"</f>
        <v>LCR000415</v>
      </c>
      <c r="F98" s="3">
        <v>43012</v>
      </c>
      <c r="G98" s="2">
        <v>201804</v>
      </c>
      <c r="H98" s="2" t="s">
        <v>74</v>
      </c>
      <c r="I98" s="2" t="s">
        <v>75</v>
      </c>
      <c r="J98" s="2" t="s">
        <v>76</v>
      </c>
      <c r="K98" s="2" t="s">
        <v>77</v>
      </c>
      <c r="L98" s="2" t="s">
        <v>191</v>
      </c>
      <c r="M98" s="2" t="s">
        <v>192</v>
      </c>
      <c r="N98" s="2" t="s">
        <v>537</v>
      </c>
      <c r="O98" s="2" t="s">
        <v>81</v>
      </c>
      <c r="P98" s="2" t="str">
        <f>"144089                        "</f>
        <v xml:space="preserve">144089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8.7899999999999991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7</v>
      </c>
      <c r="BJ98" s="2">
        <v>6.6</v>
      </c>
      <c r="BK98" s="2">
        <v>7</v>
      </c>
      <c r="BL98" s="2">
        <v>78.790000000000006</v>
      </c>
      <c r="BM98" s="2">
        <v>11.03</v>
      </c>
      <c r="BN98" s="2">
        <v>89.82</v>
      </c>
      <c r="BO98" s="2">
        <v>89.82</v>
      </c>
      <c r="BP98" s="2"/>
      <c r="BQ98" s="2" t="s">
        <v>538</v>
      </c>
      <c r="BR98" s="2" t="s">
        <v>83</v>
      </c>
      <c r="BS98" s="3">
        <v>43012</v>
      </c>
      <c r="BT98" s="4">
        <v>0.41666666666666669</v>
      </c>
      <c r="BU98" s="2" t="s">
        <v>539</v>
      </c>
      <c r="BV98" s="2" t="s">
        <v>96</v>
      </c>
      <c r="BW98" s="2"/>
      <c r="BX98" s="2"/>
      <c r="BY98" s="2">
        <v>33075</v>
      </c>
      <c r="BZ98" s="2"/>
      <c r="CA98" s="2"/>
      <c r="CB98" s="2"/>
      <c r="CC98" s="2" t="s">
        <v>192</v>
      </c>
      <c r="CD98" s="2">
        <v>5241</v>
      </c>
      <c r="CE98" s="2" t="s">
        <v>134</v>
      </c>
      <c r="CF98" s="5">
        <v>43025</v>
      </c>
      <c r="CG98" s="2"/>
      <c r="CH98" s="2"/>
      <c r="CI98" s="2">
        <v>2</v>
      </c>
      <c r="CJ98" s="2">
        <v>-12</v>
      </c>
      <c r="CK98" s="2" t="s">
        <v>128</v>
      </c>
      <c r="CL98" s="2" t="s">
        <v>85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"LCR000388"</f>
        <v>LCR000388</v>
      </c>
      <c r="F99" s="3">
        <v>43011</v>
      </c>
      <c r="G99" s="2">
        <v>201804</v>
      </c>
      <c r="H99" s="2" t="s">
        <v>74</v>
      </c>
      <c r="I99" s="2" t="s">
        <v>75</v>
      </c>
      <c r="J99" s="2" t="s">
        <v>76</v>
      </c>
      <c r="K99" s="2" t="s">
        <v>77</v>
      </c>
      <c r="L99" s="2" t="s">
        <v>234</v>
      </c>
      <c r="M99" s="2" t="s">
        <v>235</v>
      </c>
      <c r="N99" s="2" t="s">
        <v>540</v>
      </c>
      <c r="O99" s="2" t="s">
        <v>81</v>
      </c>
      <c r="P99" s="2" t="str">
        <f>"144019                        "</f>
        <v xml:space="preserve">144019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8.19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3.7</v>
      </c>
      <c r="BJ99" s="2">
        <v>8.8000000000000007</v>
      </c>
      <c r="BK99" s="2">
        <v>9</v>
      </c>
      <c r="BL99" s="2">
        <v>80.69</v>
      </c>
      <c r="BM99" s="2">
        <v>11.3</v>
      </c>
      <c r="BN99" s="2">
        <v>91.99</v>
      </c>
      <c r="BO99" s="2">
        <v>91.99</v>
      </c>
      <c r="BP99" s="2"/>
      <c r="BQ99" s="2" t="s">
        <v>541</v>
      </c>
      <c r="BR99" s="2" t="s">
        <v>83</v>
      </c>
      <c r="BS99" s="3">
        <v>43013</v>
      </c>
      <c r="BT99" s="4">
        <v>0.7680555555555556</v>
      </c>
      <c r="BU99" s="2" t="s">
        <v>542</v>
      </c>
      <c r="BV99" s="2" t="s">
        <v>85</v>
      </c>
      <c r="BW99" s="2"/>
      <c r="BX99" s="2"/>
      <c r="BY99" s="2">
        <v>43852.9</v>
      </c>
      <c r="BZ99" s="2"/>
      <c r="CA99" s="2" t="s">
        <v>203</v>
      </c>
      <c r="CB99" s="2"/>
      <c r="CC99" s="2" t="s">
        <v>235</v>
      </c>
      <c r="CD99" s="2">
        <v>4006</v>
      </c>
      <c r="CE99" s="2" t="s">
        <v>283</v>
      </c>
      <c r="CF99" s="5">
        <v>43014</v>
      </c>
      <c r="CG99" s="2"/>
      <c r="CH99" s="2"/>
      <c r="CI99" s="2">
        <v>2</v>
      </c>
      <c r="CJ99" s="2">
        <v>2</v>
      </c>
      <c r="CK99" s="2" t="s">
        <v>90</v>
      </c>
      <c r="CL99" s="2" t="s">
        <v>85</v>
      </c>
      <c r="CM99" s="2"/>
    </row>
    <row r="100" spans="1:91">
      <c r="A100" s="2" t="s">
        <v>71</v>
      </c>
      <c r="B100" s="2" t="s">
        <v>72</v>
      </c>
      <c r="C100" s="2" t="s">
        <v>73</v>
      </c>
      <c r="D100" s="2"/>
      <c r="E100" s="2" t="str">
        <f>"LCR000414"</f>
        <v>LCR000414</v>
      </c>
      <c r="F100" s="3">
        <v>43012</v>
      </c>
      <c r="G100" s="2">
        <v>201804</v>
      </c>
      <c r="H100" s="2" t="s">
        <v>74</v>
      </c>
      <c r="I100" s="2" t="s">
        <v>75</v>
      </c>
      <c r="J100" s="2" t="s">
        <v>76</v>
      </c>
      <c r="K100" s="2" t="s">
        <v>77</v>
      </c>
      <c r="L100" s="2" t="s">
        <v>105</v>
      </c>
      <c r="M100" s="2" t="s">
        <v>106</v>
      </c>
      <c r="N100" s="2" t="s">
        <v>543</v>
      </c>
      <c r="O100" s="2" t="s">
        <v>81</v>
      </c>
      <c r="P100" s="2" t="str">
        <f>"143961                        "</f>
        <v xml:space="preserve">143961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9.1300000000000008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7</v>
      </c>
      <c r="BJ100" s="2">
        <v>6.6</v>
      </c>
      <c r="BK100" s="2">
        <v>7</v>
      </c>
      <c r="BL100" s="2">
        <v>81.63</v>
      </c>
      <c r="BM100" s="2">
        <v>11.43</v>
      </c>
      <c r="BN100" s="2">
        <v>93.06</v>
      </c>
      <c r="BO100" s="2">
        <v>93.06</v>
      </c>
      <c r="BP100" s="2"/>
      <c r="BQ100" s="2" t="s">
        <v>544</v>
      </c>
      <c r="BR100" s="2" t="s">
        <v>83</v>
      </c>
      <c r="BS100" s="3">
        <v>43018</v>
      </c>
      <c r="BT100" s="4">
        <v>0.55069444444444449</v>
      </c>
      <c r="BU100" s="2" t="s">
        <v>545</v>
      </c>
      <c r="BV100" s="2" t="s">
        <v>85</v>
      </c>
      <c r="BW100" s="2" t="s">
        <v>497</v>
      </c>
      <c r="BX100" s="2" t="s">
        <v>546</v>
      </c>
      <c r="BY100" s="2">
        <v>33075</v>
      </c>
      <c r="BZ100" s="2"/>
      <c r="CA100" s="2" t="s">
        <v>547</v>
      </c>
      <c r="CB100" s="2"/>
      <c r="CC100" s="2" t="s">
        <v>106</v>
      </c>
      <c r="CD100" s="2">
        <v>2191</v>
      </c>
      <c r="CE100" s="2" t="s">
        <v>134</v>
      </c>
      <c r="CF100" s="5">
        <v>43020</v>
      </c>
      <c r="CG100" s="2"/>
      <c r="CH100" s="2"/>
      <c r="CI100" s="2">
        <v>2</v>
      </c>
      <c r="CJ100" s="2">
        <v>4</v>
      </c>
      <c r="CK100" s="2" t="s">
        <v>90</v>
      </c>
      <c r="CL100" s="2" t="s">
        <v>85</v>
      </c>
      <c r="CM100" s="2"/>
    </row>
    <row r="101" spans="1:91">
      <c r="A101" s="2" t="s">
        <v>71</v>
      </c>
      <c r="B101" s="2" t="s">
        <v>72</v>
      </c>
      <c r="C101" s="2" t="s">
        <v>73</v>
      </c>
      <c r="D101" s="2"/>
      <c r="E101" s="2" t="str">
        <f>"LCR000391"</f>
        <v>LCR000391</v>
      </c>
      <c r="F101" s="3">
        <v>43011</v>
      </c>
      <c r="G101" s="2">
        <v>201804</v>
      </c>
      <c r="H101" s="2" t="s">
        <v>74</v>
      </c>
      <c r="I101" s="2" t="s">
        <v>75</v>
      </c>
      <c r="J101" s="2" t="s">
        <v>76</v>
      </c>
      <c r="K101" s="2" t="s">
        <v>77</v>
      </c>
      <c r="L101" s="2" t="s">
        <v>149</v>
      </c>
      <c r="M101" s="2" t="s">
        <v>150</v>
      </c>
      <c r="N101" s="2" t="s">
        <v>548</v>
      </c>
      <c r="O101" s="2" t="s">
        <v>81</v>
      </c>
      <c r="P101" s="2" t="str">
        <f>"144047                        "</f>
        <v xml:space="preserve">144047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5.46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3</v>
      </c>
      <c r="BJ101" s="2">
        <v>8.3000000000000007</v>
      </c>
      <c r="BK101" s="2">
        <v>9</v>
      </c>
      <c r="BL101" s="2">
        <v>55.46</v>
      </c>
      <c r="BM101" s="2">
        <v>7.76</v>
      </c>
      <c r="BN101" s="2">
        <v>63.22</v>
      </c>
      <c r="BO101" s="2">
        <v>63.22</v>
      </c>
      <c r="BP101" s="2"/>
      <c r="BQ101" s="2" t="s">
        <v>549</v>
      </c>
      <c r="BR101" s="2" t="s">
        <v>83</v>
      </c>
      <c r="BS101" s="3">
        <v>43012</v>
      </c>
      <c r="BT101" s="4">
        <v>0.41666666666666669</v>
      </c>
      <c r="BU101" s="2" t="s">
        <v>342</v>
      </c>
      <c r="BV101" s="2" t="s">
        <v>96</v>
      </c>
      <c r="BW101" s="2"/>
      <c r="BX101" s="2"/>
      <c r="BY101" s="2">
        <v>41291.1</v>
      </c>
      <c r="BZ101" s="2"/>
      <c r="CA101" s="2"/>
      <c r="CB101" s="2"/>
      <c r="CC101" s="2" t="s">
        <v>150</v>
      </c>
      <c r="CD101" s="2">
        <v>7700</v>
      </c>
      <c r="CE101" s="2" t="s">
        <v>283</v>
      </c>
      <c r="CF101" s="5">
        <v>43013</v>
      </c>
      <c r="CG101" s="2"/>
      <c r="CH101" s="2"/>
      <c r="CI101" s="2">
        <v>1</v>
      </c>
      <c r="CJ101" s="2">
        <v>1</v>
      </c>
      <c r="CK101" s="2" t="s">
        <v>154</v>
      </c>
      <c r="CL101" s="2" t="s">
        <v>85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"LCR000412"</f>
        <v>LCR000412</v>
      </c>
      <c r="F102" s="3">
        <v>43012</v>
      </c>
      <c r="G102" s="2">
        <v>201804</v>
      </c>
      <c r="H102" s="2" t="s">
        <v>74</v>
      </c>
      <c r="I102" s="2" t="s">
        <v>75</v>
      </c>
      <c r="J102" s="2" t="s">
        <v>76</v>
      </c>
      <c r="K102" s="2" t="s">
        <v>77</v>
      </c>
      <c r="L102" s="2" t="s">
        <v>129</v>
      </c>
      <c r="M102" s="2" t="s">
        <v>130</v>
      </c>
      <c r="N102" s="2" t="s">
        <v>550</v>
      </c>
      <c r="O102" s="2" t="s">
        <v>81</v>
      </c>
      <c r="P102" s="2" t="str">
        <f>"144023                        "</f>
        <v xml:space="preserve">144023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9.1300000000000008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7</v>
      </c>
      <c r="BJ102" s="2">
        <v>6.6</v>
      </c>
      <c r="BK102" s="2">
        <v>7</v>
      </c>
      <c r="BL102" s="2">
        <v>81.63</v>
      </c>
      <c r="BM102" s="2">
        <v>11.43</v>
      </c>
      <c r="BN102" s="2">
        <v>93.06</v>
      </c>
      <c r="BO102" s="2">
        <v>93.06</v>
      </c>
      <c r="BP102" s="2"/>
      <c r="BQ102" s="2" t="s">
        <v>551</v>
      </c>
      <c r="BR102" s="2" t="s">
        <v>83</v>
      </c>
      <c r="BS102" s="3">
        <v>43018</v>
      </c>
      <c r="BT102" s="4">
        <v>0.54791666666666672</v>
      </c>
      <c r="BU102" s="2" t="s">
        <v>551</v>
      </c>
      <c r="BV102" s="2" t="s">
        <v>85</v>
      </c>
      <c r="BW102" s="2" t="s">
        <v>497</v>
      </c>
      <c r="BX102" s="2" t="s">
        <v>498</v>
      </c>
      <c r="BY102" s="2">
        <v>33075</v>
      </c>
      <c r="BZ102" s="2"/>
      <c r="CA102" s="2" t="s">
        <v>133</v>
      </c>
      <c r="CB102" s="2"/>
      <c r="CC102" s="2" t="s">
        <v>130</v>
      </c>
      <c r="CD102" s="2">
        <v>1685</v>
      </c>
      <c r="CE102" s="2" t="s">
        <v>134</v>
      </c>
      <c r="CF102" s="5">
        <v>43020</v>
      </c>
      <c r="CG102" s="2"/>
      <c r="CH102" s="2"/>
      <c r="CI102" s="2">
        <v>2</v>
      </c>
      <c r="CJ102" s="2">
        <v>4</v>
      </c>
      <c r="CK102" s="2" t="s">
        <v>90</v>
      </c>
      <c r="CL102" s="2" t="s">
        <v>85</v>
      </c>
      <c r="CM102" s="2"/>
    </row>
    <row r="103" spans="1:91">
      <c r="A103" s="2" t="s">
        <v>71</v>
      </c>
      <c r="B103" s="2" t="s">
        <v>72</v>
      </c>
      <c r="C103" s="2" t="s">
        <v>73</v>
      </c>
      <c r="D103" s="2"/>
      <c r="E103" s="2" t="str">
        <f>"LCR000392"</f>
        <v>LCR000392</v>
      </c>
      <c r="F103" s="3">
        <v>43011</v>
      </c>
      <c r="G103" s="2">
        <v>201804</v>
      </c>
      <c r="H103" s="2" t="s">
        <v>74</v>
      </c>
      <c r="I103" s="2" t="s">
        <v>75</v>
      </c>
      <c r="J103" s="2" t="s">
        <v>76</v>
      </c>
      <c r="K103" s="2" t="s">
        <v>77</v>
      </c>
      <c r="L103" s="2" t="s">
        <v>552</v>
      </c>
      <c r="M103" s="2" t="s">
        <v>553</v>
      </c>
      <c r="N103" s="2" t="s">
        <v>554</v>
      </c>
      <c r="O103" s="2" t="s">
        <v>81</v>
      </c>
      <c r="P103" s="2" t="str">
        <f>"143989                        "</f>
        <v xml:space="preserve">143989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16.32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11.8</v>
      </c>
      <c r="BJ103" s="2">
        <v>19</v>
      </c>
      <c r="BK103" s="2">
        <v>19</v>
      </c>
      <c r="BL103" s="2">
        <v>155.72</v>
      </c>
      <c r="BM103" s="2">
        <v>21.8</v>
      </c>
      <c r="BN103" s="2">
        <v>177.52</v>
      </c>
      <c r="BO103" s="2">
        <v>177.52</v>
      </c>
      <c r="BP103" s="2"/>
      <c r="BQ103" s="2" t="s">
        <v>555</v>
      </c>
      <c r="BR103" s="2" t="s">
        <v>83</v>
      </c>
      <c r="BS103" s="3">
        <v>43014</v>
      </c>
      <c r="BT103" s="4">
        <v>0.68888888888888899</v>
      </c>
      <c r="BU103" s="2" t="s">
        <v>556</v>
      </c>
      <c r="BV103" s="2" t="s">
        <v>85</v>
      </c>
      <c r="BW103" s="2"/>
      <c r="BX103" s="2"/>
      <c r="BY103" s="2">
        <v>94916.1</v>
      </c>
      <c r="BZ103" s="2"/>
      <c r="CA103" s="2" t="s">
        <v>557</v>
      </c>
      <c r="CB103" s="2"/>
      <c r="CC103" s="2" t="s">
        <v>553</v>
      </c>
      <c r="CD103" s="2">
        <v>3170</v>
      </c>
      <c r="CE103" s="2" t="s">
        <v>283</v>
      </c>
      <c r="CF103" s="5">
        <v>43018</v>
      </c>
      <c r="CG103" s="2"/>
      <c r="CH103" s="2"/>
      <c r="CI103" s="2">
        <v>2</v>
      </c>
      <c r="CJ103" s="2">
        <v>3</v>
      </c>
      <c r="CK103" s="2" t="s">
        <v>181</v>
      </c>
      <c r="CL103" s="2" t="s">
        <v>85</v>
      </c>
      <c r="CM103" s="2"/>
    </row>
    <row r="104" spans="1:91">
      <c r="A104" s="2" t="s">
        <v>71</v>
      </c>
      <c r="B104" s="2" t="s">
        <v>72</v>
      </c>
      <c r="C104" s="2" t="s">
        <v>73</v>
      </c>
      <c r="D104" s="2"/>
      <c r="E104" s="2" t="str">
        <f>"LCR000413"</f>
        <v>LCR000413</v>
      </c>
      <c r="F104" s="3">
        <v>43012</v>
      </c>
      <c r="G104" s="2">
        <v>201804</v>
      </c>
      <c r="H104" s="2" t="s">
        <v>74</v>
      </c>
      <c r="I104" s="2" t="s">
        <v>75</v>
      </c>
      <c r="J104" s="2" t="s">
        <v>76</v>
      </c>
      <c r="K104" s="2" t="s">
        <v>77</v>
      </c>
      <c r="L104" s="2" t="s">
        <v>149</v>
      </c>
      <c r="M104" s="2" t="s">
        <v>150</v>
      </c>
      <c r="N104" s="2" t="s">
        <v>298</v>
      </c>
      <c r="O104" s="2" t="s">
        <v>81</v>
      </c>
      <c r="P104" s="2" t="str">
        <f>"144044                        "</f>
        <v xml:space="preserve">144044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6.09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4</v>
      </c>
      <c r="BJ104" s="2">
        <v>3.9</v>
      </c>
      <c r="BK104" s="2">
        <v>4</v>
      </c>
      <c r="BL104" s="2">
        <v>56.09</v>
      </c>
      <c r="BM104" s="2">
        <v>7.85</v>
      </c>
      <c r="BN104" s="2">
        <v>63.94</v>
      </c>
      <c r="BO104" s="2">
        <v>63.94</v>
      </c>
      <c r="BP104" s="2"/>
      <c r="BQ104" s="2" t="s">
        <v>558</v>
      </c>
      <c r="BR104" s="2" t="s">
        <v>83</v>
      </c>
      <c r="BS104" s="3">
        <v>43013</v>
      </c>
      <c r="BT104" s="4">
        <v>0.40138888888888885</v>
      </c>
      <c r="BU104" s="2" t="s">
        <v>559</v>
      </c>
      <c r="BV104" s="2" t="s">
        <v>96</v>
      </c>
      <c r="BW104" s="2"/>
      <c r="BX104" s="2"/>
      <c r="BY104" s="2">
        <v>19683</v>
      </c>
      <c r="BZ104" s="2"/>
      <c r="CA104" s="2" t="s">
        <v>479</v>
      </c>
      <c r="CB104" s="2"/>
      <c r="CC104" s="2" t="s">
        <v>150</v>
      </c>
      <c r="CD104" s="2">
        <v>7780</v>
      </c>
      <c r="CE104" s="2" t="s">
        <v>89</v>
      </c>
      <c r="CF104" s="5">
        <v>43014</v>
      </c>
      <c r="CG104" s="2"/>
      <c r="CH104" s="2"/>
      <c r="CI104" s="2">
        <v>1</v>
      </c>
      <c r="CJ104" s="2">
        <v>1</v>
      </c>
      <c r="CK104" s="2" t="s">
        <v>154</v>
      </c>
      <c r="CL104" s="2" t="s">
        <v>85</v>
      </c>
      <c r="CM104" s="2"/>
    </row>
    <row r="105" spans="1:91">
      <c r="A105" s="2" t="s">
        <v>71</v>
      </c>
      <c r="B105" s="2" t="s">
        <v>72</v>
      </c>
      <c r="C105" s="2" t="s">
        <v>73</v>
      </c>
      <c r="D105" s="2"/>
      <c r="E105" s="2" t="str">
        <f>"LCR000360"</f>
        <v>LCR000360</v>
      </c>
      <c r="F105" s="3">
        <v>43011</v>
      </c>
      <c r="G105" s="2">
        <v>201804</v>
      </c>
      <c r="H105" s="2" t="s">
        <v>74</v>
      </c>
      <c r="I105" s="2" t="s">
        <v>75</v>
      </c>
      <c r="J105" s="2" t="s">
        <v>76</v>
      </c>
      <c r="K105" s="2" t="s">
        <v>77</v>
      </c>
      <c r="L105" s="2" t="s">
        <v>210</v>
      </c>
      <c r="M105" s="2" t="s">
        <v>211</v>
      </c>
      <c r="N105" s="2" t="s">
        <v>560</v>
      </c>
      <c r="O105" s="2" t="s">
        <v>81</v>
      </c>
      <c r="P105" s="2" t="str">
        <f>"144015                        "</f>
        <v xml:space="preserve">144015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8.19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1.1000000000000001</v>
      </c>
      <c r="BJ105" s="2">
        <v>3.8</v>
      </c>
      <c r="BK105" s="2">
        <v>4</v>
      </c>
      <c r="BL105" s="2">
        <v>80.69</v>
      </c>
      <c r="BM105" s="2">
        <v>11.3</v>
      </c>
      <c r="BN105" s="2">
        <v>91.99</v>
      </c>
      <c r="BO105" s="2">
        <v>91.99</v>
      </c>
      <c r="BP105" s="2"/>
      <c r="BQ105" s="2" t="s">
        <v>561</v>
      </c>
      <c r="BR105" s="2" t="s">
        <v>83</v>
      </c>
      <c r="BS105" s="3">
        <v>43013</v>
      </c>
      <c r="BT105" s="4">
        <v>0.71458333333333324</v>
      </c>
      <c r="BU105" s="2" t="s">
        <v>562</v>
      </c>
      <c r="BV105" s="2" t="s">
        <v>96</v>
      </c>
      <c r="BW105" s="2"/>
      <c r="BX105" s="2"/>
      <c r="BY105" s="2">
        <v>19077.05</v>
      </c>
      <c r="BZ105" s="2"/>
      <c r="CA105" s="2"/>
      <c r="CB105" s="2"/>
      <c r="CC105" s="2" t="s">
        <v>211</v>
      </c>
      <c r="CD105" s="2">
        <v>157</v>
      </c>
      <c r="CE105" s="2" t="s">
        <v>283</v>
      </c>
      <c r="CF105" s="5">
        <v>43014</v>
      </c>
      <c r="CG105" s="2"/>
      <c r="CH105" s="2"/>
      <c r="CI105" s="2">
        <v>2</v>
      </c>
      <c r="CJ105" s="2">
        <v>2</v>
      </c>
      <c r="CK105" s="2" t="s">
        <v>90</v>
      </c>
      <c r="CL105" s="2" t="s">
        <v>85</v>
      </c>
      <c r="CM105" s="2"/>
    </row>
    <row r="106" spans="1:91">
      <c r="A106" s="2" t="s">
        <v>71</v>
      </c>
      <c r="B106" s="2" t="s">
        <v>72</v>
      </c>
      <c r="C106" s="2" t="s">
        <v>73</v>
      </c>
      <c r="D106" s="2"/>
      <c r="E106" s="2" t="str">
        <f>"LCR000401"</f>
        <v>LCR000401</v>
      </c>
      <c r="F106" s="3">
        <v>43012</v>
      </c>
      <c r="G106" s="2">
        <v>201804</v>
      </c>
      <c r="H106" s="2" t="s">
        <v>74</v>
      </c>
      <c r="I106" s="2" t="s">
        <v>75</v>
      </c>
      <c r="J106" s="2" t="s">
        <v>76</v>
      </c>
      <c r="K106" s="2" t="s">
        <v>77</v>
      </c>
      <c r="L106" s="2" t="s">
        <v>563</v>
      </c>
      <c r="M106" s="2" t="s">
        <v>564</v>
      </c>
      <c r="N106" s="2" t="s">
        <v>565</v>
      </c>
      <c r="O106" s="2" t="s">
        <v>81</v>
      </c>
      <c r="P106" s="2" t="str">
        <f>"144062                        "</f>
        <v xml:space="preserve">144062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12.85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4</v>
      </c>
      <c r="BJ106" s="2">
        <v>3.9</v>
      </c>
      <c r="BK106" s="2">
        <v>4</v>
      </c>
      <c r="BL106" s="2">
        <v>112.85</v>
      </c>
      <c r="BM106" s="2">
        <v>15.8</v>
      </c>
      <c r="BN106" s="2">
        <v>128.65</v>
      </c>
      <c r="BO106" s="2">
        <v>128.65</v>
      </c>
      <c r="BP106" s="2"/>
      <c r="BQ106" s="2" t="s">
        <v>566</v>
      </c>
      <c r="BR106" s="2" t="s">
        <v>83</v>
      </c>
      <c r="BS106" s="3">
        <v>43019</v>
      </c>
      <c r="BT106" s="4">
        <v>0.57013888888888886</v>
      </c>
      <c r="BU106" s="2" t="s">
        <v>567</v>
      </c>
      <c r="BV106" s="2" t="s">
        <v>85</v>
      </c>
      <c r="BW106" s="2" t="s">
        <v>172</v>
      </c>
      <c r="BX106" s="2" t="s">
        <v>87</v>
      </c>
      <c r="BY106" s="2">
        <v>19683</v>
      </c>
      <c r="BZ106" s="2"/>
      <c r="CA106" s="2"/>
      <c r="CB106" s="2"/>
      <c r="CC106" s="2" t="s">
        <v>564</v>
      </c>
      <c r="CD106" s="2">
        <v>3280</v>
      </c>
      <c r="CE106" s="2" t="s">
        <v>89</v>
      </c>
      <c r="CF106" s="5">
        <v>43019</v>
      </c>
      <c r="CG106" s="2"/>
      <c r="CH106" s="2"/>
      <c r="CI106" s="2">
        <v>2</v>
      </c>
      <c r="CJ106" s="2">
        <v>5</v>
      </c>
      <c r="CK106" s="2" t="s">
        <v>148</v>
      </c>
      <c r="CL106" s="2" t="s">
        <v>85</v>
      </c>
      <c r="CM106" s="2"/>
    </row>
    <row r="107" spans="1:91">
      <c r="A107" s="2" t="s">
        <v>71</v>
      </c>
      <c r="B107" s="2" t="s">
        <v>72</v>
      </c>
      <c r="C107" s="2" t="s">
        <v>73</v>
      </c>
      <c r="D107" s="2"/>
      <c r="E107" s="2" t="str">
        <f>"LCR000387"</f>
        <v>LCR000387</v>
      </c>
      <c r="F107" s="3">
        <v>43011</v>
      </c>
      <c r="G107" s="2">
        <v>201804</v>
      </c>
      <c r="H107" s="2" t="s">
        <v>74</v>
      </c>
      <c r="I107" s="2" t="s">
        <v>75</v>
      </c>
      <c r="J107" s="2" t="s">
        <v>76</v>
      </c>
      <c r="K107" s="2" t="s">
        <v>77</v>
      </c>
      <c r="L107" s="2" t="s">
        <v>135</v>
      </c>
      <c r="M107" s="2" t="s">
        <v>136</v>
      </c>
      <c r="N107" s="2" t="s">
        <v>568</v>
      </c>
      <c r="O107" s="2" t="s">
        <v>81</v>
      </c>
      <c r="P107" s="2" t="str">
        <f>"144034                        "</f>
        <v xml:space="preserve">144034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8.19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3</v>
      </c>
      <c r="BJ107" s="2">
        <v>8</v>
      </c>
      <c r="BK107" s="2">
        <v>8</v>
      </c>
      <c r="BL107" s="2">
        <v>80.69</v>
      </c>
      <c r="BM107" s="2">
        <v>11.3</v>
      </c>
      <c r="BN107" s="2">
        <v>91.99</v>
      </c>
      <c r="BO107" s="2">
        <v>91.99</v>
      </c>
      <c r="BP107" s="2"/>
      <c r="BQ107" s="2" t="s">
        <v>569</v>
      </c>
      <c r="BR107" s="2" t="s">
        <v>83</v>
      </c>
      <c r="BS107" s="3">
        <v>43013</v>
      </c>
      <c r="BT107" s="4">
        <v>0.62152777777777779</v>
      </c>
      <c r="BU107" s="2" t="s">
        <v>570</v>
      </c>
      <c r="BV107" s="2" t="s">
        <v>96</v>
      </c>
      <c r="BW107" s="2"/>
      <c r="BX107" s="2"/>
      <c r="BY107" s="2">
        <v>39916.879999999997</v>
      </c>
      <c r="BZ107" s="2"/>
      <c r="CA107" s="2" t="s">
        <v>571</v>
      </c>
      <c r="CB107" s="2"/>
      <c r="CC107" s="2" t="s">
        <v>136</v>
      </c>
      <c r="CD107" s="2">
        <v>3610</v>
      </c>
      <c r="CE107" s="2" t="s">
        <v>283</v>
      </c>
      <c r="CF107" s="5">
        <v>43014</v>
      </c>
      <c r="CG107" s="2"/>
      <c r="CH107" s="2"/>
      <c r="CI107" s="2">
        <v>2</v>
      </c>
      <c r="CJ107" s="2">
        <v>2</v>
      </c>
      <c r="CK107" s="2" t="s">
        <v>90</v>
      </c>
      <c r="CL107" s="2" t="s">
        <v>85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"LCR000411"</f>
        <v>LCR000411</v>
      </c>
      <c r="F108" s="3">
        <v>43012</v>
      </c>
      <c r="G108" s="2">
        <v>201804</v>
      </c>
      <c r="H108" s="2" t="s">
        <v>74</v>
      </c>
      <c r="I108" s="2" t="s">
        <v>75</v>
      </c>
      <c r="J108" s="2" t="s">
        <v>76</v>
      </c>
      <c r="K108" s="2" t="s">
        <v>77</v>
      </c>
      <c r="L108" s="2" t="s">
        <v>149</v>
      </c>
      <c r="M108" s="2" t="s">
        <v>150</v>
      </c>
      <c r="N108" s="2" t="s">
        <v>572</v>
      </c>
      <c r="O108" s="2" t="s">
        <v>81</v>
      </c>
      <c r="P108" s="2" t="str">
        <f>"144070                        "</f>
        <v xml:space="preserve">144070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6.09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1</v>
      </c>
      <c r="BI108" s="2">
        <v>4</v>
      </c>
      <c r="BJ108" s="2">
        <v>3.9</v>
      </c>
      <c r="BK108" s="2">
        <v>4</v>
      </c>
      <c r="BL108" s="2">
        <v>56.09</v>
      </c>
      <c r="BM108" s="2">
        <v>7.85</v>
      </c>
      <c r="BN108" s="2">
        <v>63.94</v>
      </c>
      <c r="BO108" s="2">
        <v>63.94</v>
      </c>
      <c r="BP108" s="2"/>
      <c r="BQ108" s="2" t="s">
        <v>573</v>
      </c>
      <c r="BR108" s="2" t="s">
        <v>83</v>
      </c>
      <c r="BS108" s="3">
        <v>43013</v>
      </c>
      <c r="BT108" s="4">
        <v>0.58680555555555558</v>
      </c>
      <c r="BU108" s="2" t="s">
        <v>573</v>
      </c>
      <c r="BV108" s="2" t="s">
        <v>96</v>
      </c>
      <c r="BW108" s="2"/>
      <c r="BX108" s="2"/>
      <c r="BY108" s="2">
        <v>19683</v>
      </c>
      <c r="BZ108" s="2"/>
      <c r="CA108" s="2" t="s">
        <v>574</v>
      </c>
      <c r="CB108" s="2"/>
      <c r="CC108" s="2" t="s">
        <v>150</v>
      </c>
      <c r="CD108" s="2">
        <v>7405</v>
      </c>
      <c r="CE108" s="2" t="s">
        <v>89</v>
      </c>
      <c r="CF108" s="5">
        <v>43014</v>
      </c>
      <c r="CG108" s="2"/>
      <c r="CH108" s="2"/>
      <c r="CI108" s="2">
        <v>1</v>
      </c>
      <c r="CJ108" s="2">
        <v>1</v>
      </c>
      <c r="CK108" s="2" t="s">
        <v>154</v>
      </c>
      <c r="CL108" s="2" t="s">
        <v>85</v>
      </c>
      <c r="CM108" s="2"/>
    </row>
    <row r="109" spans="1:91">
      <c r="A109" s="2" t="s">
        <v>71</v>
      </c>
      <c r="B109" s="2" t="s">
        <v>72</v>
      </c>
      <c r="C109" s="2" t="s">
        <v>73</v>
      </c>
      <c r="D109" s="2"/>
      <c r="E109" s="2" t="str">
        <f>"LCR000386"</f>
        <v>LCR000386</v>
      </c>
      <c r="F109" s="3">
        <v>43011</v>
      </c>
      <c r="G109" s="2">
        <v>201804</v>
      </c>
      <c r="H109" s="2" t="s">
        <v>74</v>
      </c>
      <c r="I109" s="2" t="s">
        <v>75</v>
      </c>
      <c r="J109" s="2" t="s">
        <v>76</v>
      </c>
      <c r="K109" s="2" t="s">
        <v>77</v>
      </c>
      <c r="L109" s="2" t="s">
        <v>575</v>
      </c>
      <c r="M109" s="2" t="s">
        <v>576</v>
      </c>
      <c r="N109" s="2" t="s">
        <v>577</v>
      </c>
      <c r="O109" s="2" t="s">
        <v>81</v>
      </c>
      <c r="P109" s="2" t="str">
        <f>"144042                        "</f>
        <v xml:space="preserve">144042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5.46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2.5</v>
      </c>
      <c r="BJ109" s="2">
        <v>7.8</v>
      </c>
      <c r="BK109" s="2">
        <v>8</v>
      </c>
      <c r="BL109" s="2">
        <v>55.46</v>
      </c>
      <c r="BM109" s="2">
        <v>7.76</v>
      </c>
      <c r="BN109" s="2">
        <v>63.22</v>
      </c>
      <c r="BO109" s="2">
        <v>63.22</v>
      </c>
      <c r="BP109" s="2"/>
      <c r="BQ109" s="2" t="s">
        <v>578</v>
      </c>
      <c r="BR109" s="2" t="s">
        <v>83</v>
      </c>
      <c r="BS109" s="3">
        <v>43012</v>
      </c>
      <c r="BT109" s="4">
        <v>0.6694444444444444</v>
      </c>
      <c r="BU109" s="2" t="s">
        <v>579</v>
      </c>
      <c r="BV109" s="2" t="s">
        <v>96</v>
      </c>
      <c r="BW109" s="2"/>
      <c r="BX109" s="2"/>
      <c r="BY109" s="2">
        <v>39177.599999999999</v>
      </c>
      <c r="BZ109" s="2"/>
      <c r="CA109" s="2"/>
      <c r="CB109" s="2"/>
      <c r="CC109" s="2" t="s">
        <v>576</v>
      </c>
      <c r="CD109" s="2">
        <v>6600</v>
      </c>
      <c r="CE109" s="2" t="s">
        <v>283</v>
      </c>
      <c r="CF109" s="5">
        <v>43013</v>
      </c>
      <c r="CG109" s="2"/>
      <c r="CH109" s="2"/>
      <c r="CI109" s="2">
        <v>1</v>
      </c>
      <c r="CJ109" s="2">
        <v>1</v>
      </c>
      <c r="CK109" s="2" t="s">
        <v>233</v>
      </c>
      <c r="CL109" s="2" t="s">
        <v>85</v>
      </c>
      <c r="CM109" s="2"/>
    </row>
    <row r="110" spans="1:91">
      <c r="A110" s="2" t="s">
        <v>71</v>
      </c>
      <c r="B110" s="2" t="s">
        <v>72</v>
      </c>
      <c r="C110" s="2" t="s">
        <v>73</v>
      </c>
      <c r="D110" s="2"/>
      <c r="E110" s="2" t="str">
        <f>"LCR000408"</f>
        <v>LCR000408</v>
      </c>
      <c r="F110" s="3">
        <v>43012</v>
      </c>
      <c r="G110" s="2">
        <v>201804</v>
      </c>
      <c r="H110" s="2" t="s">
        <v>74</v>
      </c>
      <c r="I110" s="2" t="s">
        <v>75</v>
      </c>
      <c r="J110" s="2" t="s">
        <v>76</v>
      </c>
      <c r="K110" s="2" t="s">
        <v>77</v>
      </c>
      <c r="L110" s="2" t="s">
        <v>575</v>
      </c>
      <c r="M110" s="2" t="s">
        <v>576</v>
      </c>
      <c r="N110" s="2" t="s">
        <v>580</v>
      </c>
      <c r="O110" s="2" t="s">
        <v>81</v>
      </c>
      <c r="P110" s="2" t="str">
        <f>"144029                        "</f>
        <v xml:space="preserve">144029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6.09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7</v>
      </c>
      <c r="BJ110" s="2">
        <v>6.6</v>
      </c>
      <c r="BK110" s="2">
        <v>7</v>
      </c>
      <c r="BL110" s="2">
        <v>56.09</v>
      </c>
      <c r="BM110" s="2">
        <v>7.85</v>
      </c>
      <c r="BN110" s="2">
        <v>63.94</v>
      </c>
      <c r="BO110" s="2">
        <v>63.94</v>
      </c>
      <c r="BP110" s="2"/>
      <c r="BQ110" s="2" t="s">
        <v>581</v>
      </c>
      <c r="BR110" s="2" t="s">
        <v>83</v>
      </c>
      <c r="BS110" s="3">
        <v>43014</v>
      </c>
      <c r="BT110" s="4">
        <v>0.6875</v>
      </c>
      <c r="BU110" s="2" t="s">
        <v>582</v>
      </c>
      <c r="BV110" s="2" t="s">
        <v>85</v>
      </c>
      <c r="BW110" s="2" t="s">
        <v>86</v>
      </c>
      <c r="BX110" s="2" t="s">
        <v>583</v>
      </c>
      <c r="BY110" s="2">
        <v>33075</v>
      </c>
      <c r="BZ110" s="2"/>
      <c r="CA110" s="2"/>
      <c r="CB110" s="2"/>
      <c r="CC110" s="2" t="s">
        <v>576</v>
      </c>
      <c r="CD110" s="2">
        <v>6600</v>
      </c>
      <c r="CE110" s="2" t="s">
        <v>134</v>
      </c>
      <c r="CF110" s="5">
        <v>43017</v>
      </c>
      <c r="CG110" s="2"/>
      <c r="CH110" s="2"/>
      <c r="CI110" s="2">
        <v>1</v>
      </c>
      <c r="CJ110" s="2">
        <v>2</v>
      </c>
      <c r="CK110" s="2" t="s">
        <v>233</v>
      </c>
      <c r="CL110" s="2" t="s">
        <v>85</v>
      </c>
      <c r="CM110" s="2"/>
    </row>
    <row r="111" spans="1:91">
      <c r="A111" s="2" t="s">
        <v>71</v>
      </c>
      <c r="B111" s="2" t="s">
        <v>72</v>
      </c>
      <c r="C111" s="2" t="s">
        <v>73</v>
      </c>
      <c r="D111" s="2"/>
      <c r="E111" s="2" t="str">
        <f>"LCR000363"</f>
        <v>LCR000363</v>
      </c>
      <c r="F111" s="3">
        <v>43011</v>
      </c>
      <c r="G111" s="2">
        <v>201804</v>
      </c>
      <c r="H111" s="2" t="s">
        <v>74</v>
      </c>
      <c r="I111" s="2" t="s">
        <v>75</v>
      </c>
      <c r="J111" s="2" t="s">
        <v>76</v>
      </c>
      <c r="K111" s="2" t="s">
        <v>77</v>
      </c>
      <c r="L111" s="2" t="s">
        <v>584</v>
      </c>
      <c r="M111" s="2" t="s">
        <v>585</v>
      </c>
      <c r="N111" s="2" t="s">
        <v>586</v>
      </c>
      <c r="O111" s="2" t="s">
        <v>81</v>
      </c>
      <c r="P111" s="2" t="str">
        <f>"144021                        "</f>
        <v xml:space="preserve">144021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8.19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1.1000000000000001</v>
      </c>
      <c r="BJ111" s="2">
        <v>3.8</v>
      </c>
      <c r="BK111" s="2">
        <v>4</v>
      </c>
      <c r="BL111" s="2">
        <v>80.69</v>
      </c>
      <c r="BM111" s="2">
        <v>11.3</v>
      </c>
      <c r="BN111" s="2">
        <v>91.99</v>
      </c>
      <c r="BO111" s="2">
        <v>91.99</v>
      </c>
      <c r="BP111" s="2"/>
      <c r="BQ111" s="2" t="s">
        <v>587</v>
      </c>
      <c r="BR111" s="2" t="s">
        <v>83</v>
      </c>
      <c r="BS111" s="3">
        <v>43013</v>
      </c>
      <c r="BT111" s="4">
        <v>0.67708333333333337</v>
      </c>
      <c r="BU111" s="2" t="s">
        <v>588</v>
      </c>
      <c r="BV111" s="2" t="s">
        <v>96</v>
      </c>
      <c r="BW111" s="2"/>
      <c r="BX111" s="2"/>
      <c r="BY111" s="2">
        <v>18910.080000000002</v>
      </c>
      <c r="BZ111" s="2"/>
      <c r="CA111" s="2" t="s">
        <v>311</v>
      </c>
      <c r="CB111" s="2"/>
      <c r="CC111" s="2" t="s">
        <v>585</v>
      </c>
      <c r="CD111" s="2">
        <v>4321</v>
      </c>
      <c r="CE111" s="2" t="s">
        <v>283</v>
      </c>
      <c r="CF111" s="5">
        <v>43014</v>
      </c>
      <c r="CG111" s="2"/>
      <c r="CH111" s="2"/>
      <c r="CI111" s="2">
        <v>2</v>
      </c>
      <c r="CJ111" s="2">
        <v>2</v>
      </c>
      <c r="CK111" s="2" t="s">
        <v>90</v>
      </c>
      <c r="CL111" s="2" t="s">
        <v>85</v>
      </c>
      <c r="CM111" s="2"/>
    </row>
    <row r="112" spans="1:91">
      <c r="A112" s="2" t="s">
        <v>71</v>
      </c>
      <c r="B112" s="2" t="s">
        <v>72</v>
      </c>
      <c r="C112" s="2" t="s">
        <v>73</v>
      </c>
      <c r="D112" s="2"/>
      <c r="E112" s="2" t="str">
        <f>"LCR000422"</f>
        <v>LCR000422</v>
      </c>
      <c r="F112" s="3">
        <v>43012</v>
      </c>
      <c r="G112" s="2">
        <v>201804</v>
      </c>
      <c r="H112" s="2" t="s">
        <v>74</v>
      </c>
      <c r="I112" s="2" t="s">
        <v>75</v>
      </c>
      <c r="J112" s="2" t="s">
        <v>76</v>
      </c>
      <c r="K112" s="2" t="s">
        <v>77</v>
      </c>
      <c r="L112" s="2" t="s">
        <v>519</v>
      </c>
      <c r="M112" s="2" t="s">
        <v>520</v>
      </c>
      <c r="N112" s="2" t="s">
        <v>589</v>
      </c>
      <c r="O112" s="2" t="s">
        <v>81</v>
      </c>
      <c r="P112" s="2" t="str">
        <f>"144068                        "</f>
        <v xml:space="preserve">144068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6.09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4</v>
      </c>
      <c r="BJ112" s="2">
        <v>3.9</v>
      </c>
      <c r="BK112" s="2">
        <v>4</v>
      </c>
      <c r="BL112" s="2">
        <v>56.09</v>
      </c>
      <c r="BM112" s="2">
        <v>7.85</v>
      </c>
      <c r="BN112" s="2">
        <v>63.94</v>
      </c>
      <c r="BO112" s="2">
        <v>63.94</v>
      </c>
      <c r="BP112" s="2"/>
      <c r="BQ112" s="2" t="s">
        <v>590</v>
      </c>
      <c r="BR112" s="2" t="s">
        <v>83</v>
      </c>
      <c r="BS112" s="3">
        <v>43013</v>
      </c>
      <c r="BT112" s="4">
        <v>0.54999999999999993</v>
      </c>
      <c r="BU112" s="2" t="s">
        <v>342</v>
      </c>
      <c r="BV112" s="2" t="s">
        <v>96</v>
      </c>
      <c r="BW112" s="2"/>
      <c r="BX112" s="2"/>
      <c r="BY112" s="2">
        <v>19683</v>
      </c>
      <c r="BZ112" s="2"/>
      <c r="CA112" s="2"/>
      <c r="CB112" s="2"/>
      <c r="CC112" s="2" t="s">
        <v>520</v>
      </c>
      <c r="CD112" s="2">
        <v>7140</v>
      </c>
      <c r="CE112" s="2" t="s">
        <v>89</v>
      </c>
      <c r="CF112" s="5">
        <v>43014</v>
      </c>
      <c r="CG112" s="2"/>
      <c r="CH112" s="2"/>
      <c r="CI112" s="2">
        <v>1</v>
      </c>
      <c r="CJ112" s="2">
        <v>1</v>
      </c>
      <c r="CK112" s="2" t="s">
        <v>154</v>
      </c>
      <c r="CL112" s="2" t="s">
        <v>85</v>
      </c>
      <c r="CM112" s="2"/>
    </row>
    <row r="113" spans="1:91">
      <c r="A113" s="2" t="s">
        <v>71</v>
      </c>
      <c r="B113" s="2" t="s">
        <v>72</v>
      </c>
      <c r="C113" s="2" t="s">
        <v>73</v>
      </c>
      <c r="D113" s="2"/>
      <c r="E113" s="2" t="str">
        <f>"LCR000417"</f>
        <v>LCR000417</v>
      </c>
      <c r="F113" s="3">
        <v>43012</v>
      </c>
      <c r="G113" s="2">
        <v>201804</v>
      </c>
      <c r="H113" s="2" t="s">
        <v>74</v>
      </c>
      <c r="I113" s="2" t="s">
        <v>75</v>
      </c>
      <c r="J113" s="2" t="s">
        <v>76</v>
      </c>
      <c r="K113" s="2" t="s">
        <v>77</v>
      </c>
      <c r="L113" s="2" t="s">
        <v>234</v>
      </c>
      <c r="M113" s="2" t="s">
        <v>235</v>
      </c>
      <c r="N113" s="2" t="s">
        <v>591</v>
      </c>
      <c r="O113" s="2" t="s">
        <v>81</v>
      </c>
      <c r="P113" s="2" t="str">
        <f>"144055                        "</f>
        <v xml:space="preserve">144055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9.1300000000000008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4</v>
      </c>
      <c r="BJ113" s="2">
        <v>3.9</v>
      </c>
      <c r="BK113" s="2">
        <v>4</v>
      </c>
      <c r="BL113" s="2">
        <v>81.63</v>
      </c>
      <c r="BM113" s="2">
        <v>11.43</v>
      </c>
      <c r="BN113" s="2">
        <v>93.06</v>
      </c>
      <c r="BO113" s="2">
        <v>93.06</v>
      </c>
      <c r="BP113" s="2"/>
      <c r="BQ113" s="2" t="s">
        <v>592</v>
      </c>
      <c r="BR113" s="2" t="s">
        <v>83</v>
      </c>
      <c r="BS113" s="3">
        <v>43014</v>
      </c>
      <c r="BT113" s="4">
        <v>0.67083333333333339</v>
      </c>
      <c r="BU113" s="2" t="s">
        <v>592</v>
      </c>
      <c r="BV113" s="2" t="s">
        <v>96</v>
      </c>
      <c r="BW113" s="2"/>
      <c r="BX113" s="2"/>
      <c r="BY113" s="2">
        <v>19683</v>
      </c>
      <c r="BZ113" s="2"/>
      <c r="CA113" s="2" t="s">
        <v>593</v>
      </c>
      <c r="CB113" s="2"/>
      <c r="CC113" s="2" t="s">
        <v>235</v>
      </c>
      <c r="CD113" s="2">
        <v>4018</v>
      </c>
      <c r="CE113" s="2" t="s">
        <v>89</v>
      </c>
      <c r="CF113" s="5">
        <v>43014</v>
      </c>
      <c r="CG113" s="2"/>
      <c r="CH113" s="2"/>
      <c r="CI113" s="2">
        <v>2</v>
      </c>
      <c r="CJ113" s="2">
        <v>2</v>
      </c>
      <c r="CK113" s="2" t="s">
        <v>90</v>
      </c>
      <c r="CL113" s="2" t="s">
        <v>85</v>
      </c>
      <c r="CM113" s="2"/>
    </row>
    <row r="114" spans="1:91">
      <c r="A114" s="2" t="s">
        <v>71</v>
      </c>
      <c r="B114" s="2" t="s">
        <v>72</v>
      </c>
      <c r="C114" s="2" t="s">
        <v>73</v>
      </c>
      <c r="D114" s="2"/>
      <c r="E114" s="2" t="str">
        <f>"LCR000419"</f>
        <v>LCR000419</v>
      </c>
      <c r="F114" s="3">
        <v>43012</v>
      </c>
      <c r="G114" s="2">
        <v>201804</v>
      </c>
      <c r="H114" s="2" t="s">
        <v>74</v>
      </c>
      <c r="I114" s="2" t="s">
        <v>75</v>
      </c>
      <c r="J114" s="2" t="s">
        <v>76</v>
      </c>
      <c r="K114" s="2" t="s">
        <v>77</v>
      </c>
      <c r="L114" s="2" t="s">
        <v>210</v>
      </c>
      <c r="M114" s="2" t="s">
        <v>211</v>
      </c>
      <c r="N114" s="2" t="s">
        <v>594</v>
      </c>
      <c r="O114" s="2" t="s">
        <v>81</v>
      </c>
      <c r="P114" s="2" t="str">
        <f>"144061                        "</f>
        <v xml:space="preserve">144061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9.1300000000000008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4</v>
      </c>
      <c r="BJ114" s="2">
        <v>3.9</v>
      </c>
      <c r="BK114" s="2">
        <v>4</v>
      </c>
      <c r="BL114" s="2">
        <v>81.63</v>
      </c>
      <c r="BM114" s="2">
        <v>11.43</v>
      </c>
      <c r="BN114" s="2">
        <v>93.06</v>
      </c>
      <c r="BO114" s="2">
        <v>93.06</v>
      </c>
      <c r="BP114" s="2"/>
      <c r="BQ114" s="2" t="s">
        <v>595</v>
      </c>
      <c r="BR114" s="2" t="s">
        <v>83</v>
      </c>
      <c r="BS114" s="3">
        <v>43017</v>
      </c>
      <c r="BT114" s="4">
        <v>0.49444444444444446</v>
      </c>
      <c r="BU114" s="2" t="s">
        <v>596</v>
      </c>
      <c r="BV114" s="2" t="s">
        <v>85</v>
      </c>
      <c r="BW114" s="2"/>
      <c r="BX114" s="2"/>
      <c r="BY114" s="2">
        <v>19683</v>
      </c>
      <c r="BZ114" s="2"/>
      <c r="CA114" s="2" t="s">
        <v>597</v>
      </c>
      <c r="CB114" s="2"/>
      <c r="CC114" s="2" t="s">
        <v>211</v>
      </c>
      <c r="CD114" s="2">
        <v>157</v>
      </c>
      <c r="CE114" s="2" t="s">
        <v>89</v>
      </c>
      <c r="CF114" s="5">
        <v>43018</v>
      </c>
      <c r="CG114" s="2"/>
      <c r="CH114" s="2"/>
      <c r="CI114" s="2">
        <v>2</v>
      </c>
      <c r="CJ114" s="2">
        <v>3</v>
      </c>
      <c r="CK114" s="2" t="s">
        <v>90</v>
      </c>
      <c r="CL114" s="2" t="s">
        <v>85</v>
      </c>
      <c r="CM114" s="2"/>
    </row>
    <row r="115" spans="1:91">
      <c r="A115" s="2" t="s">
        <v>71</v>
      </c>
      <c r="B115" s="2" t="s">
        <v>72</v>
      </c>
      <c r="C115" s="2" t="s">
        <v>73</v>
      </c>
      <c r="D115" s="2"/>
      <c r="E115" s="2" t="str">
        <f>"LCR000420"</f>
        <v>LCR000420</v>
      </c>
      <c r="F115" s="3">
        <v>43012</v>
      </c>
      <c r="G115" s="2">
        <v>201804</v>
      </c>
      <c r="H115" s="2" t="s">
        <v>74</v>
      </c>
      <c r="I115" s="2" t="s">
        <v>75</v>
      </c>
      <c r="J115" s="2" t="s">
        <v>76</v>
      </c>
      <c r="K115" s="2" t="s">
        <v>77</v>
      </c>
      <c r="L115" s="2" t="s">
        <v>149</v>
      </c>
      <c r="M115" s="2" t="s">
        <v>150</v>
      </c>
      <c r="N115" s="2" t="s">
        <v>598</v>
      </c>
      <c r="O115" s="2" t="s">
        <v>81</v>
      </c>
      <c r="P115" s="2" t="str">
        <f>"143341                        "</f>
        <v xml:space="preserve">143341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6.09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2</v>
      </c>
      <c r="BJ115" s="2">
        <v>0.5</v>
      </c>
      <c r="BK115" s="2">
        <v>2</v>
      </c>
      <c r="BL115" s="2">
        <v>56.09</v>
      </c>
      <c r="BM115" s="2">
        <v>7.85</v>
      </c>
      <c r="BN115" s="2">
        <v>63.94</v>
      </c>
      <c r="BO115" s="2">
        <v>63.94</v>
      </c>
      <c r="BP115" s="2"/>
      <c r="BQ115" s="2" t="s">
        <v>599</v>
      </c>
      <c r="BR115" s="2" t="s">
        <v>83</v>
      </c>
      <c r="BS115" s="3">
        <v>43013</v>
      </c>
      <c r="BT115" s="4">
        <v>0.49305555555555558</v>
      </c>
      <c r="BU115" s="2" t="s">
        <v>600</v>
      </c>
      <c r="BV115" s="2" t="s">
        <v>96</v>
      </c>
      <c r="BW115" s="2"/>
      <c r="BX115" s="2"/>
      <c r="BY115" s="2">
        <v>2400</v>
      </c>
      <c r="BZ115" s="2"/>
      <c r="CA115" s="2" t="s">
        <v>479</v>
      </c>
      <c r="CB115" s="2"/>
      <c r="CC115" s="2" t="s">
        <v>150</v>
      </c>
      <c r="CD115" s="2">
        <v>7700</v>
      </c>
      <c r="CE115" s="2" t="s">
        <v>601</v>
      </c>
      <c r="CF115" s="5">
        <v>43014</v>
      </c>
      <c r="CG115" s="2"/>
      <c r="CH115" s="2"/>
      <c r="CI115" s="2">
        <v>1</v>
      </c>
      <c r="CJ115" s="2">
        <v>1</v>
      </c>
      <c r="CK115" s="2" t="s">
        <v>154</v>
      </c>
      <c r="CL115" s="2" t="s">
        <v>85</v>
      </c>
      <c r="CM115" s="2"/>
    </row>
    <row r="116" spans="1:91">
      <c r="A116" s="2" t="s">
        <v>71</v>
      </c>
      <c r="B116" s="2" t="s">
        <v>72</v>
      </c>
      <c r="C116" s="2" t="s">
        <v>73</v>
      </c>
      <c r="D116" s="2"/>
      <c r="E116" s="2" t="str">
        <f>"LCR000426"</f>
        <v>LCR000426</v>
      </c>
      <c r="F116" s="3">
        <v>43012</v>
      </c>
      <c r="G116" s="2">
        <v>201804</v>
      </c>
      <c r="H116" s="2" t="s">
        <v>74</v>
      </c>
      <c r="I116" s="2" t="s">
        <v>75</v>
      </c>
      <c r="J116" s="2" t="s">
        <v>76</v>
      </c>
      <c r="K116" s="2" t="s">
        <v>77</v>
      </c>
      <c r="L116" s="2" t="s">
        <v>250</v>
      </c>
      <c r="M116" s="2" t="s">
        <v>251</v>
      </c>
      <c r="N116" s="2" t="s">
        <v>602</v>
      </c>
      <c r="O116" s="2" t="s">
        <v>81</v>
      </c>
      <c r="P116" s="2" t="str">
        <f>"144106                        "</f>
        <v xml:space="preserve">144106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6.09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7</v>
      </c>
      <c r="BJ116" s="2">
        <v>6.6</v>
      </c>
      <c r="BK116" s="2">
        <v>7</v>
      </c>
      <c r="BL116" s="2">
        <v>56.09</v>
      </c>
      <c r="BM116" s="2">
        <v>7.85</v>
      </c>
      <c r="BN116" s="2">
        <v>63.94</v>
      </c>
      <c r="BO116" s="2">
        <v>63.94</v>
      </c>
      <c r="BP116" s="2"/>
      <c r="BQ116" s="2" t="s">
        <v>603</v>
      </c>
      <c r="BR116" s="2" t="s">
        <v>83</v>
      </c>
      <c r="BS116" s="3">
        <v>43013</v>
      </c>
      <c r="BT116" s="4">
        <v>0.51666666666666672</v>
      </c>
      <c r="BU116" s="2" t="s">
        <v>603</v>
      </c>
      <c r="BV116" s="2" t="s">
        <v>96</v>
      </c>
      <c r="BW116" s="2"/>
      <c r="BX116" s="2"/>
      <c r="BY116" s="2">
        <v>33075</v>
      </c>
      <c r="BZ116" s="2"/>
      <c r="CA116" s="2" t="s">
        <v>254</v>
      </c>
      <c r="CB116" s="2"/>
      <c r="CC116" s="2" t="s">
        <v>251</v>
      </c>
      <c r="CD116" s="2">
        <v>7600</v>
      </c>
      <c r="CE116" s="2" t="s">
        <v>134</v>
      </c>
      <c r="CF116" s="5">
        <v>43013</v>
      </c>
      <c r="CG116" s="2"/>
      <c r="CH116" s="2"/>
      <c r="CI116" s="2">
        <v>1</v>
      </c>
      <c r="CJ116" s="2">
        <v>1</v>
      </c>
      <c r="CK116" s="2" t="s">
        <v>154</v>
      </c>
      <c r="CL116" s="2" t="s">
        <v>85</v>
      </c>
      <c r="CM116" s="2"/>
    </row>
    <row r="117" spans="1:91">
      <c r="A117" s="2" t="s">
        <v>71</v>
      </c>
      <c r="B117" s="2" t="s">
        <v>72</v>
      </c>
      <c r="C117" s="2" t="s">
        <v>73</v>
      </c>
      <c r="D117" s="2"/>
      <c r="E117" s="2" t="str">
        <f>"LCR000425"</f>
        <v>LCR000425</v>
      </c>
      <c r="F117" s="3">
        <v>43012</v>
      </c>
      <c r="G117" s="2">
        <v>201804</v>
      </c>
      <c r="H117" s="2" t="s">
        <v>74</v>
      </c>
      <c r="I117" s="2" t="s">
        <v>75</v>
      </c>
      <c r="J117" s="2" t="s">
        <v>76</v>
      </c>
      <c r="K117" s="2" t="s">
        <v>77</v>
      </c>
      <c r="L117" s="2" t="s">
        <v>604</v>
      </c>
      <c r="M117" s="2" t="s">
        <v>605</v>
      </c>
      <c r="N117" s="2" t="s">
        <v>606</v>
      </c>
      <c r="O117" s="2" t="s">
        <v>81</v>
      </c>
      <c r="P117" s="2" t="str">
        <f>"144104                        "</f>
        <v xml:space="preserve">144104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12.85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7</v>
      </c>
      <c r="BJ117" s="2">
        <v>6.6</v>
      </c>
      <c r="BK117" s="2">
        <v>7</v>
      </c>
      <c r="BL117" s="2">
        <v>112.85</v>
      </c>
      <c r="BM117" s="2">
        <v>15.8</v>
      </c>
      <c r="BN117" s="2">
        <v>128.65</v>
      </c>
      <c r="BO117" s="2">
        <v>128.65</v>
      </c>
      <c r="BP117" s="2"/>
      <c r="BQ117" s="2" t="s">
        <v>607</v>
      </c>
      <c r="BR117" s="2" t="s">
        <v>83</v>
      </c>
      <c r="BS117" s="3">
        <v>43017</v>
      </c>
      <c r="BT117" s="4">
        <v>0.55694444444444446</v>
      </c>
      <c r="BU117" s="2" t="s">
        <v>607</v>
      </c>
      <c r="BV117" s="2" t="s">
        <v>85</v>
      </c>
      <c r="BW117" s="2" t="s">
        <v>497</v>
      </c>
      <c r="BX117" s="2" t="s">
        <v>498</v>
      </c>
      <c r="BY117" s="2">
        <v>33075</v>
      </c>
      <c r="BZ117" s="2"/>
      <c r="CA117" s="2" t="s">
        <v>608</v>
      </c>
      <c r="CB117" s="2"/>
      <c r="CC117" s="2" t="s">
        <v>605</v>
      </c>
      <c r="CD117" s="2">
        <v>2300</v>
      </c>
      <c r="CE117" s="2" t="s">
        <v>134</v>
      </c>
      <c r="CF117" s="5">
        <v>43020</v>
      </c>
      <c r="CG117" s="2"/>
      <c r="CH117" s="2"/>
      <c r="CI117" s="2">
        <v>2</v>
      </c>
      <c r="CJ117" s="2">
        <v>3</v>
      </c>
      <c r="CK117" s="2" t="s">
        <v>609</v>
      </c>
      <c r="CL117" s="2" t="s">
        <v>85</v>
      </c>
      <c r="CM117" s="2"/>
    </row>
    <row r="118" spans="1:91">
      <c r="A118" s="2" t="s">
        <v>71</v>
      </c>
      <c r="B118" s="2" t="s">
        <v>72</v>
      </c>
      <c r="C118" s="2" t="s">
        <v>73</v>
      </c>
      <c r="D118" s="2"/>
      <c r="E118" s="2" t="str">
        <f>"LCR000427"</f>
        <v>LCR000427</v>
      </c>
      <c r="F118" s="3">
        <v>43012</v>
      </c>
      <c r="G118" s="2">
        <v>201804</v>
      </c>
      <c r="H118" s="2" t="s">
        <v>74</v>
      </c>
      <c r="I118" s="2" t="s">
        <v>75</v>
      </c>
      <c r="J118" s="2" t="s">
        <v>76</v>
      </c>
      <c r="K118" s="2" t="s">
        <v>77</v>
      </c>
      <c r="L118" s="2" t="s">
        <v>610</v>
      </c>
      <c r="M118" s="2" t="s">
        <v>611</v>
      </c>
      <c r="N118" s="2" t="s">
        <v>612</v>
      </c>
      <c r="O118" s="2" t="s">
        <v>81</v>
      </c>
      <c r="P118" s="2" t="str">
        <f>"144101                        "</f>
        <v xml:space="preserve">144101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12.2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16</v>
      </c>
      <c r="BJ118" s="2">
        <v>16.3</v>
      </c>
      <c r="BK118" s="2">
        <v>17</v>
      </c>
      <c r="BL118" s="2">
        <v>107.4</v>
      </c>
      <c r="BM118" s="2">
        <v>15.04</v>
      </c>
      <c r="BN118" s="2">
        <v>122.44</v>
      </c>
      <c r="BO118" s="2">
        <v>122.44</v>
      </c>
      <c r="BP118" s="2"/>
      <c r="BQ118" s="2" t="s">
        <v>613</v>
      </c>
      <c r="BR118" s="2" t="s">
        <v>83</v>
      </c>
      <c r="BS118" s="3">
        <v>43017</v>
      </c>
      <c r="BT118" s="4">
        <v>0.58333333333333337</v>
      </c>
      <c r="BU118" s="2" t="s">
        <v>614</v>
      </c>
      <c r="BV118" s="2" t="s">
        <v>85</v>
      </c>
      <c r="BW118" s="2" t="s">
        <v>615</v>
      </c>
      <c r="BX118" s="2" t="s">
        <v>616</v>
      </c>
      <c r="BY118" s="2">
        <v>81600</v>
      </c>
      <c r="BZ118" s="2"/>
      <c r="CA118" s="2" t="s">
        <v>617</v>
      </c>
      <c r="CB118" s="2"/>
      <c r="CC118" s="2" t="s">
        <v>611</v>
      </c>
      <c r="CD118" s="2">
        <v>699</v>
      </c>
      <c r="CE118" s="2" t="s">
        <v>121</v>
      </c>
      <c r="CF118" s="5">
        <v>43019</v>
      </c>
      <c r="CG118" s="2"/>
      <c r="CH118" s="2"/>
      <c r="CI118" s="2">
        <v>2</v>
      </c>
      <c r="CJ118" s="2">
        <v>3</v>
      </c>
      <c r="CK118" s="2" t="s">
        <v>174</v>
      </c>
      <c r="CL118" s="2" t="s">
        <v>85</v>
      </c>
      <c r="CM118" s="2"/>
    </row>
    <row r="119" spans="1:91">
      <c r="A119" s="2" t="s">
        <v>71</v>
      </c>
      <c r="B119" s="2" t="s">
        <v>72</v>
      </c>
      <c r="C119" s="2" t="s">
        <v>73</v>
      </c>
      <c r="D119" s="2"/>
      <c r="E119" s="2" t="str">
        <f>"RLCR000073"</f>
        <v>RLCR000073</v>
      </c>
      <c r="F119" s="3">
        <v>43013</v>
      </c>
      <c r="G119" s="2">
        <v>201804</v>
      </c>
      <c r="H119" s="2" t="s">
        <v>245</v>
      </c>
      <c r="I119" s="2" t="s">
        <v>246</v>
      </c>
      <c r="J119" s="2" t="s">
        <v>618</v>
      </c>
      <c r="K119" s="2" t="s">
        <v>77</v>
      </c>
      <c r="L119" s="2" t="s">
        <v>74</v>
      </c>
      <c r="M119" s="2" t="s">
        <v>75</v>
      </c>
      <c r="N119" s="2" t="s">
        <v>76</v>
      </c>
      <c r="O119" s="2" t="s">
        <v>81</v>
      </c>
      <c r="P119" s="2" t="str">
        <f>"143574                        "</f>
        <v xml:space="preserve">143574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9.1300000000000008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6</v>
      </c>
      <c r="BJ119" s="2">
        <v>9.9</v>
      </c>
      <c r="BK119" s="2">
        <v>10</v>
      </c>
      <c r="BL119" s="2">
        <v>81.63</v>
      </c>
      <c r="BM119" s="2">
        <v>11.43</v>
      </c>
      <c r="BN119" s="2">
        <v>93.06</v>
      </c>
      <c r="BO119" s="2">
        <v>93.06</v>
      </c>
      <c r="BP119" s="2"/>
      <c r="BQ119" s="2"/>
      <c r="BR119" s="2" t="s">
        <v>619</v>
      </c>
      <c r="BS119" s="3">
        <v>43020</v>
      </c>
      <c r="BT119" s="4">
        <v>0.5</v>
      </c>
      <c r="BU119" s="2" t="s">
        <v>620</v>
      </c>
      <c r="BV119" s="2" t="s">
        <v>85</v>
      </c>
      <c r="BW119" s="2" t="s">
        <v>497</v>
      </c>
      <c r="BX119" s="2" t="s">
        <v>498</v>
      </c>
      <c r="BY119" s="2">
        <v>49500</v>
      </c>
      <c r="BZ119" s="2"/>
      <c r="CA119" s="2"/>
      <c r="CB119" s="2"/>
      <c r="CC119" s="2" t="s">
        <v>75</v>
      </c>
      <c r="CD119" s="2">
        <v>7130</v>
      </c>
      <c r="CE119" s="2" t="s">
        <v>283</v>
      </c>
      <c r="CF119" s="5">
        <v>43018</v>
      </c>
      <c r="CG119" s="2"/>
      <c r="CH119" s="2"/>
      <c r="CI119" s="2">
        <v>2</v>
      </c>
      <c r="CJ119" s="2">
        <v>5</v>
      </c>
      <c r="CK119" s="2" t="s">
        <v>90</v>
      </c>
      <c r="CL119" s="2" t="s">
        <v>85</v>
      </c>
      <c r="CM119" s="2"/>
    </row>
    <row r="120" spans="1:91">
      <c r="A120" s="2" t="s">
        <v>275</v>
      </c>
      <c r="B120" s="2" t="s">
        <v>72</v>
      </c>
      <c r="C120" s="2" t="s">
        <v>73</v>
      </c>
      <c r="D120" s="2"/>
      <c r="E120" s="2" t="str">
        <f>"089901294128"</f>
        <v>089901294128</v>
      </c>
      <c r="F120" s="3">
        <v>43012</v>
      </c>
      <c r="G120" s="2">
        <v>201804</v>
      </c>
      <c r="H120" s="2" t="s">
        <v>155</v>
      </c>
      <c r="I120" s="2" t="s">
        <v>156</v>
      </c>
      <c r="J120" s="2" t="s">
        <v>621</v>
      </c>
      <c r="K120" s="2" t="s">
        <v>77</v>
      </c>
      <c r="L120" s="2" t="s">
        <v>105</v>
      </c>
      <c r="M120" s="2" t="s">
        <v>106</v>
      </c>
      <c r="N120" s="2" t="s">
        <v>622</v>
      </c>
      <c r="O120" s="2" t="s">
        <v>278</v>
      </c>
      <c r="P120" s="2" t="str">
        <f>"                              "</f>
        <v xml:space="preserve">     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4.33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1</v>
      </c>
      <c r="BJ120" s="2">
        <v>0.2</v>
      </c>
      <c r="BK120" s="2">
        <v>1</v>
      </c>
      <c r="BL120" s="2">
        <v>36.33</v>
      </c>
      <c r="BM120" s="2">
        <v>5.09</v>
      </c>
      <c r="BN120" s="2">
        <v>41.42</v>
      </c>
      <c r="BO120" s="2">
        <v>41.42</v>
      </c>
      <c r="BP120" s="2"/>
      <c r="BQ120" s="2" t="s">
        <v>623</v>
      </c>
      <c r="BR120" s="2" t="s">
        <v>624</v>
      </c>
      <c r="BS120" s="3">
        <v>43013</v>
      </c>
      <c r="BT120" s="4">
        <v>0.31597222222222221</v>
      </c>
      <c r="BU120" s="2" t="s">
        <v>625</v>
      </c>
      <c r="BV120" s="2" t="s">
        <v>96</v>
      </c>
      <c r="BW120" s="2"/>
      <c r="BX120" s="2"/>
      <c r="BY120" s="2">
        <v>1200</v>
      </c>
      <c r="BZ120" s="2" t="s">
        <v>27</v>
      </c>
      <c r="CA120" s="2"/>
      <c r="CB120" s="2"/>
      <c r="CC120" s="2" t="s">
        <v>106</v>
      </c>
      <c r="CD120" s="2">
        <v>2000</v>
      </c>
      <c r="CE120" s="2" t="s">
        <v>283</v>
      </c>
      <c r="CF120" s="5">
        <v>43014</v>
      </c>
      <c r="CG120" s="2"/>
      <c r="CH120" s="2"/>
      <c r="CI120" s="2">
        <v>1</v>
      </c>
      <c r="CJ120" s="2">
        <v>1</v>
      </c>
      <c r="CK120" s="2">
        <v>21</v>
      </c>
      <c r="CL120" s="2" t="s">
        <v>85</v>
      </c>
      <c r="CM120" s="2"/>
    </row>
    <row r="121" spans="1:91">
      <c r="A121" s="2" t="s">
        <v>71</v>
      </c>
      <c r="B121" s="2" t="s">
        <v>72</v>
      </c>
      <c r="C121" s="2" t="s">
        <v>73</v>
      </c>
      <c r="D121" s="2"/>
      <c r="E121" s="2" t="str">
        <f>"LCR000424"</f>
        <v>LCR000424</v>
      </c>
      <c r="F121" s="3">
        <v>43012</v>
      </c>
      <c r="G121" s="2">
        <v>201804</v>
      </c>
      <c r="H121" s="2" t="s">
        <v>74</v>
      </c>
      <c r="I121" s="2" t="s">
        <v>75</v>
      </c>
      <c r="J121" s="2" t="s">
        <v>76</v>
      </c>
      <c r="K121" s="2" t="s">
        <v>77</v>
      </c>
      <c r="L121" s="2" t="s">
        <v>149</v>
      </c>
      <c r="M121" s="2" t="s">
        <v>150</v>
      </c>
      <c r="N121" s="2" t="s">
        <v>626</v>
      </c>
      <c r="O121" s="2" t="s">
        <v>293</v>
      </c>
      <c r="P121" s="2" t="str">
        <f>"144107                        "</f>
        <v xml:space="preserve">144107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6.09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1.5</v>
      </c>
      <c r="BJ121" s="2">
        <v>1.4</v>
      </c>
      <c r="BK121" s="2">
        <v>2</v>
      </c>
      <c r="BL121" s="2">
        <v>51.09</v>
      </c>
      <c r="BM121" s="2">
        <v>7.15</v>
      </c>
      <c r="BN121" s="2">
        <v>58.24</v>
      </c>
      <c r="BO121" s="2">
        <v>58.24</v>
      </c>
      <c r="BP121" s="2"/>
      <c r="BQ121" s="2" t="s">
        <v>627</v>
      </c>
      <c r="BR121" s="2" t="s">
        <v>83</v>
      </c>
      <c r="BS121" s="3">
        <v>43013</v>
      </c>
      <c r="BT121" s="4">
        <v>0.61249999999999993</v>
      </c>
      <c r="BU121" s="2" t="s">
        <v>628</v>
      </c>
      <c r="BV121" s="2" t="s">
        <v>85</v>
      </c>
      <c r="BW121" s="2" t="s">
        <v>219</v>
      </c>
      <c r="BX121" s="2" t="s">
        <v>629</v>
      </c>
      <c r="BY121" s="2">
        <v>6800</v>
      </c>
      <c r="BZ121" s="2"/>
      <c r="CA121" s="2" t="s">
        <v>630</v>
      </c>
      <c r="CB121" s="2"/>
      <c r="CC121" s="2" t="s">
        <v>150</v>
      </c>
      <c r="CD121" s="2">
        <v>7580</v>
      </c>
      <c r="CE121" s="2" t="s">
        <v>302</v>
      </c>
      <c r="CF121" s="5">
        <v>43013</v>
      </c>
      <c r="CG121" s="2"/>
      <c r="CH121" s="2"/>
      <c r="CI121" s="2">
        <v>1</v>
      </c>
      <c r="CJ121" s="2">
        <v>1</v>
      </c>
      <c r="CK121" s="2">
        <v>34</v>
      </c>
      <c r="CL121" s="2" t="s">
        <v>85</v>
      </c>
      <c r="CM121" s="2"/>
    </row>
    <row r="122" spans="1:91">
      <c r="A122" s="2" t="s">
        <v>71</v>
      </c>
      <c r="B122" s="2" t="s">
        <v>72</v>
      </c>
      <c r="C122" s="2" t="s">
        <v>73</v>
      </c>
      <c r="D122" s="2"/>
      <c r="E122" s="2" t="str">
        <f>"039902652283"</f>
        <v>039902652283</v>
      </c>
      <c r="F122" s="3">
        <v>43012</v>
      </c>
      <c r="G122" s="2">
        <v>201804</v>
      </c>
      <c r="H122" s="2" t="s">
        <v>122</v>
      </c>
      <c r="I122" s="2" t="s">
        <v>123</v>
      </c>
      <c r="J122" s="2" t="s">
        <v>276</v>
      </c>
      <c r="K122" s="2" t="s">
        <v>77</v>
      </c>
      <c r="L122" s="2" t="s">
        <v>149</v>
      </c>
      <c r="M122" s="2" t="s">
        <v>150</v>
      </c>
      <c r="N122" s="2" t="s">
        <v>631</v>
      </c>
      <c r="O122" s="2" t="s">
        <v>278</v>
      </c>
      <c r="P122" s="2" t="str">
        <f>"11912270 FM                   "</f>
        <v xml:space="preserve">11912270 FM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4.33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1</v>
      </c>
      <c r="BJ122" s="2">
        <v>0.2</v>
      </c>
      <c r="BK122" s="2">
        <v>1</v>
      </c>
      <c r="BL122" s="2">
        <v>36.33</v>
      </c>
      <c r="BM122" s="2">
        <v>5.09</v>
      </c>
      <c r="BN122" s="2">
        <v>41.42</v>
      </c>
      <c r="BO122" s="2">
        <v>41.42</v>
      </c>
      <c r="BP122" s="2"/>
      <c r="BQ122" s="2" t="s">
        <v>632</v>
      </c>
      <c r="BR122" s="2" t="s">
        <v>633</v>
      </c>
      <c r="BS122" s="3">
        <v>43013</v>
      </c>
      <c r="BT122" s="4">
        <v>0.40902777777777777</v>
      </c>
      <c r="BU122" s="2" t="s">
        <v>464</v>
      </c>
      <c r="BV122" s="2" t="s">
        <v>96</v>
      </c>
      <c r="BW122" s="2"/>
      <c r="BX122" s="2"/>
      <c r="BY122" s="2">
        <v>1200</v>
      </c>
      <c r="BZ122" s="2" t="s">
        <v>27</v>
      </c>
      <c r="CA122" s="2" t="s">
        <v>465</v>
      </c>
      <c r="CB122" s="2"/>
      <c r="CC122" s="2" t="s">
        <v>150</v>
      </c>
      <c r="CD122" s="2">
        <v>8000</v>
      </c>
      <c r="CE122" s="2" t="s">
        <v>283</v>
      </c>
      <c r="CF122" s="5">
        <v>43026</v>
      </c>
      <c r="CG122" s="2"/>
      <c r="CH122" s="2"/>
      <c r="CI122" s="2">
        <v>1</v>
      </c>
      <c r="CJ122" s="2">
        <v>1</v>
      </c>
      <c r="CK122" s="2">
        <v>21</v>
      </c>
      <c r="CL122" s="2" t="s">
        <v>85</v>
      </c>
      <c r="CM122" s="2"/>
    </row>
    <row r="123" spans="1:91">
      <c r="A123" s="2" t="s">
        <v>71</v>
      </c>
      <c r="B123" s="2" t="s">
        <v>72</v>
      </c>
      <c r="C123" s="2" t="s">
        <v>73</v>
      </c>
      <c r="D123" s="2"/>
      <c r="E123" s="2" t="str">
        <f>"LCR000407"</f>
        <v>LCR000407</v>
      </c>
      <c r="F123" s="3">
        <v>43012</v>
      </c>
      <c r="G123" s="2">
        <v>201804</v>
      </c>
      <c r="H123" s="2" t="s">
        <v>74</v>
      </c>
      <c r="I123" s="2" t="s">
        <v>75</v>
      </c>
      <c r="J123" s="2" t="s">
        <v>76</v>
      </c>
      <c r="K123" s="2" t="s">
        <v>77</v>
      </c>
      <c r="L123" s="2" t="s">
        <v>149</v>
      </c>
      <c r="M123" s="2" t="s">
        <v>150</v>
      </c>
      <c r="N123" s="2" t="s">
        <v>634</v>
      </c>
      <c r="O123" s="2" t="s">
        <v>293</v>
      </c>
      <c r="P123" s="2" t="str">
        <f>"144077                        "</f>
        <v xml:space="preserve">144077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6.09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1.5</v>
      </c>
      <c r="BJ123" s="2">
        <v>1.4</v>
      </c>
      <c r="BK123" s="2">
        <v>2</v>
      </c>
      <c r="BL123" s="2">
        <v>51.09</v>
      </c>
      <c r="BM123" s="2">
        <v>7.15</v>
      </c>
      <c r="BN123" s="2">
        <v>58.24</v>
      </c>
      <c r="BO123" s="2">
        <v>58.24</v>
      </c>
      <c r="BP123" s="2"/>
      <c r="BQ123" s="2" t="s">
        <v>635</v>
      </c>
      <c r="BR123" s="2" t="s">
        <v>83</v>
      </c>
      <c r="BS123" s="3">
        <v>43013</v>
      </c>
      <c r="BT123" s="4">
        <v>0.42986111111111108</v>
      </c>
      <c r="BU123" s="2" t="s">
        <v>636</v>
      </c>
      <c r="BV123" s="2" t="s">
        <v>96</v>
      </c>
      <c r="BW123" s="2"/>
      <c r="BX123" s="2"/>
      <c r="BY123" s="2">
        <v>6800</v>
      </c>
      <c r="BZ123" s="2"/>
      <c r="CA123" s="2"/>
      <c r="CB123" s="2"/>
      <c r="CC123" s="2" t="s">
        <v>150</v>
      </c>
      <c r="CD123" s="2">
        <v>7570</v>
      </c>
      <c r="CE123" s="2" t="s">
        <v>302</v>
      </c>
      <c r="CF123" s="5">
        <v>43014</v>
      </c>
      <c r="CG123" s="2"/>
      <c r="CH123" s="2"/>
      <c r="CI123" s="2">
        <v>1</v>
      </c>
      <c r="CJ123" s="2">
        <v>1</v>
      </c>
      <c r="CK123" s="2">
        <v>34</v>
      </c>
      <c r="CL123" s="2" t="s">
        <v>85</v>
      </c>
      <c r="CM123" s="2"/>
    </row>
    <row r="124" spans="1:91">
      <c r="A124" s="2" t="s">
        <v>71</v>
      </c>
      <c r="B124" s="2" t="s">
        <v>72</v>
      </c>
      <c r="C124" s="2" t="s">
        <v>73</v>
      </c>
      <c r="D124" s="2"/>
      <c r="E124" s="2" t="str">
        <f>"LCR000431"</f>
        <v>LCR000431</v>
      </c>
      <c r="F124" s="3">
        <v>43012</v>
      </c>
      <c r="G124" s="2">
        <v>201804</v>
      </c>
      <c r="H124" s="2" t="s">
        <v>74</v>
      </c>
      <c r="I124" s="2" t="s">
        <v>75</v>
      </c>
      <c r="J124" s="2" t="s">
        <v>76</v>
      </c>
      <c r="K124" s="2" t="s">
        <v>77</v>
      </c>
      <c r="L124" s="2" t="s">
        <v>250</v>
      </c>
      <c r="M124" s="2" t="s">
        <v>251</v>
      </c>
      <c r="N124" s="2" t="s">
        <v>637</v>
      </c>
      <c r="O124" s="2" t="s">
        <v>293</v>
      </c>
      <c r="P124" s="2" t="str">
        <f>"144100                        "</f>
        <v xml:space="preserve">144100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6.09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1.5</v>
      </c>
      <c r="BJ124" s="2">
        <v>1.4</v>
      </c>
      <c r="BK124" s="2">
        <v>2</v>
      </c>
      <c r="BL124" s="2">
        <v>51.09</v>
      </c>
      <c r="BM124" s="2">
        <v>7.15</v>
      </c>
      <c r="BN124" s="2">
        <v>58.24</v>
      </c>
      <c r="BO124" s="2">
        <v>58.24</v>
      </c>
      <c r="BP124" s="2"/>
      <c r="BQ124" s="2" t="s">
        <v>638</v>
      </c>
      <c r="BR124" s="2" t="s">
        <v>83</v>
      </c>
      <c r="BS124" s="3">
        <v>43013</v>
      </c>
      <c r="BT124" s="4">
        <v>0.42708333333333331</v>
      </c>
      <c r="BU124" s="2" t="s">
        <v>639</v>
      </c>
      <c r="BV124" s="2" t="s">
        <v>96</v>
      </c>
      <c r="BW124" s="2"/>
      <c r="BX124" s="2"/>
      <c r="BY124" s="2">
        <v>6800</v>
      </c>
      <c r="BZ124" s="2"/>
      <c r="CA124" s="2" t="s">
        <v>640</v>
      </c>
      <c r="CB124" s="2"/>
      <c r="CC124" s="2" t="s">
        <v>251</v>
      </c>
      <c r="CD124" s="2">
        <v>7600</v>
      </c>
      <c r="CE124" s="2" t="s">
        <v>302</v>
      </c>
      <c r="CF124" s="5">
        <v>43013</v>
      </c>
      <c r="CG124" s="2"/>
      <c r="CH124" s="2"/>
      <c r="CI124" s="2">
        <v>1</v>
      </c>
      <c r="CJ124" s="2">
        <v>1</v>
      </c>
      <c r="CK124" s="2">
        <v>34</v>
      </c>
      <c r="CL124" s="2" t="s">
        <v>85</v>
      </c>
      <c r="CM124" s="2"/>
    </row>
    <row r="125" spans="1:91">
      <c r="A125" s="2" t="s">
        <v>71</v>
      </c>
      <c r="B125" s="2" t="s">
        <v>72</v>
      </c>
      <c r="C125" s="2" t="s">
        <v>73</v>
      </c>
      <c r="D125" s="2"/>
      <c r="E125" s="2" t="str">
        <f>"LCR000409"</f>
        <v>LCR000409</v>
      </c>
      <c r="F125" s="3">
        <v>43012</v>
      </c>
      <c r="G125" s="2">
        <v>201804</v>
      </c>
      <c r="H125" s="2" t="s">
        <v>74</v>
      </c>
      <c r="I125" s="2" t="s">
        <v>75</v>
      </c>
      <c r="J125" s="2" t="s">
        <v>76</v>
      </c>
      <c r="K125" s="2" t="s">
        <v>77</v>
      </c>
      <c r="L125" s="2" t="s">
        <v>149</v>
      </c>
      <c r="M125" s="2" t="s">
        <v>150</v>
      </c>
      <c r="N125" s="2" t="s">
        <v>641</v>
      </c>
      <c r="O125" s="2" t="s">
        <v>293</v>
      </c>
      <c r="P125" s="2" t="str">
        <f>"144050                        "</f>
        <v xml:space="preserve">144050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6.09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2</v>
      </c>
      <c r="BJ125" s="2">
        <v>0.5</v>
      </c>
      <c r="BK125" s="2">
        <v>2</v>
      </c>
      <c r="BL125" s="2">
        <v>51.09</v>
      </c>
      <c r="BM125" s="2">
        <v>7.15</v>
      </c>
      <c r="BN125" s="2">
        <v>58.24</v>
      </c>
      <c r="BO125" s="2">
        <v>58.24</v>
      </c>
      <c r="BP125" s="2"/>
      <c r="BQ125" s="2" t="s">
        <v>642</v>
      </c>
      <c r="BR125" s="2" t="s">
        <v>83</v>
      </c>
      <c r="BS125" s="3">
        <v>43014</v>
      </c>
      <c r="BT125" s="4">
        <v>0.35000000000000003</v>
      </c>
      <c r="BU125" s="2" t="s">
        <v>643</v>
      </c>
      <c r="BV125" s="2" t="s">
        <v>85</v>
      </c>
      <c r="BW125" s="2" t="s">
        <v>219</v>
      </c>
      <c r="BX125" s="2" t="s">
        <v>644</v>
      </c>
      <c r="BY125" s="2">
        <v>2400</v>
      </c>
      <c r="BZ125" s="2"/>
      <c r="CA125" s="2" t="s">
        <v>409</v>
      </c>
      <c r="CB125" s="2"/>
      <c r="CC125" s="2" t="s">
        <v>150</v>
      </c>
      <c r="CD125" s="2">
        <v>7441</v>
      </c>
      <c r="CE125" s="2" t="s">
        <v>601</v>
      </c>
      <c r="CF125" s="5">
        <v>43014</v>
      </c>
      <c r="CG125" s="2"/>
      <c r="CH125" s="2"/>
      <c r="CI125" s="2">
        <v>1</v>
      </c>
      <c r="CJ125" s="2">
        <v>2</v>
      </c>
      <c r="CK125" s="2">
        <v>34</v>
      </c>
      <c r="CL125" s="2" t="s">
        <v>85</v>
      </c>
      <c r="CM125" s="2"/>
    </row>
    <row r="126" spans="1:91">
      <c r="A126" s="2" t="s">
        <v>71</v>
      </c>
      <c r="B126" s="2" t="s">
        <v>72</v>
      </c>
      <c r="C126" s="2" t="s">
        <v>73</v>
      </c>
      <c r="D126" s="2"/>
      <c r="E126" s="2" t="str">
        <f>"LCR000428"</f>
        <v>LCR000428</v>
      </c>
      <c r="F126" s="3">
        <v>43012</v>
      </c>
      <c r="G126" s="2">
        <v>201804</v>
      </c>
      <c r="H126" s="2" t="s">
        <v>74</v>
      </c>
      <c r="I126" s="2" t="s">
        <v>75</v>
      </c>
      <c r="J126" s="2" t="s">
        <v>76</v>
      </c>
      <c r="K126" s="2" t="s">
        <v>77</v>
      </c>
      <c r="L126" s="2" t="s">
        <v>105</v>
      </c>
      <c r="M126" s="2" t="s">
        <v>106</v>
      </c>
      <c r="N126" s="2" t="s">
        <v>645</v>
      </c>
      <c r="O126" s="2" t="s">
        <v>293</v>
      </c>
      <c r="P126" s="2" t="str">
        <f>"144108                        "</f>
        <v xml:space="preserve">144108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8.39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1.3</v>
      </c>
      <c r="BJ126" s="2">
        <v>1.9</v>
      </c>
      <c r="BK126" s="2">
        <v>2</v>
      </c>
      <c r="BL126" s="2">
        <v>70.39</v>
      </c>
      <c r="BM126" s="2">
        <v>9.85</v>
      </c>
      <c r="BN126" s="2">
        <v>80.239999999999995</v>
      </c>
      <c r="BO126" s="2">
        <v>80.239999999999995</v>
      </c>
      <c r="BP126" s="2"/>
      <c r="BQ126" s="2" t="s">
        <v>646</v>
      </c>
      <c r="BR126" s="2" t="s">
        <v>83</v>
      </c>
      <c r="BS126" s="3">
        <v>43013</v>
      </c>
      <c r="BT126" s="4">
        <v>0.34722222222222227</v>
      </c>
      <c r="BU126" s="2" t="s">
        <v>647</v>
      </c>
      <c r="BV126" s="2" t="s">
        <v>96</v>
      </c>
      <c r="BW126" s="2"/>
      <c r="BX126" s="2"/>
      <c r="BY126" s="2">
        <v>9474.2800000000007</v>
      </c>
      <c r="BZ126" s="2"/>
      <c r="CA126" s="2"/>
      <c r="CB126" s="2"/>
      <c r="CC126" s="2" t="s">
        <v>106</v>
      </c>
      <c r="CD126" s="2">
        <v>2055</v>
      </c>
      <c r="CE126" s="2" t="s">
        <v>302</v>
      </c>
      <c r="CF126" s="5">
        <v>43014</v>
      </c>
      <c r="CG126" s="2"/>
      <c r="CH126" s="2"/>
      <c r="CI126" s="2">
        <v>1</v>
      </c>
      <c r="CJ126" s="2">
        <v>1</v>
      </c>
      <c r="CK126" s="2">
        <v>33</v>
      </c>
      <c r="CL126" s="2" t="s">
        <v>85</v>
      </c>
      <c r="CM126" s="2"/>
    </row>
    <row r="127" spans="1:91">
      <c r="A127" s="2" t="s">
        <v>71</v>
      </c>
      <c r="B127" s="2" t="s">
        <v>72</v>
      </c>
      <c r="C127" s="2" t="s">
        <v>73</v>
      </c>
      <c r="D127" s="2"/>
      <c r="E127" s="2" t="str">
        <f>"LCR000410"</f>
        <v>LCR000410</v>
      </c>
      <c r="F127" s="3">
        <v>43012</v>
      </c>
      <c r="G127" s="2">
        <v>201804</v>
      </c>
      <c r="H127" s="2" t="s">
        <v>74</v>
      </c>
      <c r="I127" s="2" t="s">
        <v>75</v>
      </c>
      <c r="J127" s="2" t="s">
        <v>76</v>
      </c>
      <c r="K127" s="2" t="s">
        <v>77</v>
      </c>
      <c r="L127" s="2" t="s">
        <v>105</v>
      </c>
      <c r="M127" s="2" t="s">
        <v>106</v>
      </c>
      <c r="N127" s="2" t="s">
        <v>648</v>
      </c>
      <c r="O127" s="2" t="s">
        <v>293</v>
      </c>
      <c r="P127" s="2" t="str">
        <f>"143933                        "</f>
        <v xml:space="preserve">143933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8.39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1.9</v>
      </c>
      <c r="BJ127" s="2">
        <v>1.8</v>
      </c>
      <c r="BK127" s="2">
        <v>2</v>
      </c>
      <c r="BL127" s="2">
        <v>70.39</v>
      </c>
      <c r="BM127" s="2">
        <v>9.85</v>
      </c>
      <c r="BN127" s="2">
        <v>80.239999999999995</v>
      </c>
      <c r="BO127" s="2">
        <v>80.239999999999995</v>
      </c>
      <c r="BP127" s="2"/>
      <c r="BQ127" s="2" t="s">
        <v>649</v>
      </c>
      <c r="BR127" s="2" t="s">
        <v>83</v>
      </c>
      <c r="BS127" s="3">
        <v>43013</v>
      </c>
      <c r="BT127" s="4">
        <v>0.41805555555555557</v>
      </c>
      <c r="BU127" s="2" t="s">
        <v>649</v>
      </c>
      <c r="BV127" s="2" t="s">
        <v>96</v>
      </c>
      <c r="BW127" s="2"/>
      <c r="BX127" s="2"/>
      <c r="BY127" s="2">
        <v>9147.1</v>
      </c>
      <c r="BZ127" s="2"/>
      <c r="CA127" s="2" t="s">
        <v>650</v>
      </c>
      <c r="CB127" s="2"/>
      <c r="CC127" s="2" t="s">
        <v>106</v>
      </c>
      <c r="CD127" s="2">
        <v>2091</v>
      </c>
      <c r="CE127" s="2" t="s">
        <v>302</v>
      </c>
      <c r="CF127" s="5">
        <v>43014</v>
      </c>
      <c r="CG127" s="2"/>
      <c r="CH127" s="2"/>
      <c r="CI127" s="2">
        <v>1</v>
      </c>
      <c r="CJ127" s="2">
        <v>1</v>
      </c>
      <c r="CK127" s="2">
        <v>33</v>
      </c>
      <c r="CL127" s="2" t="s">
        <v>85</v>
      </c>
      <c r="CM127" s="2"/>
    </row>
    <row r="128" spans="1:91">
      <c r="A128" s="2" t="s">
        <v>71</v>
      </c>
      <c r="B128" s="2" t="s">
        <v>72</v>
      </c>
      <c r="C128" s="2" t="s">
        <v>73</v>
      </c>
      <c r="D128" s="2"/>
      <c r="E128" s="2" t="str">
        <f>"LCR000369"</f>
        <v>LCR000369</v>
      </c>
      <c r="F128" s="3">
        <v>43011</v>
      </c>
      <c r="G128" s="2">
        <v>201804</v>
      </c>
      <c r="H128" s="2" t="s">
        <v>74</v>
      </c>
      <c r="I128" s="2" t="s">
        <v>75</v>
      </c>
      <c r="J128" s="2" t="s">
        <v>76</v>
      </c>
      <c r="K128" s="2" t="s">
        <v>77</v>
      </c>
      <c r="L128" s="2" t="s">
        <v>651</v>
      </c>
      <c r="M128" s="2" t="s">
        <v>652</v>
      </c>
      <c r="N128" s="2" t="s">
        <v>653</v>
      </c>
      <c r="O128" s="2" t="s">
        <v>293</v>
      </c>
      <c r="P128" s="2" t="str">
        <f>"144031                        "</f>
        <v xml:space="preserve">144031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7.53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0.5</v>
      </c>
      <c r="BJ128" s="2">
        <v>1.8</v>
      </c>
      <c r="BK128" s="2">
        <v>2</v>
      </c>
      <c r="BL128" s="2">
        <v>69.53</v>
      </c>
      <c r="BM128" s="2">
        <v>9.73</v>
      </c>
      <c r="BN128" s="2">
        <v>79.260000000000005</v>
      </c>
      <c r="BO128" s="2">
        <v>79.260000000000005</v>
      </c>
      <c r="BP128" s="2"/>
      <c r="BQ128" s="2" t="s">
        <v>654</v>
      </c>
      <c r="BR128" s="2" t="s">
        <v>83</v>
      </c>
      <c r="BS128" s="3">
        <v>43012</v>
      </c>
      <c r="BT128" s="4">
        <v>0.46527777777777773</v>
      </c>
      <c r="BU128" s="2" t="s">
        <v>655</v>
      </c>
      <c r="BV128" s="2" t="s">
        <v>96</v>
      </c>
      <c r="BW128" s="2"/>
      <c r="BX128" s="2"/>
      <c r="BY128" s="2">
        <v>9168.83</v>
      </c>
      <c r="BZ128" s="2" t="s">
        <v>27</v>
      </c>
      <c r="CA128" s="2" t="s">
        <v>656</v>
      </c>
      <c r="CB128" s="2"/>
      <c r="CC128" s="2" t="s">
        <v>652</v>
      </c>
      <c r="CD128" s="2">
        <v>1448</v>
      </c>
      <c r="CE128" s="2" t="s">
        <v>283</v>
      </c>
      <c r="CF128" s="5">
        <v>43013</v>
      </c>
      <c r="CG128" s="2"/>
      <c r="CH128" s="2"/>
      <c r="CI128" s="2">
        <v>1</v>
      </c>
      <c r="CJ128" s="2">
        <v>1</v>
      </c>
      <c r="CK128" s="2">
        <v>33</v>
      </c>
      <c r="CL128" s="2" t="s">
        <v>85</v>
      </c>
      <c r="CM128" s="2"/>
    </row>
    <row r="129" spans="1:91">
      <c r="A129" s="2" t="s">
        <v>71</v>
      </c>
      <c r="B129" s="2" t="s">
        <v>72</v>
      </c>
      <c r="C129" s="2" t="s">
        <v>73</v>
      </c>
      <c r="D129" s="2"/>
      <c r="E129" s="2" t="str">
        <f>"LCR000366"</f>
        <v>LCR000366</v>
      </c>
      <c r="F129" s="3">
        <v>43011</v>
      </c>
      <c r="G129" s="2">
        <v>201804</v>
      </c>
      <c r="H129" s="2" t="s">
        <v>74</v>
      </c>
      <c r="I129" s="2" t="s">
        <v>75</v>
      </c>
      <c r="J129" s="2" t="s">
        <v>76</v>
      </c>
      <c r="K129" s="2" t="s">
        <v>77</v>
      </c>
      <c r="L129" s="2" t="s">
        <v>135</v>
      </c>
      <c r="M129" s="2" t="s">
        <v>136</v>
      </c>
      <c r="N129" s="2" t="s">
        <v>657</v>
      </c>
      <c r="O129" s="2" t="s">
        <v>293</v>
      </c>
      <c r="P129" s="2" t="str">
        <f>"144025                        "</f>
        <v xml:space="preserve">144025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7.53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1.1000000000000001</v>
      </c>
      <c r="BJ129" s="2">
        <v>1.8</v>
      </c>
      <c r="BK129" s="2">
        <v>2</v>
      </c>
      <c r="BL129" s="2">
        <v>69.53</v>
      </c>
      <c r="BM129" s="2">
        <v>9.73</v>
      </c>
      <c r="BN129" s="2">
        <v>79.260000000000005</v>
      </c>
      <c r="BO129" s="2">
        <v>79.260000000000005</v>
      </c>
      <c r="BP129" s="2"/>
      <c r="BQ129" s="2" t="s">
        <v>658</v>
      </c>
      <c r="BR129" s="2" t="s">
        <v>83</v>
      </c>
      <c r="BS129" s="3">
        <v>43012</v>
      </c>
      <c r="BT129" s="4">
        <v>0.37222222222222223</v>
      </c>
      <c r="BU129" s="2" t="s">
        <v>659</v>
      </c>
      <c r="BV129" s="2" t="s">
        <v>96</v>
      </c>
      <c r="BW129" s="2"/>
      <c r="BX129" s="2"/>
      <c r="BY129" s="2">
        <v>8996.2199999999993</v>
      </c>
      <c r="BZ129" s="2" t="s">
        <v>27</v>
      </c>
      <c r="CA129" s="2"/>
      <c r="CB129" s="2"/>
      <c r="CC129" s="2" t="s">
        <v>136</v>
      </c>
      <c r="CD129" s="2">
        <v>4037</v>
      </c>
      <c r="CE129" s="2" t="s">
        <v>283</v>
      </c>
      <c r="CF129" s="5">
        <v>43013</v>
      </c>
      <c r="CG129" s="2"/>
      <c r="CH129" s="2"/>
      <c r="CI129" s="2">
        <v>1</v>
      </c>
      <c r="CJ129" s="2">
        <v>1</v>
      </c>
      <c r="CK129" s="2">
        <v>33</v>
      </c>
      <c r="CL129" s="2" t="s">
        <v>85</v>
      </c>
      <c r="CM129" s="2"/>
    </row>
    <row r="130" spans="1:91">
      <c r="A130" s="2" t="s">
        <v>71</v>
      </c>
      <c r="B130" s="2" t="s">
        <v>72</v>
      </c>
      <c r="C130" s="2" t="s">
        <v>73</v>
      </c>
      <c r="D130" s="2"/>
      <c r="E130" s="2" t="str">
        <f>"LCR000438"</f>
        <v>LCR000438</v>
      </c>
      <c r="F130" s="3">
        <v>43013</v>
      </c>
      <c r="G130" s="2">
        <v>201804</v>
      </c>
      <c r="H130" s="2" t="s">
        <v>74</v>
      </c>
      <c r="I130" s="2" t="s">
        <v>75</v>
      </c>
      <c r="J130" s="2" t="s">
        <v>76</v>
      </c>
      <c r="K130" s="2" t="s">
        <v>77</v>
      </c>
      <c r="L130" s="2" t="s">
        <v>234</v>
      </c>
      <c r="M130" s="2" t="s">
        <v>235</v>
      </c>
      <c r="N130" s="2" t="s">
        <v>660</v>
      </c>
      <c r="O130" s="2" t="s">
        <v>293</v>
      </c>
      <c r="P130" s="2" t="str">
        <f>"144038                        "</f>
        <v xml:space="preserve">144038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8.39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1.5</v>
      </c>
      <c r="BJ130" s="2">
        <v>1.4</v>
      </c>
      <c r="BK130" s="2">
        <v>2</v>
      </c>
      <c r="BL130" s="2">
        <v>70.39</v>
      </c>
      <c r="BM130" s="2">
        <v>9.85</v>
      </c>
      <c r="BN130" s="2">
        <v>80.239999999999995</v>
      </c>
      <c r="BO130" s="2">
        <v>80.239999999999995</v>
      </c>
      <c r="BP130" s="2"/>
      <c r="BQ130" s="2" t="s">
        <v>661</v>
      </c>
      <c r="BR130" s="2" t="s">
        <v>83</v>
      </c>
      <c r="BS130" s="3">
        <v>43014</v>
      </c>
      <c r="BT130" s="4">
        <v>0.6333333333333333</v>
      </c>
      <c r="BU130" s="2" t="s">
        <v>662</v>
      </c>
      <c r="BV130" s="2" t="s">
        <v>85</v>
      </c>
      <c r="BW130" s="2" t="s">
        <v>86</v>
      </c>
      <c r="BX130" s="2" t="s">
        <v>173</v>
      </c>
      <c r="BY130" s="2">
        <v>6800</v>
      </c>
      <c r="BZ130" s="2"/>
      <c r="CA130" s="2" t="s">
        <v>663</v>
      </c>
      <c r="CB130" s="2"/>
      <c r="CC130" s="2" t="s">
        <v>235</v>
      </c>
      <c r="CD130" s="2">
        <v>4001</v>
      </c>
      <c r="CE130" s="2" t="s">
        <v>302</v>
      </c>
      <c r="CF130" s="5">
        <v>43017</v>
      </c>
      <c r="CG130" s="2"/>
      <c r="CH130" s="2"/>
      <c r="CI130" s="2">
        <v>1</v>
      </c>
      <c r="CJ130" s="2">
        <v>1</v>
      </c>
      <c r="CK130" s="2">
        <v>33</v>
      </c>
      <c r="CL130" s="2" t="s">
        <v>85</v>
      </c>
      <c r="CM130" s="2"/>
    </row>
    <row r="131" spans="1:91">
      <c r="A131" s="2" t="s">
        <v>71</v>
      </c>
      <c r="B131" s="2" t="s">
        <v>72</v>
      </c>
      <c r="C131" s="2" t="s">
        <v>73</v>
      </c>
      <c r="D131" s="2"/>
      <c r="E131" s="2" t="str">
        <f>"LCR000434"</f>
        <v>LCR000434</v>
      </c>
      <c r="F131" s="3">
        <v>43013</v>
      </c>
      <c r="G131" s="2">
        <v>201804</v>
      </c>
      <c r="H131" s="2" t="s">
        <v>74</v>
      </c>
      <c r="I131" s="2" t="s">
        <v>75</v>
      </c>
      <c r="J131" s="2" t="s">
        <v>76</v>
      </c>
      <c r="K131" s="2" t="s">
        <v>77</v>
      </c>
      <c r="L131" s="2" t="s">
        <v>396</v>
      </c>
      <c r="M131" s="2" t="s">
        <v>397</v>
      </c>
      <c r="N131" s="2" t="s">
        <v>664</v>
      </c>
      <c r="O131" s="2" t="s">
        <v>293</v>
      </c>
      <c r="P131" s="2" t="str">
        <f>"144114                        "</f>
        <v xml:space="preserve">144114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8.39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</v>
      </c>
      <c r="BI131" s="2">
        <v>1.5</v>
      </c>
      <c r="BJ131" s="2">
        <v>1.4</v>
      </c>
      <c r="BK131" s="2">
        <v>2</v>
      </c>
      <c r="BL131" s="2">
        <v>70.39</v>
      </c>
      <c r="BM131" s="2">
        <v>9.85</v>
      </c>
      <c r="BN131" s="2">
        <v>80.239999999999995</v>
      </c>
      <c r="BO131" s="2">
        <v>80.239999999999995</v>
      </c>
      <c r="BP131" s="2"/>
      <c r="BQ131" s="2" t="s">
        <v>399</v>
      </c>
      <c r="BR131" s="2" t="s">
        <v>83</v>
      </c>
      <c r="BS131" s="3">
        <v>43017</v>
      </c>
      <c r="BT131" s="4">
        <v>0.39583333333333331</v>
      </c>
      <c r="BU131" s="2" t="s">
        <v>665</v>
      </c>
      <c r="BV131" s="2" t="s">
        <v>96</v>
      </c>
      <c r="BW131" s="2"/>
      <c r="BX131" s="2"/>
      <c r="BY131" s="2">
        <v>6800</v>
      </c>
      <c r="BZ131" s="2"/>
      <c r="CA131" s="2"/>
      <c r="CB131" s="2"/>
      <c r="CC131" s="2" t="s">
        <v>397</v>
      </c>
      <c r="CD131" s="2">
        <v>6139</v>
      </c>
      <c r="CE131" s="2" t="s">
        <v>302</v>
      </c>
      <c r="CF131" s="5">
        <v>43021</v>
      </c>
      <c r="CG131" s="2"/>
      <c r="CH131" s="2"/>
      <c r="CI131" s="2">
        <v>2</v>
      </c>
      <c r="CJ131" s="2">
        <v>2</v>
      </c>
      <c r="CK131" s="2">
        <v>33</v>
      </c>
      <c r="CL131" s="2" t="s">
        <v>85</v>
      </c>
      <c r="CM131" s="2"/>
    </row>
    <row r="132" spans="1:91">
      <c r="A132" s="2" t="s">
        <v>71</v>
      </c>
      <c r="B132" s="2" t="s">
        <v>72</v>
      </c>
      <c r="C132" s="2" t="s">
        <v>73</v>
      </c>
      <c r="D132" s="2"/>
      <c r="E132" s="2" t="str">
        <f>"LCR000433"</f>
        <v>LCR000433</v>
      </c>
      <c r="F132" s="3">
        <v>43013</v>
      </c>
      <c r="G132" s="2">
        <v>201804</v>
      </c>
      <c r="H132" s="2" t="s">
        <v>74</v>
      </c>
      <c r="I132" s="2" t="s">
        <v>75</v>
      </c>
      <c r="J132" s="2" t="s">
        <v>76</v>
      </c>
      <c r="K132" s="2" t="s">
        <v>77</v>
      </c>
      <c r="L132" s="2" t="s">
        <v>122</v>
      </c>
      <c r="M132" s="2" t="s">
        <v>123</v>
      </c>
      <c r="N132" s="2" t="s">
        <v>666</v>
      </c>
      <c r="O132" s="2" t="s">
        <v>81</v>
      </c>
      <c r="P132" s="2" t="str">
        <f>"lisl                          "</f>
        <v xml:space="preserve">lisl  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8.7899999999999991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1.5</v>
      </c>
      <c r="BJ132" s="2">
        <v>1.4</v>
      </c>
      <c r="BK132" s="2">
        <v>2</v>
      </c>
      <c r="BL132" s="2">
        <v>78.790000000000006</v>
      </c>
      <c r="BM132" s="2">
        <v>11.03</v>
      </c>
      <c r="BN132" s="2">
        <v>89.82</v>
      </c>
      <c r="BO132" s="2">
        <v>89.82</v>
      </c>
      <c r="BP132" s="2"/>
      <c r="BQ132" s="2" t="s">
        <v>667</v>
      </c>
      <c r="BR132" s="2" t="s">
        <v>83</v>
      </c>
      <c r="BS132" s="3">
        <v>43014</v>
      </c>
      <c r="BT132" s="4">
        <v>0.57222222222222219</v>
      </c>
      <c r="BU132" s="2" t="s">
        <v>668</v>
      </c>
      <c r="BV132" s="2" t="s">
        <v>96</v>
      </c>
      <c r="BW132" s="2"/>
      <c r="BX132" s="2"/>
      <c r="BY132" s="2">
        <v>6800</v>
      </c>
      <c r="BZ132" s="2"/>
      <c r="CA132" s="2" t="s">
        <v>456</v>
      </c>
      <c r="CB132" s="2"/>
      <c r="CC132" s="2" t="s">
        <v>123</v>
      </c>
      <c r="CD132" s="2">
        <v>6045</v>
      </c>
      <c r="CE132" s="2" t="s">
        <v>302</v>
      </c>
      <c r="CF132" s="5">
        <v>43017</v>
      </c>
      <c r="CG132" s="2"/>
      <c r="CH132" s="2"/>
      <c r="CI132" s="2">
        <v>2</v>
      </c>
      <c r="CJ132" s="2">
        <v>1</v>
      </c>
      <c r="CK132" s="2" t="s">
        <v>128</v>
      </c>
      <c r="CL132" s="2" t="s">
        <v>85</v>
      </c>
      <c r="CM132" s="2"/>
    </row>
    <row r="133" spans="1:91">
      <c r="A133" s="2" t="s">
        <v>71</v>
      </c>
      <c r="B133" s="2" t="s">
        <v>72</v>
      </c>
      <c r="C133" s="2" t="s">
        <v>73</v>
      </c>
      <c r="D133" s="2"/>
      <c r="E133" s="2" t="str">
        <f>"LCR000437"</f>
        <v>LCR000437</v>
      </c>
      <c r="F133" s="3">
        <v>43013</v>
      </c>
      <c r="G133" s="2">
        <v>201804</v>
      </c>
      <c r="H133" s="2" t="s">
        <v>74</v>
      </c>
      <c r="I133" s="2" t="s">
        <v>75</v>
      </c>
      <c r="J133" s="2" t="s">
        <v>76</v>
      </c>
      <c r="K133" s="2" t="s">
        <v>77</v>
      </c>
      <c r="L133" s="2" t="s">
        <v>669</v>
      </c>
      <c r="M133" s="2" t="s">
        <v>670</v>
      </c>
      <c r="N133" s="2" t="s">
        <v>671</v>
      </c>
      <c r="O133" s="2" t="s">
        <v>81</v>
      </c>
      <c r="P133" s="2" t="str">
        <f>"144072                        "</f>
        <v xml:space="preserve">144072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10.96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4</v>
      </c>
      <c r="BJ133" s="2">
        <v>3.9</v>
      </c>
      <c r="BK133" s="2">
        <v>4</v>
      </c>
      <c r="BL133" s="2">
        <v>96.96</v>
      </c>
      <c r="BM133" s="2">
        <v>13.57</v>
      </c>
      <c r="BN133" s="2">
        <v>110.53</v>
      </c>
      <c r="BO133" s="2">
        <v>110.53</v>
      </c>
      <c r="BP133" s="2"/>
      <c r="BQ133" s="2" t="s">
        <v>672</v>
      </c>
      <c r="BR133" s="2" t="s">
        <v>83</v>
      </c>
      <c r="BS133" s="3">
        <v>43017</v>
      </c>
      <c r="BT133" s="4">
        <v>0.3888888888888889</v>
      </c>
      <c r="BU133" s="2" t="s">
        <v>673</v>
      </c>
      <c r="BV133" s="2" t="s">
        <v>96</v>
      </c>
      <c r="BW133" s="2"/>
      <c r="BX133" s="2"/>
      <c r="BY133" s="2">
        <v>19683</v>
      </c>
      <c r="BZ133" s="2"/>
      <c r="CA133" s="2" t="s">
        <v>674</v>
      </c>
      <c r="CB133" s="2"/>
      <c r="CC133" s="2" t="s">
        <v>670</v>
      </c>
      <c r="CD133" s="2">
        <v>3900</v>
      </c>
      <c r="CE133" s="2" t="s">
        <v>89</v>
      </c>
      <c r="CF133" s="5">
        <v>43019</v>
      </c>
      <c r="CG133" s="2"/>
      <c r="CH133" s="2"/>
      <c r="CI133" s="2">
        <v>2</v>
      </c>
      <c r="CJ133" s="2">
        <v>2</v>
      </c>
      <c r="CK133" s="2" t="s">
        <v>174</v>
      </c>
      <c r="CL133" s="2" t="s">
        <v>85</v>
      </c>
      <c r="CM133" s="2"/>
    </row>
    <row r="134" spans="1:91">
      <c r="A134" s="2" t="s">
        <v>71</v>
      </c>
      <c r="B134" s="2" t="s">
        <v>72</v>
      </c>
      <c r="C134" s="2" t="s">
        <v>73</v>
      </c>
      <c r="D134" s="2"/>
      <c r="E134" s="2" t="str">
        <f>"LCR000444"</f>
        <v>LCR000444</v>
      </c>
      <c r="F134" s="3">
        <v>43013</v>
      </c>
      <c r="G134" s="2">
        <v>201804</v>
      </c>
      <c r="H134" s="2" t="s">
        <v>74</v>
      </c>
      <c r="I134" s="2" t="s">
        <v>75</v>
      </c>
      <c r="J134" s="2" t="s">
        <v>76</v>
      </c>
      <c r="K134" s="2" t="s">
        <v>77</v>
      </c>
      <c r="L134" s="2" t="s">
        <v>675</v>
      </c>
      <c r="M134" s="2" t="s">
        <v>676</v>
      </c>
      <c r="N134" s="2" t="s">
        <v>677</v>
      </c>
      <c r="O134" s="2" t="s">
        <v>81</v>
      </c>
      <c r="P134" s="2" t="str">
        <f>"143913                        "</f>
        <v xml:space="preserve">143913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9.1300000000000008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7</v>
      </c>
      <c r="BJ134" s="2">
        <v>6.6</v>
      </c>
      <c r="BK134" s="2">
        <v>7</v>
      </c>
      <c r="BL134" s="2">
        <v>81.63</v>
      </c>
      <c r="BM134" s="2">
        <v>11.43</v>
      </c>
      <c r="BN134" s="2">
        <v>93.06</v>
      </c>
      <c r="BO134" s="2">
        <v>93.06</v>
      </c>
      <c r="BP134" s="2"/>
      <c r="BQ134" s="2" t="s">
        <v>678</v>
      </c>
      <c r="BR134" s="2" t="s">
        <v>83</v>
      </c>
      <c r="BS134" s="3">
        <v>43017</v>
      </c>
      <c r="BT134" s="4">
        <v>0.4861111111111111</v>
      </c>
      <c r="BU134" s="2" t="s">
        <v>679</v>
      </c>
      <c r="BV134" s="2" t="s">
        <v>96</v>
      </c>
      <c r="BW134" s="2"/>
      <c r="BX134" s="2"/>
      <c r="BY134" s="2">
        <v>33075</v>
      </c>
      <c r="BZ134" s="2"/>
      <c r="CA134" s="2" t="s">
        <v>203</v>
      </c>
      <c r="CB134" s="2"/>
      <c r="CC134" s="2" t="s">
        <v>676</v>
      </c>
      <c r="CD134" s="2">
        <v>1739</v>
      </c>
      <c r="CE134" s="2" t="s">
        <v>134</v>
      </c>
      <c r="CF134" s="5">
        <v>43020</v>
      </c>
      <c r="CG134" s="2"/>
      <c r="CH134" s="2"/>
      <c r="CI134" s="2">
        <v>2</v>
      </c>
      <c r="CJ134" s="2">
        <v>2</v>
      </c>
      <c r="CK134" s="2" t="s">
        <v>90</v>
      </c>
      <c r="CL134" s="2" t="s">
        <v>85</v>
      </c>
      <c r="CM134" s="2"/>
    </row>
    <row r="135" spans="1:91">
      <c r="A135" s="2" t="s">
        <v>71</v>
      </c>
      <c r="B135" s="2" t="s">
        <v>72</v>
      </c>
      <c r="C135" s="2" t="s">
        <v>73</v>
      </c>
      <c r="D135" s="2"/>
      <c r="E135" s="2" t="str">
        <f>"LCR000443"</f>
        <v>LCR000443</v>
      </c>
      <c r="F135" s="3">
        <v>43013</v>
      </c>
      <c r="G135" s="2">
        <v>201804</v>
      </c>
      <c r="H135" s="2" t="s">
        <v>74</v>
      </c>
      <c r="I135" s="2" t="s">
        <v>75</v>
      </c>
      <c r="J135" s="2" t="s">
        <v>76</v>
      </c>
      <c r="K135" s="2" t="s">
        <v>77</v>
      </c>
      <c r="L135" s="2" t="s">
        <v>680</v>
      </c>
      <c r="M135" s="2" t="s">
        <v>681</v>
      </c>
      <c r="N135" s="2" t="s">
        <v>682</v>
      </c>
      <c r="O135" s="2" t="s">
        <v>81</v>
      </c>
      <c r="P135" s="2" t="str">
        <f>"144130                        "</f>
        <v xml:space="preserve">144130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10.96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1</v>
      </c>
      <c r="BI135" s="2">
        <v>7</v>
      </c>
      <c r="BJ135" s="2">
        <v>6.6</v>
      </c>
      <c r="BK135" s="2">
        <v>7</v>
      </c>
      <c r="BL135" s="2">
        <v>96.96</v>
      </c>
      <c r="BM135" s="2">
        <v>13.57</v>
      </c>
      <c r="BN135" s="2">
        <v>110.53</v>
      </c>
      <c r="BO135" s="2">
        <v>110.53</v>
      </c>
      <c r="BP135" s="2"/>
      <c r="BQ135" s="2" t="s">
        <v>683</v>
      </c>
      <c r="BR135" s="2" t="s">
        <v>83</v>
      </c>
      <c r="BS135" s="3">
        <v>43017</v>
      </c>
      <c r="BT135" s="4">
        <v>0.55555555555555558</v>
      </c>
      <c r="BU135" s="2" t="s">
        <v>684</v>
      </c>
      <c r="BV135" s="2" t="s">
        <v>96</v>
      </c>
      <c r="BW135" s="2"/>
      <c r="BX135" s="2"/>
      <c r="BY135" s="2">
        <v>33075</v>
      </c>
      <c r="BZ135" s="2"/>
      <c r="CA135" s="2"/>
      <c r="CB135" s="2"/>
      <c r="CC135" s="2" t="s">
        <v>681</v>
      </c>
      <c r="CD135" s="2">
        <v>5720</v>
      </c>
      <c r="CE135" s="2" t="s">
        <v>134</v>
      </c>
      <c r="CF135" s="5">
        <v>43021</v>
      </c>
      <c r="CG135" s="2"/>
      <c r="CH135" s="2"/>
      <c r="CI135" s="2">
        <v>3</v>
      </c>
      <c r="CJ135" s="2">
        <v>2</v>
      </c>
      <c r="CK135" s="2" t="s">
        <v>98</v>
      </c>
      <c r="CL135" s="2" t="s">
        <v>85</v>
      </c>
      <c r="CM135" s="2"/>
    </row>
    <row r="136" spans="1:91">
      <c r="A136" s="2" t="s">
        <v>71</v>
      </c>
      <c r="B136" s="2" t="s">
        <v>72</v>
      </c>
      <c r="C136" s="2" t="s">
        <v>73</v>
      </c>
      <c r="D136" s="2"/>
      <c r="E136" s="2" t="str">
        <f>"LCR000436"</f>
        <v>LCR000436</v>
      </c>
      <c r="F136" s="3">
        <v>43013</v>
      </c>
      <c r="G136" s="2">
        <v>201804</v>
      </c>
      <c r="H136" s="2" t="s">
        <v>74</v>
      </c>
      <c r="I136" s="2" t="s">
        <v>75</v>
      </c>
      <c r="J136" s="2" t="s">
        <v>76</v>
      </c>
      <c r="K136" s="2" t="s">
        <v>77</v>
      </c>
      <c r="L136" s="2" t="s">
        <v>680</v>
      </c>
      <c r="M136" s="2" t="s">
        <v>681</v>
      </c>
      <c r="N136" s="2" t="s">
        <v>682</v>
      </c>
      <c r="O136" s="2" t="s">
        <v>81</v>
      </c>
      <c r="P136" s="2" t="str">
        <f>"144111                        "</f>
        <v xml:space="preserve">144111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10.96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1</v>
      </c>
      <c r="BI136" s="2">
        <v>4</v>
      </c>
      <c r="BJ136" s="2">
        <v>3.9</v>
      </c>
      <c r="BK136" s="2">
        <v>4</v>
      </c>
      <c r="BL136" s="2">
        <v>96.96</v>
      </c>
      <c r="BM136" s="2">
        <v>13.57</v>
      </c>
      <c r="BN136" s="2">
        <v>110.53</v>
      </c>
      <c r="BO136" s="2">
        <v>110.53</v>
      </c>
      <c r="BP136" s="2"/>
      <c r="BQ136" s="2" t="s">
        <v>683</v>
      </c>
      <c r="BR136" s="2" t="s">
        <v>83</v>
      </c>
      <c r="BS136" s="3">
        <v>43017</v>
      </c>
      <c r="BT136" s="4">
        <v>0.55555555555555558</v>
      </c>
      <c r="BU136" s="2" t="s">
        <v>684</v>
      </c>
      <c r="BV136" s="2" t="s">
        <v>96</v>
      </c>
      <c r="BW136" s="2"/>
      <c r="BX136" s="2"/>
      <c r="BY136" s="2">
        <v>19683</v>
      </c>
      <c r="BZ136" s="2"/>
      <c r="CA136" s="2"/>
      <c r="CB136" s="2"/>
      <c r="CC136" s="2" t="s">
        <v>681</v>
      </c>
      <c r="CD136" s="2">
        <v>5720</v>
      </c>
      <c r="CE136" s="2" t="s">
        <v>89</v>
      </c>
      <c r="CF136" s="5">
        <v>43021</v>
      </c>
      <c r="CG136" s="2"/>
      <c r="CH136" s="2"/>
      <c r="CI136" s="2">
        <v>3</v>
      </c>
      <c r="CJ136" s="2">
        <v>2</v>
      </c>
      <c r="CK136" s="2" t="s">
        <v>98</v>
      </c>
      <c r="CL136" s="2" t="s">
        <v>85</v>
      </c>
      <c r="CM136" s="2"/>
    </row>
    <row r="137" spans="1:91">
      <c r="A137" s="2" t="s">
        <v>71</v>
      </c>
      <c r="B137" s="2" t="s">
        <v>72</v>
      </c>
      <c r="C137" s="2" t="s">
        <v>73</v>
      </c>
      <c r="D137" s="2"/>
      <c r="E137" s="2" t="str">
        <f>"LCR000440"</f>
        <v>LCR000440</v>
      </c>
      <c r="F137" s="3">
        <v>43013</v>
      </c>
      <c r="G137" s="2">
        <v>201804</v>
      </c>
      <c r="H137" s="2" t="s">
        <v>74</v>
      </c>
      <c r="I137" s="2" t="s">
        <v>75</v>
      </c>
      <c r="J137" s="2" t="s">
        <v>76</v>
      </c>
      <c r="K137" s="2" t="s">
        <v>77</v>
      </c>
      <c r="L137" s="2" t="s">
        <v>135</v>
      </c>
      <c r="M137" s="2" t="s">
        <v>136</v>
      </c>
      <c r="N137" s="2" t="s">
        <v>657</v>
      </c>
      <c r="O137" s="2" t="s">
        <v>81</v>
      </c>
      <c r="P137" s="2" t="str">
        <f>"Jo-Anne Ramadene              "</f>
        <v xml:space="preserve">Jo-Anne Ramadene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9.1300000000000008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4</v>
      </c>
      <c r="BJ137" s="2">
        <v>3.9</v>
      </c>
      <c r="BK137" s="2">
        <v>4</v>
      </c>
      <c r="BL137" s="2">
        <v>81.63</v>
      </c>
      <c r="BM137" s="2">
        <v>11.43</v>
      </c>
      <c r="BN137" s="2">
        <v>93.06</v>
      </c>
      <c r="BO137" s="2">
        <v>93.06</v>
      </c>
      <c r="BP137" s="2"/>
      <c r="BQ137" s="2" t="s">
        <v>658</v>
      </c>
      <c r="BR137" s="2" t="s">
        <v>83</v>
      </c>
      <c r="BS137" s="3">
        <v>43017</v>
      </c>
      <c r="BT137" s="4">
        <v>0.42708333333333331</v>
      </c>
      <c r="BU137" s="2" t="s">
        <v>659</v>
      </c>
      <c r="BV137" s="2" t="s">
        <v>96</v>
      </c>
      <c r="BW137" s="2"/>
      <c r="BX137" s="2"/>
      <c r="BY137" s="2">
        <v>19683</v>
      </c>
      <c r="BZ137" s="2"/>
      <c r="CA137" s="2" t="s">
        <v>685</v>
      </c>
      <c r="CB137" s="2"/>
      <c r="CC137" s="2" t="s">
        <v>136</v>
      </c>
      <c r="CD137" s="2">
        <v>4037</v>
      </c>
      <c r="CE137" s="2" t="s">
        <v>89</v>
      </c>
      <c r="CF137" s="5">
        <v>43018</v>
      </c>
      <c r="CG137" s="2"/>
      <c r="CH137" s="2"/>
      <c r="CI137" s="2">
        <v>2</v>
      </c>
      <c r="CJ137" s="2">
        <v>2</v>
      </c>
      <c r="CK137" s="2" t="s">
        <v>90</v>
      </c>
      <c r="CL137" s="2" t="s">
        <v>85</v>
      </c>
      <c r="CM137" s="2"/>
    </row>
    <row r="138" spans="1:91">
      <c r="A138" s="2" t="s">
        <v>71</v>
      </c>
      <c r="B138" s="2" t="s">
        <v>72</v>
      </c>
      <c r="C138" s="2" t="s">
        <v>73</v>
      </c>
      <c r="D138" s="2"/>
      <c r="E138" s="2" t="str">
        <f>"LCR000381"</f>
        <v>LCR000381</v>
      </c>
      <c r="F138" s="3">
        <v>43011</v>
      </c>
      <c r="G138" s="2">
        <v>201804</v>
      </c>
      <c r="H138" s="2" t="s">
        <v>74</v>
      </c>
      <c r="I138" s="2" t="s">
        <v>75</v>
      </c>
      <c r="J138" s="2" t="s">
        <v>76</v>
      </c>
      <c r="K138" s="2" t="s">
        <v>77</v>
      </c>
      <c r="L138" s="2" t="s">
        <v>686</v>
      </c>
      <c r="M138" s="2" t="s">
        <v>687</v>
      </c>
      <c r="N138" s="2" t="s">
        <v>688</v>
      </c>
      <c r="O138" s="2" t="s">
        <v>81</v>
      </c>
      <c r="P138" s="2" t="str">
        <f>"144004                        "</f>
        <v xml:space="preserve">144004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13.11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1.7</v>
      </c>
      <c r="BJ138" s="2">
        <v>3.9</v>
      </c>
      <c r="BK138" s="2">
        <v>4</v>
      </c>
      <c r="BL138" s="2">
        <v>126.11</v>
      </c>
      <c r="BM138" s="2">
        <v>17.66</v>
      </c>
      <c r="BN138" s="2">
        <v>143.77000000000001</v>
      </c>
      <c r="BO138" s="2">
        <v>143.77000000000001</v>
      </c>
      <c r="BP138" s="2"/>
      <c r="BQ138" s="2" t="s">
        <v>689</v>
      </c>
      <c r="BR138" s="2" t="s">
        <v>83</v>
      </c>
      <c r="BS138" s="3">
        <v>43014</v>
      </c>
      <c r="BT138" s="4">
        <v>0.66597222222222219</v>
      </c>
      <c r="BU138" s="2" t="s">
        <v>690</v>
      </c>
      <c r="BV138" s="2"/>
      <c r="BW138" s="2"/>
      <c r="BX138" s="2"/>
      <c r="BY138" s="2">
        <v>19577.04</v>
      </c>
      <c r="BZ138" s="2"/>
      <c r="CA138" s="2" t="s">
        <v>691</v>
      </c>
      <c r="CB138" s="2"/>
      <c r="CC138" s="2" t="s">
        <v>687</v>
      </c>
      <c r="CD138" s="2">
        <v>4700</v>
      </c>
      <c r="CE138" s="2" t="s">
        <v>89</v>
      </c>
      <c r="CF138" s="5">
        <v>43018</v>
      </c>
      <c r="CG138" s="2"/>
      <c r="CH138" s="2"/>
      <c r="CI138" s="2">
        <v>0</v>
      </c>
      <c r="CJ138" s="2">
        <v>0</v>
      </c>
      <c r="CK138" s="2" t="s">
        <v>181</v>
      </c>
      <c r="CL138" s="2" t="s">
        <v>85</v>
      </c>
      <c r="CM138" s="2"/>
    </row>
    <row r="139" spans="1:91">
      <c r="A139" s="2" t="s">
        <v>71</v>
      </c>
      <c r="B139" s="2" t="s">
        <v>72</v>
      </c>
      <c r="C139" s="2" t="s">
        <v>73</v>
      </c>
      <c r="D139" s="2"/>
      <c r="E139" s="2" t="str">
        <f>"069907658934"</f>
        <v>069907658934</v>
      </c>
      <c r="F139" s="3">
        <v>43013</v>
      </c>
      <c r="G139" s="2">
        <v>201804</v>
      </c>
      <c r="H139" s="2" t="s">
        <v>410</v>
      </c>
      <c r="I139" s="2" t="s">
        <v>411</v>
      </c>
      <c r="J139" s="2" t="s">
        <v>412</v>
      </c>
      <c r="K139" s="2" t="s">
        <v>77</v>
      </c>
      <c r="L139" s="2" t="s">
        <v>284</v>
      </c>
      <c r="M139" s="2" t="s">
        <v>285</v>
      </c>
      <c r="N139" s="2" t="s">
        <v>276</v>
      </c>
      <c r="O139" s="2" t="s">
        <v>278</v>
      </c>
      <c r="P139" s="2" t="str">
        <f>"                              "</f>
        <v xml:space="preserve">      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4.33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1</v>
      </c>
      <c r="BJ139" s="2">
        <v>0.2</v>
      </c>
      <c r="BK139" s="2">
        <v>1</v>
      </c>
      <c r="BL139" s="2">
        <v>36.33</v>
      </c>
      <c r="BM139" s="2">
        <v>5.09</v>
      </c>
      <c r="BN139" s="2">
        <v>41.42</v>
      </c>
      <c r="BO139" s="2">
        <v>41.42</v>
      </c>
      <c r="BP139" s="2"/>
      <c r="BQ139" s="2" t="s">
        <v>692</v>
      </c>
      <c r="BR139" s="2" t="s">
        <v>414</v>
      </c>
      <c r="BS139" s="3">
        <v>43014</v>
      </c>
      <c r="BT139" s="4">
        <v>0.35625000000000001</v>
      </c>
      <c r="BU139" s="2" t="s">
        <v>693</v>
      </c>
      <c r="BV139" s="2" t="s">
        <v>96</v>
      </c>
      <c r="BW139" s="2"/>
      <c r="BX139" s="2"/>
      <c r="BY139" s="2">
        <v>1200</v>
      </c>
      <c r="BZ139" s="2" t="s">
        <v>27</v>
      </c>
      <c r="CA139" s="2" t="s">
        <v>416</v>
      </c>
      <c r="CB139" s="2"/>
      <c r="CC139" s="2" t="s">
        <v>285</v>
      </c>
      <c r="CD139" s="2">
        <v>1600</v>
      </c>
      <c r="CE139" s="2" t="s">
        <v>283</v>
      </c>
      <c r="CF139" s="5">
        <v>43017</v>
      </c>
      <c r="CG139" s="2"/>
      <c r="CH139" s="2"/>
      <c r="CI139" s="2">
        <v>1</v>
      </c>
      <c r="CJ139" s="2">
        <v>1</v>
      </c>
      <c r="CK139" s="2">
        <v>21</v>
      </c>
      <c r="CL139" s="2" t="s">
        <v>85</v>
      </c>
      <c r="CM139" s="2"/>
    </row>
    <row r="140" spans="1:91">
      <c r="A140" s="2" t="s">
        <v>71</v>
      </c>
      <c r="B140" s="2" t="s">
        <v>72</v>
      </c>
      <c r="C140" s="2" t="s">
        <v>73</v>
      </c>
      <c r="D140" s="2"/>
      <c r="E140" s="2" t="str">
        <f>"LCR000310"</f>
        <v>LCR000310</v>
      </c>
      <c r="F140" s="3">
        <v>43010</v>
      </c>
      <c r="G140" s="2">
        <v>201804</v>
      </c>
      <c r="H140" s="2" t="s">
        <v>74</v>
      </c>
      <c r="I140" s="2" t="s">
        <v>75</v>
      </c>
      <c r="J140" s="2" t="s">
        <v>694</v>
      </c>
      <c r="K140" s="2" t="s">
        <v>77</v>
      </c>
      <c r="L140" s="2" t="s">
        <v>284</v>
      </c>
      <c r="M140" s="2" t="s">
        <v>285</v>
      </c>
      <c r="N140" s="2" t="s">
        <v>695</v>
      </c>
      <c r="O140" s="2" t="s">
        <v>81</v>
      </c>
      <c r="P140" s="2" t="str">
        <f>"143937 2OA23026               "</f>
        <v xml:space="preserve">143937 2OA23026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8.19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7</v>
      </c>
      <c r="BJ140" s="2">
        <v>6.6</v>
      </c>
      <c r="BK140" s="2">
        <v>7</v>
      </c>
      <c r="BL140" s="2">
        <v>80.69</v>
      </c>
      <c r="BM140" s="2">
        <v>11.3</v>
      </c>
      <c r="BN140" s="2">
        <v>91.99</v>
      </c>
      <c r="BO140" s="2">
        <v>91.99</v>
      </c>
      <c r="BP140" s="2"/>
      <c r="BQ140" s="2" t="s">
        <v>696</v>
      </c>
      <c r="BR140" s="2" t="s">
        <v>697</v>
      </c>
      <c r="BS140" s="3">
        <v>43014</v>
      </c>
      <c r="BT140" s="4">
        <v>0.70208333333333339</v>
      </c>
      <c r="BU140" s="2" t="s">
        <v>103</v>
      </c>
      <c r="BV140" s="2"/>
      <c r="BW140" s="2"/>
      <c r="BX140" s="2"/>
      <c r="BY140" s="2">
        <v>33075</v>
      </c>
      <c r="BZ140" s="2"/>
      <c r="CA140" s="2"/>
      <c r="CB140" s="2"/>
      <c r="CC140" s="2" t="s">
        <v>285</v>
      </c>
      <c r="CD140" s="2">
        <v>1609</v>
      </c>
      <c r="CE140" s="2" t="s">
        <v>134</v>
      </c>
      <c r="CF140" s="5">
        <v>43017</v>
      </c>
      <c r="CG140" s="2"/>
      <c r="CH140" s="2"/>
      <c r="CI140" s="2">
        <v>0</v>
      </c>
      <c r="CJ140" s="2">
        <v>0</v>
      </c>
      <c r="CK140" s="2" t="s">
        <v>90</v>
      </c>
      <c r="CL140" s="2" t="s">
        <v>85</v>
      </c>
      <c r="CM140" s="2"/>
    </row>
    <row r="141" spans="1:91">
      <c r="A141" s="2" t="s">
        <v>71</v>
      </c>
      <c r="B141" s="2" t="s">
        <v>72</v>
      </c>
      <c r="C141" s="2" t="s">
        <v>73</v>
      </c>
      <c r="D141" s="2"/>
      <c r="E141" s="2" t="str">
        <f>"LCR000288"</f>
        <v>LCR000288</v>
      </c>
      <c r="F141" s="3">
        <v>43007</v>
      </c>
      <c r="G141" s="2">
        <v>201804</v>
      </c>
      <c r="H141" s="2" t="s">
        <v>74</v>
      </c>
      <c r="I141" s="2" t="s">
        <v>75</v>
      </c>
      <c r="J141" s="2" t="s">
        <v>76</v>
      </c>
      <c r="K141" s="2" t="s">
        <v>77</v>
      </c>
      <c r="L141" s="2" t="s">
        <v>149</v>
      </c>
      <c r="M141" s="2" t="s">
        <v>150</v>
      </c>
      <c r="N141" s="2" t="s">
        <v>698</v>
      </c>
      <c r="O141" s="2" t="s">
        <v>81</v>
      </c>
      <c r="P141" s="2" t="str">
        <f>"143853                        "</f>
        <v xml:space="preserve">143853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6.74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2</v>
      </c>
      <c r="BI141" s="2">
        <v>8.1999999999999993</v>
      </c>
      <c r="BJ141" s="2">
        <v>21.9</v>
      </c>
      <c r="BK141" s="2">
        <v>22</v>
      </c>
      <c r="BL141" s="2">
        <v>67.239999999999995</v>
      </c>
      <c r="BM141" s="2">
        <v>9.41</v>
      </c>
      <c r="BN141" s="2">
        <v>76.650000000000006</v>
      </c>
      <c r="BO141" s="2">
        <v>76.650000000000006</v>
      </c>
      <c r="BP141" s="2"/>
      <c r="BQ141" s="2" t="s">
        <v>699</v>
      </c>
      <c r="BR141" s="2" t="s">
        <v>83</v>
      </c>
      <c r="BS141" s="3">
        <v>43014</v>
      </c>
      <c r="BT141" s="4">
        <v>0.5</v>
      </c>
      <c r="BU141" s="2" t="s">
        <v>700</v>
      </c>
      <c r="BV141" s="2" t="s">
        <v>85</v>
      </c>
      <c r="BW141" s="2" t="s">
        <v>219</v>
      </c>
      <c r="BX141" s="2" t="s">
        <v>306</v>
      </c>
      <c r="BY141" s="2">
        <v>109490.04</v>
      </c>
      <c r="BZ141" s="2"/>
      <c r="CA141" s="2" t="s">
        <v>334</v>
      </c>
      <c r="CB141" s="2"/>
      <c r="CC141" s="2" t="s">
        <v>150</v>
      </c>
      <c r="CD141" s="2">
        <v>7550</v>
      </c>
      <c r="CE141" s="2" t="s">
        <v>89</v>
      </c>
      <c r="CF141" s="5">
        <v>43017</v>
      </c>
      <c r="CG141" s="2"/>
      <c r="CH141" s="2"/>
      <c r="CI141" s="2">
        <v>1</v>
      </c>
      <c r="CJ141" s="2">
        <v>5</v>
      </c>
      <c r="CK141" s="2" t="s">
        <v>154</v>
      </c>
      <c r="CL141" s="2" t="s">
        <v>85</v>
      </c>
      <c r="CM141" s="2"/>
    </row>
    <row r="142" spans="1:91">
      <c r="A142" s="2" t="s">
        <v>71</v>
      </c>
      <c r="B142" s="2" t="s">
        <v>72</v>
      </c>
      <c r="C142" s="2" t="s">
        <v>73</v>
      </c>
      <c r="D142" s="2"/>
      <c r="E142" s="2" t="str">
        <f>"069908477999"</f>
        <v>069908477999</v>
      </c>
      <c r="F142" s="3">
        <v>43013</v>
      </c>
      <c r="G142" s="2">
        <v>201804</v>
      </c>
      <c r="H142" s="2" t="s">
        <v>149</v>
      </c>
      <c r="I142" s="2" t="s">
        <v>150</v>
      </c>
      <c r="J142" s="2" t="s">
        <v>701</v>
      </c>
      <c r="K142" s="2" t="s">
        <v>77</v>
      </c>
      <c r="L142" s="2" t="s">
        <v>284</v>
      </c>
      <c r="M142" s="2" t="s">
        <v>285</v>
      </c>
      <c r="N142" s="2" t="s">
        <v>286</v>
      </c>
      <c r="O142" s="2" t="s">
        <v>278</v>
      </c>
      <c r="P142" s="2" t="str">
        <f>"                              "</f>
        <v xml:space="preserve">     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47.63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15.4</v>
      </c>
      <c r="BJ142" s="2">
        <v>21.9</v>
      </c>
      <c r="BK142" s="2">
        <v>22</v>
      </c>
      <c r="BL142" s="2">
        <v>399.63</v>
      </c>
      <c r="BM142" s="2">
        <v>55.95</v>
      </c>
      <c r="BN142" s="2">
        <v>455.58</v>
      </c>
      <c r="BO142" s="2">
        <v>455.58</v>
      </c>
      <c r="BP142" s="2"/>
      <c r="BQ142" s="2" t="s">
        <v>702</v>
      </c>
      <c r="BR142" s="2" t="s">
        <v>703</v>
      </c>
      <c r="BS142" s="3">
        <v>43014</v>
      </c>
      <c r="BT142" s="4">
        <v>0.41666666666666669</v>
      </c>
      <c r="BU142" s="2" t="s">
        <v>704</v>
      </c>
      <c r="BV142" s="2" t="s">
        <v>96</v>
      </c>
      <c r="BW142" s="2"/>
      <c r="BX142" s="2"/>
      <c r="BY142" s="2">
        <v>109616.85</v>
      </c>
      <c r="BZ142" s="2" t="s">
        <v>27</v>
      </c>
      <c r="CA142" s="2" t="s">
        <v>705</v>
      </c>
      <c r="CB142" s="2"/>
      <c r="CC142" s="2" t="s">
        <v>285</v>
      </c>
      <c r="CD142" s="2">
        <v>1682</v>
      </c>
      <c r="CE142" s="2" t="s">
        <v>283</v>
      </c>
      <c r="CF142" s="5">
        <v>43017</v>
      </c>
      <c r="CG142" s="2"/>
      <c r="CH142" s="2"/>
      <c r="CI142" s="2">
        <v>1</v>
      </c>
      <c r="CJ142" s="2">
        <v>1</v>
      </c>
      <c r="CK142" s="2">
        <v>21</v>
      </c>
      <c r="CL142" s="2" t="s">
        <v>85</v>
      </c>
      <c r="CM142" s="2"/>
    </row>
    <row r="143" spans="1:91">
      <c r="A143" s="2" t="s">
        <v>71</v>
      </c>
      <c r="B143" s="2" t="s">
        <v>72</v>
      </c>
      <c r="C143" s="2" t="s">
        <v>73</v>
      </c>
      <c r="D143" s="2"/>
      <c r="E143" s="2" t="str">
        <f>"009936670415"</f>
        <v>009936670415</v>
      </c>
      <c r="F143" s="3">
        <v>43013</v>
      </c>
      <c r="G143" s="2">
        <v>201804</v>
      </c>
      <c r="H143" s="2" t="s">
        <v>129</v>
      </c>
      <c r="I143" s="2" t="s">
        <v>130</v>
      </c>
      <c r="J143" s="2" t="s">
        <v>706</v>
      </c>
      <c r="K143" s="2" t="s">
        <v>77</v>
      </c>
      <c r="L143" s="2" t="s">
        <v>234</v>
      </c>
      <c r="M143" s="2" t="s">
        <v>235</v>
      </c>
      <c r="N143" s="2" t="s">
        <v>707</v>
      </c>
      <c r="O143" s="2" t="s">
        <v>278</v>
      </c>
      <c r="P143" s="2" t="str">
        <f>"NA                            "</f>
        <v xml:space="preserve">NA    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9.74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1</v>
      </c>
      <c r="BI143" s="2">
        <v>1.9</v>
      </c>
      <c r="BJ143" s="2">
        <v>4.0999999999999996</v>
      </c>
      <c r="BK143" s="2">
        <v>4.5</v>
      </c>
      <c r="BL143" s="2">
        <v>81.739999999999995</v>
      </c>
      <c r="BM143" s="2">
        <v>11.44</v>
      </c>
      <c r="BN143" s="2">
        <v>93.18</v>
      </c>
      <c r="BO143" s="2">
        <v>93.18</v>
      </c>
      <c r="BP143" s="2"/>
      <c r="BQ143" s="2" t="s">
        <v>708</v>
      </c>
      <c r="BR143" s="2" t="s">
        <v>709</v>
      </c>
      <c r="BS143" s="3">
        <v>43014</v>
      </c>
      <c r="BT143" s="4">
        <v>0.38680555555555557</v>
      </c>
      <c r="BU143" s="2" t="s">
        <v>708</v>
      </c>
      <c r="BV143" s="2" t="s">
        <v>96</v>
      </c>
      <c r="BW143" s="2"/>
      <c r="BX143" s="2"/>
      <c r="BY143" s="2">
        <v>20305.400000000001</v>
      </c>
      <c r="BZ143" s="2" t="s">
        <v>27</v>
      </c>
      <c r="CA143" s="2" t="s">
        <v>710</v>
      </c>
      <c r="CB143" s="2"/>
      <c r="CC143" s="2" t="s">
        <v>235</v>
      </c>
      <c r="CD143" s="2">
        <v>4000</v>
      </c>
      <c r="CE143" s="2" t="s">
        <v>283</v>
      </c>
      <c r="CF143" s="5">
        <v>43017</v>
      </c>
      <c r="CG143" s="2"/>
      <c r="CH143" s="2"/>
      <c r="CI143" s="2">
        <v>1</v>
      </c>
      <c r="CJ143" s="2">
        <v>1</v>
      </c>
      <c r="CK143" s="2">
        <v>21</v>
      </c>
      <c r="CL143" s="2" t="s">
        <v>85</v>
      </c>
      <c r="CM143" s="2"/>
    </row>
    <row r="144" spans="1:91">
      <c r="A144" s="2" t="s">
        <v>275</v>
      </c>
      <c r="B144" s="2" t="s">
        <v>72</v>
      </c>
      <c r="C144" s="2" t="s">
        <v>73</v>
      </c>
      <c r="D144" s="2"/>
      <c r="E144" s="2" t="str">
        <f>"069907978992"</f>
        <v>069907978992</v>
      </c>
      <c r="F144" s="3">
        <v>43013</v>
      </c>
      <c r="G144" s="2">
        <v>201804</v>
      </c>
      <c r="H144" s="2" t="s">
        <v>116</v>
      </c>
      <c r="I144" s="2" t="s">
        <v>117</v>
      </c>
      <c r="J144" s="2" t="s">
        <v>276</v>
      </c>
      <c r="K144" s="2" t="s">
        <v>77</v>
      </c>
      <c r="L144" s="2" t="s">
        <v>610</v>
      </c>
      <c r="M144" s="2" t="s">
        <v>611</v>
      </c>
      <c r="N144" s="2" t="s">
        <v>711</v>
      </c>
      <c r="O144" s="2" t="s">
        <v>278</v>
      </c>
      <c r="P144" s="2" t="str">
        <f>"                              "</f>
        <v xml:space="preserve">  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8.66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3.5</v>
      </c>
      <c r="BJ144" s="2">
        <v>4</v>
      </c>
      <c r="BK144" s="2">
        <v>4</v>
      </c>
      <c r="BL144" s="2">
        <v>72.66</v>
      </c>
      <c r="BM144" s="2">
        <v>10.17</v>
      </c>
      <c r="BN144" s="2">
        <v>82.83</v>
      </c>
      <c r="BO144" s="2">
        <v>82.83</v>
      </c>
      <c r="BP144" s="2"/>
      <c r="BQ144" s="2" t="s">
        <v>712</v>
      </c>
      <c r="BR144" s="2" t="s">
        <v>713</v>
      </c>
      <c r="BS144" s="3">
        <v>43014</v>
      </c>
      <c r="BT144" s="4">
        <v>0.4236111111111111</v>
      </c>
      <c r="BU144" s="2" t="s">
        <v>714</v>
      </c>
      <c r="BV144" s="2" t="s">
        <v>96</v>
      </c>
      <c r="BW144" s="2"/>
      <c r="BX144" s="2"/>
      <c r="BY144" s="2">
        <v>20137.88</v>
      </c>
      <c r="BZ144" s="2" t="s">
        <v>27</v>
      </c>
      <c r="CA144" s="2" t="s">
        <v>715</v>
      </c>
      <c r="CB144" s="2"/>
      <c r="CC144" s="2" t="s">
        <v>611</v>
      </c>
      <c r="CD144" s="2">
        <v>700</v>
      </c>
      <c r="CE144" s="2" t="s">
        <v>283</v>
      </c>
      <c r="CF144" s="5">
        <v>43018</v>
      </c>
      <c r="CG144" s="2"/>
      <c r="CH144" s="2"/>
      <c r="CI144" s="2">
        <v>1</v>
      </c>
      <c r="CJ144" s="2">
        <v>1</v>
      </c>
      <c r="CK144" s="2">
        <v>21</v>
      </c>
      <c r="CL144" s="2" t="s">
        <v>85</v>
      </c>
      <c r="CM144" s="2"/>
    </row>
    <row r="145" spans="1:91">
      <c r="A145" s="2" t="s">
        <v>71</v>
      </c>
      <c r="B145" s="2" t="s">
        <v>72</v>
      </c>
      <c r="C145" s="2" t="s">
        <v>73</v>
      </c>
      <c r="D145" s="2"/>
      <c r="E145" s="2" t="str">
        <f>"LCR000416"</f>
        <v>LCR000416</v>
      </c>
      <c r="F145" s="3">
        <v>43012</v>
      </c>
      <c r="G145" s="2">
        <v>201804</v>
      </c>
      <c r="H145" s="2" t="s">
        <v>74</v>
      </c>
      <c r="I145" s="2" t="s">
        <v>75</v>
      </c>
      <c r="J145" s="2" t="s">
        <v>76</v>
      </c>
      <c r="K145" s="2" t="s">
        <v>77</v>
      </c>
      <c r="L145" s="2" t="s">
        <v>149</v>
      </c>
      <c r="M145" s="2" t="s">
        <v>150</v>
      </c>
      <c r="N145" s="2" t="s">
        <v>716</v>
      </c>
      <c r="O145" s="2" t="s">
        <v>81</v>
      </c>
      <c r="P145" s="2" t="str">
        <f>"144091                        "</f>
        <v xml:space="preserve">144091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6.09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1</v>
      </c>
      <c r="BI145" s="2">
        <v>1</v>
      </c>
      <c r="BJ145" s="2">
        <v>6.6</v>
      </c>
      <c r="BK145" s="2">
        <v>7</v>
      </c>
      <c r="BL145" s="2">
        <v>56.09</v>
      </c>
      <c r="BM145" s="2">
        <v>7.85</v>
      </c>
      <c r="BN145" s="2">
        <v>63.94</v>
      </c>
      <c r="BO145" s="2">
        <v>63.94</v>
      </c>
      <c r="BP145" s="2"/>
      <c r="BQ145" s="2" t="s">
        <v>717</v>
      </c>
      <c r="BR145" s="2" t="s">
        <v>83</v>
      </c>
      <c r="BS145" s="3">
        <v>43013</v>
      </c>
      <c r="BT145" s="4">
        <v>0.63541666666666663</v>
      </c>
      <c r="BU145" s="2" t="s">
        <v>717</v>
      </c>
      <c r="BV145" s="2" t="s">
        <v>96</v>
      </c>
      <c r="BW145" s="2"/>
      <c r="BX145" s="2"/>
      <c r="BY145" s="2">
        <v>33075</v>
      </c>
      <c r="BZ145" s="2"/>
      <c r="CA145" s="2" t="s">
        <v>718</v>
      </c>
      <c r="CB145" s="2"/>
      <c r="CC145" s="2" t="s">
        <v>150</v>
      </c>
      <c r="CD145" s="2">
        <v>7499</v>
      </c>
      <c r="CE145" s="2" t="s">
        <v>134</v>
      </c>
      <c r="CF145" s="5">
        <v>43013</v>
      </c>
      <c r="CG145" s="2"/>
      <c r="CH145" s="2"/>
      <c r="CI145" s="2">
        <v>1</v>
      </c>
      <c r="CJ145" s="2">
        <v>1</v>
      </c>
      <c r="CK145" s="2" t="s">
        <v>154</v>
      </c>
      <c r="CL145" s="2" t="s">
        <v>85</v>
      </c>
      <c r="CM145" s="2"/>
    </row>
    <row r="146" spans="1:91">
      <c r="A146" s="2" t="s">
        <v>71</v>
      </c>
      <c r="B146" s="2" t="s">
        <v>72</v>
      </c>
      <c r="C146" s="2" t="s">
        <v>73</v>
      </c>
      <c r="D146" s="2"/>
      <c r="E146" s="2" t="str">
        <f>"LCR000397"</f>
        <v>LCR000397</v>
      </c>
      <c r="F146" s="3">
        <v>43012</v>
      </c>
      <c r="G146" s="2">
        <v>201804</v>
      </c>
      <c r="H146" s="2" t="s">
        <v>74</v>
      </c>
      <c r="I146" s="2" t="s">
        <v>75</v>
      </c>
      <c r="J146" s="2" t="s">
        <v>76</v>
      </c>
      <c r="K146" s="2" t="s">
        <v>77</v>
      </c>
      <c r="L146" s="2" t="s">
        <v>116</v>
      </c>
      <c r="M146" s="2" t="s">
        <v>117</v>
      </c>
      <c r="N146" s="2" t="s">
        <v>719</v>
      </c>
      <c r="O146" s="2" t="s">
        <v>81</v>
      </c>
      <c r="P146" s="2" t="str">
        <f>"144078                        "</f>
        <v xml:space="preserve">144078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9.89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1</v>
      </c>
      <c r="BI146" s="2">
        <v>1</v>
      </c>
      <c r="BJ146" s="2">
        <v>16.3</v>
      </c>
      <c r="BK146" s="2">
        <v>17</v>
      </c>
      <c r="BL146" s="2">
        <v>87.99</v>
      </c>
      <c r="BM146" s="2">
        <v>12.32</v>
      </c>
      <c r="BN146" s="2">
        <v>100.31</v>
      </c>
      <c r="BO146" s="2">
        <v>100.31</v>
      </c>
      <c r="BP146" s="2"/>
      <c r="BQ146" s="2" t="s">
        <v>720</v>
      </c>
      <c r="BR146" s="2" t="s">
        <v>83</v>
      </c>
      <c r="BS146" s="3">
        <v>43017</v>
      </c>
      <c r="BT146" s="4">
        <v>0.50069444444444444</v>
      </c>
      <c r="BU146" s="2" t="s">
        <v>721</v>
      </c>
      <c r="BV146" s="2" t="s">
        <v>85</v>
      </c>
      <c r="BW146" s="2" t="s">
        <v>219</v>
      </c>
      <c r="BX146" s="2" t="s">
        <v>220</v>
      </c>
      <c r="BY146" s="2">
        <v>81600</v>
      </c>
      <c r="BZ146" s="2"/>
      <c r="CA146" s="2" t="s">
        <v>722</v>
      </c>
      <c r="CB146" s="2"/>
      <c r="CC146" s="2" t="s">
        <v>117</v>
      </c>
      <c r="CD146" s="2">
        <v>200</v>
      </c>
      <c r="CE146" s="2" t="s">
        <v>121</v>
      </c>
      <c r="CF146" s="5">
        <v>43020</v>
      </c>
      <c r="CG146" s="2"/>
      <c r="CH146" s="2"/>
      <c r="CI146" s="2">
        <v>2</v>
      </c>
      <c r="CJ146" s="2">
        <v>3</v>
      </c>
      <c r="CK146" s="2" t="s">
        <v>90</v>
      </c>
      <c r="CL146" s="2" t="s">
        <v>85</v>
      </c>
      <c r="CM146" s="2"/>
    </row>
    <row r="147" spans="1:91">
      <c r="A147" s="2" t="s">
        <v>71</v>
      </c>
      <c r="B147" s="2" t="s">
        <v>72</v>
      </c>
      <c r="C147" s="2" t="s">
        <v>73</v>
      </c>
      <c r="D147" s="2"/>
      <c r="E147" s="2" t="str">
        <f>"LCR000322"</f>
        <v>LCR000322</v>
      </c>
      <c r="F147" s="3">
        <v>43010</v>
      </c>
      <c r="G147" s="2">
        <v>201804</v>
      </c>
      <c r="H147" s="2" t="s">
        <v>74</v>
      </c>
      <c r="I147" s="2" t="s">
        <v>75</v>
      </c>
      <c r="J147" s="2" t="s">
        <v>76</v>
      </c>
      <c r="K147" s="2" t="s">
        <v>77</v>
      </c>
      <c r="L147" s="2" t="s">
        <v>149</v>
      </c>
      <c r="M147" s="2" t="s">
        <v>150</v>
      </c>
      <c r="N147" s="2" t="s">
        <v>723</v>
      </c>
      <c r="O147" s="2" t="s">
        <v>81</v>
      </c>
      <c r="P147" s="2" t="str">
        <f>"143932 2oa23005               "</f>
        <v xml:space="preserve">143932 2oa23005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5.83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1</v>
      </c>
      <c r="BI147" s="2">
        <v>1</v>
      </c>
      <c r="BJ147" s="2">
        <v>16.3</v>
      </c>
      <c r="BK147" s="2">
        <v>17</v>
      </c>
      <c r="BL147" s="2">
        <v>58.83</v>
      </c>
      <c r="BM147" s="2">
        <v>8.24</v>
      </c>
      <c r="BN147" s="2">
        <v>67.069999999999993</v>
      </c>
      <c r="BO147" s="2">
        <v>67.069999999999993</v>
      </c>
      <c r="BP147" s="2"/>
      <c r="BQ147" s="2" t="s">
        <v>724</v>
      </c>
      <c r="BR147" s="2" t="s">
        <v>83</v>
      </c>
      <c r="BS147" s="3">
        <v>43012</v>
      </c>
      <c r="BT147" s="4">
        <v>0.43611111111111112</v>
      </c>
      <c r="BU147" s="2" t="s">
        <v>725</v>
      </c>
      <c r="BV147" s="2" t="s">
        <v>85</v>
      </c>
      <c r="BW147" s="2" t="s">
        <v>726</v>
      </c>
      <c r="BX147" s="2" t="s">
        <v>727</v>
      </c>
      <c r="BY147" s="2">
        <v>81600</v>
      </c>
      <c r="BZ147" s="2"/>
      <c r="CA147" s="2" t="s">
        <v>728</v>
      </c>
      <c r="CB147" s="2"/>
      <c r="CC147" s="2" t="s">
        <v>150</v>
      </c>
      <c r="CD147" s="2">
        <v>7490</v>
      </c>
      <c r="CE147" s="2" t="s">
        <v>121</v>
      </c>
      <c r="CF147" s="5">
        <v>43014</v>
      </c>
      <c r="CG147" s="2"/>
      <c r="CH147" s="2"/>
      <c r="CI147" s="2">
        <v>1</v>
      </c>
      <c r="CJ147" s="2">
        <v>2</v>
      </c>
      <c r="CK147" s="2" t="s">
        <v>154</v>
      </c>
      <c r="CL147" s="2" t="s">
        <v>85</v>
      </c>
      <c r="CM147" s="2"/>
    </row>
    <row r="148" spans="1:91">
      <c r="A148" s="2" t="s">
        <v>71</v>
      </c>
      <c r="B148" s="2" t="s">
        <v>72</v>
      </c>
      <c r="C148" s="2" t="s">
        <v>73</v>
      </c>
      <c r="D148" s="2"/>
      <c r="E148" s="2" t="str">
        <f>"039902652282"</f>
        <v>039902652282</v>
      </c>
      <c r="F148" s="3">
        <v>43014</v>
      </c>
      <c r="G148" s="2">
        <v>201804</v>
      </c>
      <c r="H148" s="2" t="s">
        <v>122</v>
      </c>
      <c r="I148" s="2" t="s">
        <v>123</v>
      </c>
      <c r="J148" s="2" t="s">
        <v>276</v>
      </c>
      <c r="K148" s="2" t="s">
        <v>77</v>
      </c>
      <c r="L148" s="2" t="s">
        <v>161</v>
      </c>
      <c r="M148" s="2" t="s">
        <v>162</v>
      </c>
      <c r="N148" s="2" t="s">
        <v>711</v>
      </c>
      <c r="O148" s="2" t="s">
        <v>278</v>
      </c>
      <c r="P148" s="2" t="str">
        <f>"11912270 FM                   "</f>
        <v xml:space="preserve">11912270 FM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4.33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1</v>
      </c>
      <c r="BJ148" s="2">
        <v>0.2</v>
      </c>
      <c r="BK148" s="2">
        <v>1</v>
      </c>
      <c r="BL148" s="2">
        <v>36.33</v>
      </c>
      <c r="BM148" s="2">
        <v>5.09</v>
      </c>
      <c r="BN148" s="2">
        <v>41.42</v>
      </c>
      <c r="BO148" s="2">
        <v>41.42</v>
      </c>
      <c r="BP148" s="2"/>
      <c r="BQ148" s="2" t="s">
        <v>729</v>
      </c>
      <c r="BR148" s="2" t="s">
        <v>633</v>
      </c>
      <c r="BS148" s="3">
        <v>43017</v>
      </c>
      <c r="BT148" s="4">
        <v>0.3833333333333333</v>
      </c>
      <c r="BU148" s="2" t="s">
        <v>730</v>
      </c>
      <c r="BV148" s="2" t="s">
        <v>96</v>
      </c>
      <c r="BW148" s="2"/>
      <c r="BX148" s="2"/>
      <c r="BY148" s="2">
        <v>1200</v>
      </c>
      <c r="BZ148" s="2" t="s">
        <v>27</v>
      </c>
      <c r="CA148" s="2" t="s">
        <v>166</v>
      </c>
      <c r="CB148" s="2"/>
      <c r="CC148" s="2" t="s">
        <v>162</v>
      </c>
      <c r="CD148" s="2">
        <v>6530</v>
      </c>
      <c r="CE148" s="2" t="s">
        <v>283</v>
      </c>
      <c r="CF148" s="5">
        <v>43018</v>
      </c>
      <c r="CG148" s="2"/>
      <c r="CH148" s="2"/>
      <c r="CI148" s="2">
        <v>1</v>
      </c>
      <c r="CJ148" s="2">
        <v>1</v>
      </c>
      <c r="CK148" s="2">
        <v>21</v>
      </c>
      <c r="CL148" s="2" t="s">
        <v>85</v>
      </c>
      <c r="CM148" s="2"/>
    </row>
    <row r="149" spans="1:91">
      <c r="A149" s="2" t="s">
        <v>71</v>
      </c>
      <c r="B149" s="2" t="s">
        <v>72</v>
      </c>
      <c r="C149" s="2" t="s">
        <v>73</v>
      </c>
      <c r="D149" s="2"/>
      <c r="E149" s="2" t="str">
        <f>"009935487784"</f>
        <v>009935487784</v>
      </c>
      <c r="F149" s="3">
        <v>43015</v>
      </c>
      <c r="G149" s="2">
        <v>201804</v>
      </c>
      <c r="H149" s="2" t="s">
        <v>129</v>
      </c>
      <c r="I149" s="2" t="s">
        <v>130</v>
      </c>
      <c r="J149" s="2" t="s">
        <v>286</v>
      </c>
      <c r="K149" s="2" t="s">
        <v>77</v>
      </c>
      <c r="L149" s="2" t="s">
        <v>122</v>
      </c>
      <c r="M149" s="2" t="s">
        <v>123</v>
      </c>
      <c r="N149" s="2" t="s">
        <v>731</v>
      </c>
      <c r="O149" s="2" t="s">
        <v>288</v>
      </c>
      <c r="P149" s="2" t="str">
        <f>"PAQ5844551                    "</f>
        <v xml:space="preserve">PAQ5844551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3</v>
      </c>
      <c r="BI149" s="2">
        <v>66</v>
      </c>
      <c r="BJ149" s="2">
        <v>60.8</v>
      </c>
      <c r="BK149" s="2">
        <v>66</v>
      </c>
      <c r="BL149" s="2">
        <v>1539.47</v>
      </c>
      <c r="BM149" s="2">
        <v>215.53</v>
      </c>
      <c r="BN149" s="2">
        <v>1755</v>
      </c>
      <c r="BO149" s="2">
        <v>1755</v>
      </c>
      <c r="BP149" s="2" t="s">
        <v>732</v>
      </c>
      <c r="BQ149" s="2" t="s">
        <v>733</v>
      </c>
      <c r="BR149" s="2" t="s">
        <v>734</v>
      </c>
      <c r="BS149" s="3">
        <v>43016</v>
      </c>
      <c r="BT149" s="4">
        <v>0.45833333333333331</v>
      </c>
      <c r="BU149" s="2" t="s">
        <v>735</v>
      </c>
      <c r="BV149" s="2" t="s">
        <v>96</v>
      </c>
      <c r="BW149" s="2"/>
      <c r="BX149" s="2"/>
      <c r="BY149" s="2">
        <v>101250</v>
      </c>
      <c r="BZ149" s="2" t="s">
        <v>736</v>
      </c>
      <c r="CA149" s="2"/>
      <c r="CB149" s="2"/>
      <c r="CC149" s="2" t="s">
        <v>123</v>
      </c>
      <c r="CD149" s="2">
        <v>6000</v>
      </c>
      <c r="CE149" s="2" t="s">
        <v>283</v>
      </c>
      <c r="CF149" s="5">
        <v>43018</v>
      </c>
      <c r="CG149" s="2"/>
      <c r="CH149" s="2"/>
      <c r="CI149" s="2">
        <v>0</v>
      </c>
      <c r="CJ149" s="2">
        <v>0</v>
      </c>
      <c r="CK149" s="2">
        <v>-1</v>
      </c>
      <c r="CL149" s="2" t="s">
        <v>85</v>
      </c>
      <c r="CM149" s="2"/>
    </row>
    <row r="150" spans="1:91">
      <c r="A150" s="2" t="s">
        <v>71</v>
      </c>
      <c r="B150" s="2" t="s">
        <v>72</v>
      </c>
      <c r="C150" s="2" t="s">
        <v>73</v>
      </c>
      <c r="D150" s="2"/>
      <c r="E150" s="2" t="str">
        <f>"LCR000442"</f>
        <v>LCR000442</v>
      </c>
      <c r="F150" s="3">
        <v>43013</v>
      </c>
      <c r="G150" s="2">
        <v>201804</v>
      </c>
      <c r="H150" s="2" t="s">
        <v>74</v>
      </c>
      <c r="I150" s="2" t="s">
        <v>75</v>
      </c>
      <c r="J150" s="2" t="s">
        <v>76</v>
      </c>
      <c r="K150" s="2" t="s">
        <v>77</v>
      </c>
      <c r="L150" s="2" t="s">
        <v>105</v>
      </c>
      <c r="M150" s="2" t="s">
        <v>106</v>
      </c>
      <c r="N150" s="2" t="s">
        <v>737</v>
      </c>
      <c r="O150" s="2" t="s">
        <v>81</v>
      </c>
      <c r="P150" s="2" t="str">
        <f>"144121                        "</f>
        <v xml:space="preserve">144121 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9.1300000000000008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1</v>
      </c>
      <c r="BI150" s="2">
        <v>7</v>
      </c>
      <c r="BJ150" s="2">
        <v>6.6</v>
      </c>
      <c r="BK150" s="2">
        <v>7</v>
      </c>
      <c r="BL150" s="2">
        <v>81.63</v>
      </c>
      <c r="BM150" s="2">
        <v>11.43</v>
      </c>
      <c r="BN150" s="2">
        <v>93.06</v>
      </c>
      <c r="BO150" s="2">
        <v>93.06</v>
      </c>
      <c r="BP150" s="2"/>
      <c r="BQ150" s="2" t="s">
        <v>738</v>
      </c>
      <c r="BR150" s="2" t="s">
        <v>83</v>
      </c>
      <c r="BS150" s="3">
        <v>43018</v>
      </c>
      <c r="BT150" s="4">
        <v>0.46736111111111112</v>
      </c>
      <c r="BU150" s="2" t="s">
        <v>739</v>
      </c>
      <c r="BV150" s="2" t="s">
        <v>85</v>
      </c>
      <c r="BW150" s="2" t="s">
        <v>497</v>
      </c>
      <c r="BX150" s="2" t="s">
        <v>498</v>
      </c>
      <c r="BY150" s="2">
        <v>33075</v>
      </c>
      <c r="BZ150" s="2"/>
      <c r="CA150" s="2"/>
      <c r="CB150" s="2"/>
      <c r="CC150" s="2" t="s">
        <v>106</v>
      </c>
      <c r="CD150" s="2">
        <v>2198</v>
      </c>
      <c r="CE150" s="2" t="s">
        <v>134</v>
      </c>
      <c r="CF150" s="5">
        <v>43020</v>
      </c>
      <c r="CG150" s="2"/>
      <c r="CH150" s="2"/>
      <c r="CI150" s="2">
        <v>2</v>
      </c>
      <c r="CJ150" s="2">
        <v>3</v>
      </c>
      <c r="CK150" s="2" t="s">
        <v>90</v>
      </c>
      <c r="CL150" s="2" t="s">
        <v>85</v>
      </c>
      <c r="CM150" s="2"/>
    </row>
    <row r="151" spans="1:91">
      <c r="A151" s="2" t="s">
        <v>71</v>
      </c>
      <c r="B151" s="2" t="s">
        <v>72</v>
      </c>
      <c r="C151" s="2" t="s">
        <v>73</v>
      </c>
      <c r="D151" s="2"/>
      <c r="E151" s="2" t="str">
        <f>"LCR000441"</f>
        <v>LCR000441</v>
      </c>
      <c r="F151" s="3">
        <v>43013</v>
      </c>
      <c r="G151" s="2">
        <v>201804</v>
      </c>
      <c r="H151" s="2" t="s">
        <v>74</v>
      </c>
      <c r="I151" s="2" t="s">
        <v>75</v>
      </c>
      <c r="J151" s="2" t="s">
        <v>76</v>
      </c>
      <c r="K151" s="2" t="s">
        <v>77</v>
      </c>
      <c r="L151" s="2" t="s">
        <v>105</v>
      </c>
      <c r="M151" s="2" t="s">
        <v>106</v>
      </c>
      <c r="N151" s="2" t="s">
        <v>740</v>
      </c>
      <c r="O151" s="2" t="s">
        <v>81</v>
      </c>
      <c r="P151" s="2" t="str">
        <f>"144074                        "</f>
        <v xml:space="preserve">144074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9.1300000000000008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1</v>
      </c>
      <c r="BI151" s="2">
        <v>4</v>
      </c>
      <c r="BJ151" s="2">
        <v>3.9</v>
      </c>
      <c r="BK151" s="2">
        <v>4</v>
      </c>
      <c r="BL151" s="2">
        <v>81.63</v>
      </c>
      <c r="BM151" s="2">
        <v>11.43</v>
      </c>
      <c r="BN151" s="2">
        <v>93.06</v>
      </c>
      <c r="BO151" s="2">
        <v>93.06</v>
      </c>
      <c r="BP151" s="2"/>
      <c r="BQ151" s="2" t="s">
        <v>741</v>
      </c>
      <c r="BR151" s="2" t="s">
        <v>83</v>
      </c>
      <c r="BS151" s="3">
        <v>43019</v>
      </c>
      <c r="BT151" s="4">
        <v>0.54166666666666663</v>
      </c>
      <c r="BU151" s="2" t="s">
        <v>742</v>
      </c>
      <c r="BV151" s="2" t="s">
        <v>85</v>
      </c>
      <c r="BW151" s="2" t="s">
        <v>86</v>
      </c>
      <c r="BX151" s="2" t="s">
        <v>536</v>
      </c>
      <c r="BY151" s="2">
        <v>19683</v>
      </c>
      <c r="BZ151" s="2"/>
      <c r="CA151" s="2" t="s">
        <v>743</v>
      </c>
      <c r="CB151" s="2"/>
      <c r="CC151" s="2" t="s">
        <v>106</v>
      </c>
      <c r="CD151" s="2">
        <v>2076</v>
      </c>
      <c r="CE151" s="2" t="s">
        <v>89</v>
      </c>
      <c r="CF151" s="5">
        <v>43020</v>
      </c>
      <c r="CG151" s="2"/>
      <c r="CH151" s="2"/>
      <c r="CI151" s="2">
        <v>2</v>
      </c>
      <c r="CJ151" s="2">
        <v>4</v>
      </c>
      <c r="CK151" s="2" t="s">
        <v>90</v>
      </c>
      <c r="CL151" s="2" t="s">
        <v>85</v>
      </c>
      <c r="CM151" s="2"/>
    </row>
    <row r="152" spans="1:91">
      <c r="A152" s="2" t="s">
        <v>71</v>
      </c>
      <c r="B152" s="2" t="s">
        <v>72</v>
      </c>
      <c r="C152" s="2" t="s">
        <v>73</v>
      </c>
      <c r="D152" s="2"/>
      <c r="E152" s="2" t="str">
        <f>"LCR000439"</f>
        <v>LCR000439</v>
      </c>
      <c r="F152" s="3">
        <v>43013</v>
      </c>
      <c r="G152" s="2">
        <v>201804</v>
      </c>
      <c r="H152" s="2" t="s">
        <v>74</v>
      </c>
      <c r="I152" s="2" t="s">
        <v>75</v>
      </c>
      <c r="J152" s="2" t="s">
        <v>76</v>
      </c>
      <c r="K152" s="2" t="s">
        <v>77</v>
      </c>
      <c r="L152" s="2" t="s">
        <v>234</v>
      </c>
      <c r="M152" s="2" t="s">
        <v>235</v>
      </c>
      <c r="N152" s="2" t="s">
        <v>744</v>
      </c>
      <c r="O152" s="2" t="s">
        <v>81</v>
      </c>
      <c r="P152" s="2" t="str">
        <f>"144011                        "</f>
        <v xml:space="preserve">144011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9.1300000000000008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1</v>
      </c>
      <c r="BI152" s="2">
        <v>4</v>
      </c>
      <c r="BJ152" s="2">
        <v>3.9</v>
      </c>
      <c r="BK152" s="2">
        <v>4</v>
      </c>
      <c r="BL152" s="2">
        <v>81.63</v>
      </c>
      <c r="BM152" s="2">
        <v>11.43</v>
      </c>
      <c r="BN152" s="2">
        <v>93.06</v>
      </c>
      <c r="BO152" s="2">
        <v>93.06</v>
      </c>
      <c r="BP152" s="2"/>
      <c r="BQ152" s="2" t="s">
        <v>745</v>
      </c>
      <c r="BR152" s="2" t="s">
        <v>83</v>
      </c>
      <c r="BS152" s="3">
        <v>43018</v>
      </c>
      <c r="BT152" s="4">
        <v>0.38541666666666669</v>
      </c>
      <c r="BU152" s="2" t="s">
        <v>746</v>
      </c>
      <c r="BV152" s="2" t="s">
        <v>96</v>
      </c>
      <c r="BW152" s="2"/>
      <c r="BX152" s="2"/>
      <c r="BY152" s="2">
        <v>19683</v>
      </c>
      <c r="BZ152" s="2"/>
      <c r="CA152" s="2" t="s">
        <v>747</v>
      </c>
      <c r="CB152" s="2"/>
      <c r="CC152" s="2" t="s">
        <v>235</v>
      </c>
      <c r="CD152" s="2">
        <v>4309</v>
      </c>
      <c r="CE152" s="2" t="s">
        <v>89</v>
      </c>
      <c r="CF152" s="5">
        <v>43019</v>
      </c>
      <c r="CG152" s="2"/>
      <c r="CH152" s="2"/>
      <c r="CI152" s="2">
        <v>7</v>
      </c>
      <c r="CJ152" s="2">
        <v>3</v>
      </c>
      <c r="CK152" s="2" t="s">
        <v>90</v>
      </c>
      <c r="CL152" s="2" t="s">
        <v>85</v>
      </c>
      <c r="CM152" s="2"/>
    </row>
    <row r="153" spans="1:91">
      <c r="A153" s="2" t="s">
        <v>71</v>
      </c>
      <c r="B153" s="2" t="s">
        <v>72</v>
      </c>
      <c r="C153" s="2" t="s">
        <v>73</v>
      </c>
      <c r="D153" s="2"/>
      <c r="E153" s="2" t="str">
        <f>"LCR000406"</f>
        <v>LCR000406</v>
      </c>
      <c r="F153" s="3">
        <v>43012</v>
      </c>
      <c r="G153" s="2">
        <v>201804</v>
      </c>
      <c r="H153" s="2" t="s">
        <v>74</v>
      </c>
      <c r="I153" s="2" t="s">
        <v>75</v>
      </c>
      <c r="J153" s="2" t="s">
        <v>694</v>
      </c>
      <c r="K153" s="2" t="s">
        <v>77</v>
      </c>
      <c r="L153" s="2" t="s">
        <v>78</v>
      </c>
      <c r="M153" s="2" t="s">
        <v>79</v>
      </c>
      <c r="N153" s="2" t="s">
        <v>748</v>
      </c>
      <c r="O153" s="2" t="s">
        <v>81</v>
      </c>
      <c r="P153" s="2" t="str">
        <f>"144064                        "</f>
        <v xml:space="preserve">144064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9.1300000000000008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1</v>
      </c>
      <c r="BI153" s="2">
        <v>1.4</v>
      </c>
      <c r="BJ153" s="2">
        <v>3.9</v>
      </c>
      <c r="BK153" s="2">
        <v>4</v>
      </c>
      <c r="BL153" s="2">
        <v>81.63</v>
      </c>
      <c r="BM153" s="2">
        <v>11.43</v>
      </c>
      <c r="BN153" s="2">
        <v>93.06</v>
      </c>
      <c r="BO153" s="2">
        <v>93.06</v>
      </c>
      <c r="BP153" s="2"/>
      <c r="BQ153" s="2" t="s">
        <v>749</v>
      </c>
      <c r="BR153" s="2" t="s">
        <v>697</v>
      </c>
      <c r="BS153" s="3">
        <v>43019</v>
      </c>
      <c r="BT153" s="4">
        <v>0.3840277777777778</v>
      </c>
      <c r="BU153" s="2" t="s">
        <v>750</v>
      </c>
      <c r="BV153" s="2" t="s">
        <v>85</v>
      </c>
      <c r="BW153" s="2"/>
      <c r="BX153" s="2"/>
      <c r="BY153" s="2">
        <v>19078.580000000002</v>
      </c>
      <c r="BZ153" s="2"/>
      <c r="CA153" s="2" t="s">
        <v>147</v>
      </c>
      <c r="CB153" s="2"/>
      <c r="CC153" s="2" t="s">
        <v>79</v>
      </c>
      <c r="CD153" s="2">
        <v>3201</v>
      </c>
      <c r="CE153" s="2" t="s">
        <v>89</v>
      </c>
      <c r="CF153" s="5">
        <v>43020</v>
      </c>
      <c r="CG153" s="2"/>
      <c r="CH153" s="2"/>
      <c r="CI153" s="2">
        <v>2</v>
      </c>
      <c r="CJ153" s="2">
        <v>5</v>
      </c>
      <c r="CK153" s="2" t="s">
        <v>90</v>
      </c>
      <c r="CL153" s="2" t="s">
        <v>85</v>
      </c>
      <c r="CM153" s="2"/>
    </row>
    <row r="154" spans="1:91">
      <c r="A154" s="2" t="s">
        <v>71</v>
      </c>
      <c r="B154" s="2" t="s">
        <v>72</v>
      </c>
      <c r="C154" s="2" t="s">
        <v>73</v>
      </c>
      <c r="D154" s="2"/>
      <c r="E154" s="2" t="str">
        <f>"LCR000445"</f>
        <v>LCR000445</v>
      </c>
      <c r="F154" s="3">
        <v>43017</v>
      </c>
      <c r="G154" s="2">
        <v>201804</v>
      </c>
      <c r="H154" s="2" t="s">
        <v>74</v>
      </c>
      <c r="I154" s="2" t="s">
        <v>75</v>
      </c>
      <c r="J154" s="2" t="s">
        <v>76</v>
      </c>
      <c r="K154" s="2" t="s">
        <v>77</v>
      </c>
      <c r="L154" s="2" t="s">
        <v>751</v>
      </c>
      <c r="M154" s="2" t="s">
        <v>752</v>
      </c>
      <c r="N154" s="2" t="s">
        <v>753</v>
      </c>
      <c r="O154" s="2" t="s">
        <v>81</v>
      </c>
      <c r="P154" s="2" t="str">
        <f>"144003                        "</f>
        <v xml:space="preserve">144003    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12.2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1</v>
      </c>
      <c r="BI154" s="2">
        <v>1</v>
      </c>
      <c r="BJ154" s="2">
        <v>16.3</v>
      </c>
      <c r="BK154" s="2">
        <v>17</v>
      </c>
      <c r="BL154" s="2">
        <v>107.4</v>
      </c>
      <c r="BM154" s="2">
        <v>15.04</v>
      </c>
      <c r="BN154" s="2">
        <v>122.44</v>
      </c>
      <c r="BO154" s="2">
        <v>122.44</v>
      </c>
      <c r="BP154" s="2"/>
      <c r="BQ154" s="2" t="s">
        <v>754</v>
      </c>
      <c r="BR154" s="2" t="s">
        <v>83</v>
      </c>
      <c r="BS154" s="3">
        <v>43019</v>
      </c>
      <c r="BT154" s="4">
        <v>0.5</v>
      </c>
      <c r="BU154" s="2" t="s">
        <v>755</v>
      </c>
      <c r="BV154" s="2" t="s">
        <v>96</v>
      </c>
      <c r="BW154" s="2"/>
      <c r="BX154" s="2"/>
      <c r="BY154" s="2">
        <v>81600</v>
      </c>
      <c r="BZ154" s="2"/>
      <c r="CA154" s="2"/>
      <c r="CB154" s="2"/>
      <c r="CC154" s="2" t="s">
        <v>752</v>
      </c>
      <c r="CD154" s="2">
        <v>1441</v>
      </c>
      <c r="CE154" s="2" t="s">
        <v>121</v>
      </c>
      <c r="CF154" s="5">
        <v>43020</v>
      </c>
      <c r="CG154" s="2"/>
      <c r="CH154" s="2"/>
      <c r="CI154" s="2">
        <v>2</v>
      </c>
      <c r="CJ154" s="2">
        <v>2</v>
      </c>
      <c r="CK154" s="2" t="s">
        <v>174</v>
      </c>
      <c r="CL154" s="2" t="s">
        <v>85</v>
      </c>
      <c r="CM154" s="2"/>
    </row>
    <row r="155" spans="1:91">
      <c r="A155" s="2" t="s">
        <v>71</v>
      </c>
      <c r="B155" s="2" t="s">
        <v>72</v>
      </c>
      <c r="C155" s="2" t="s">
        <v>73</v>
      </c>
      <c r="D155" s="2"/>
      <c r="E155" s="2" t="str">
        <f>"LCR000404"</f>
        <v>LCR000404</v>
      </c>
      <c r="F155" s="3">
        <v>43012</v>
      </c>
      <c r="G155" s="2">
        <v>201804</v>
      </c>
      <c r="H155" s="2" t="s">
        <v>74</v>
      </c>
      <c r="I155" s="2" t="s">
        <v>75</v>
      </c>
      <c r="J155" s="2" t="s">
        <v>76</v>
      </c>
      <c r="K155" s="2" t="s">
        <v>77</v>
      </c>
      <c r="L155" s="2" t="s">
        <v>105</v>
      </c>
      <c r="M155" s="2" t="s">
        <v>106</v>
      </c>
      <c r="N155" s="2" t="s">
        <v>756</v>
      </c>
      <c r="O155" s="2" t="s">
        <v>81</v>
      </c>
      <c r="P155" s="2" t="str">
        <f>"143965                        "</f>
        <v xml:space="preserve">143965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9.1300000000000008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1</v>
      </c>
      <c r="BI155" s="2">
        <v>10</v>
      </c>
      <c r="BJ155" s="2">
        <v>9.6999999999999993</v>
      </c>
      <c r="BK155" s="2">
        <v>10</v>
      </c>
      <c r="BL155" s="2">
        <v>81.63</v>
      </c>
      <c r="BM155" s="2">
        <v>11.43</v>
      </c>
      <c r="BN155" s="2">
        <v>93.06</v>
      </c>
      <c r="BO155" s="2">
        <v>93.06</v>
      </c>
      <c r="BP155" s="2"/>
      <c r="BQ155" s="2" t="s">
        <v>757</v>
      </c>
      <c r="BR155" s="2" t="s">
        <v>83</v>
      </c>
      <c r="BS155" s="3">
        <v>43018</v>
      </c>
      <c r="BT155" s="4">
        <v>0.55208333333333337</v>
      </c>
      <c r="BU155" s="2" t="s">
        <v>758</v>
      </c>
      <c r="BV155" s="2" t="s">
        <v>85</v>
      </c>
      <c r="BW155" s="2" t="s">
        <v>497</v>
      </c>
      <c r="BX155" s="2" t="s">
        <v>498</v>
      </c>
      <c r="BY155" s="2">
        <v>48739</v>
      </c>
      <c r="BZ155" s="2"/>
      <c r="CA155" s="2"/>
      <c r="CB155" s="2"/>
      <c r="CC155" s="2" t="s">
        <v>106</v>
      </c>
      <c r="CD155" s="2">
        <v>2193</v>
      </c>
      <c r="CE155" s="2" t="s">
        <v>244</v>
      </c>
      <c r="CF155" s="5">
        <v>43020</v>
      </c>
      <c r="CG155" s="2"/>
      <c r="CH155" s="2"/>
      <c r="CI155" s="2">
        <v>2</v>
      </c>
      <c r="CJ155" s="2">
        <v>4</v>
      </c>
      <c r="CK155" s="2" t="s">
        <v>90</v>
      </c>
      <c r="CL155" s="2" t="s">
        <v>85</v>
      </c>
      <c r="CM155" s="2"/>
    </row>
    <row r="156" spans="1:91">
      <c r="A156" s="2" t="s">
        <v>71</v>
      </c>
      <c r="B156" s="2" t="s">
        <v>72</v>
      </c>
      <c r="C156" s="2" t="s">
        <v>73</v>
      </c>
      <c r="D156" s="2"/>
      <c r="E156" s="2" t="str">
        <f>"LCR000421"</f>
        <v>LCR000421</v>
      </c>
      <c r="F156" s="3">
        <v>43012</v>
      </c>
      <c r="G156" s="2">
        <v>201804</v>
      </c>
      <c r="H156" s="2" t="s">
        <v>74</v>
      </c>
      <c r="I156" s="2" t="s">
        <v>75</v>
      </c>
      <c r="J156" s="2" t="s">
        <v>76</v>
      </c>
      <c r="K156" s="2" t="s">
        <v>77</v>
      </c>
      <c r="L156" s="2" t="s">
        <v>396</v>
      </c>
      <c r="M156" s="2" t="s">
        <v>397</v>
      </c>
      <c r="N156" s="2" t="s">
        <v>759</v>
      </c>
      <c r="O156" s="2" t="s">
        <v>81</v>
      </c>
      <c r="P156" s="2" t="str">
        <f>"143928                        "</f>
        <v xml:space="preserve">143928    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13.45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2</v>
      </c>
      <c r="BI156" s="2">
        <v>12.8</v>
      </c>
      <c r="BJ156" s="2">
        <v>18.3</v>
      </c>
      <c r="BK156" s="2">
        <v>19</v>
      </c>
      <c r="BL156" s="2">
        <v>117.85</v>
      </c>
      <c r="BM156" s="2">
        <v>16.5</v>
      </c>
      <c r="BN156" s="2">
        <v>134.35</v>
      </c>
      <c r="BO156" s="2">
        <v>134.35</v>
      </c>
      <c r="BP156" s="2"/>
      <c r="BQ156" s="2" t="s">
        <v>760</v>
      </c>
      <c r="BR156" s="2" t="s">
        <v>83</v>
      </c>
      <c r="BS156" s="3">
        <v>43020</v>
      </c>
      <c r="BT156" s="4">
        <v>0.71319444444444446</v>
      </c>
      <c r="BU156" s="2" t="s">
        <v>761</v>
      </c>
      <c r="BV156" s="2" t="s">
        <v>85</v>
      </c>
      <c r="BW156" s="2" t="s">
        <v>762</v>
      </c>
      <c r="BX156" s="2" t="s">
        <v>242</v>
      </c>
      <c r="BY156" s="2">
        <v>91279.679999999993</v>
      </c>
      <c r="BZ156" s="2"/>
      <c r="CA156" s="2"/>
      <c r="CB156" s="2"/>
      <c r="CC156" s="2" t="s">
        <v>397</v>
      </c>
      <c r="CD156" s="2">
        <v>6139</v>
      </c>
      <c r="CE156" s="2" t="s">
        <v>244</v>
      </c>
      <c r="CF156" s="5">
        <v>43026</v>
      </c>
      <c r="CG156" s="2"/>
      <c r="CH156" s="2"/>
      <c r="CI156" s="2">
        <v>3</v>
      </c>
      <c r="CJ156" s="2">
        <v>6</v>
      </c>
      <c r="CK156" s="2" t="s">
        <v>98</v>
      </c>
      <c r="CL156" s="2" t="s">
        <v>85</v>
      </c>
      <c r="CM156" s="2"/>
    </row>
    <row r="157" spans="1:91">
      <c r="A157" s="2" t="s">
        <v>71</v>
      </c>
      <c r="B157" s="2" t="s">
        <v>72</v>
      </c>
      <c r="C157" s="2" t="s">
        <v>73</v>
      </c>
      <c r="D157" s="2"/>
      <c r="E157" s="2" t="str">
        <f>"009934885540"</f>
        <v>009934885540</v>
      </c>
      <c r="F157" s="3">
        <v>43018</v>
      </c>
      <c r="G157" s="2">
        <v>201804</v>
      </c>
      <c r="H157" s="2" t="s">
        <v>105</v>
      </c>
      <c r="I157" s="2" t="s">
        <v>106</v>
      </c>
      <c r="J157" s="2" t="s">
        <v>763</v>
      </c>
      <c r="K157" s="2" t="s">
        <v>77</v>
      </c>
      <c r="L157" s="2" t="s">
        <v>764</v>
      </c>
      <c r="M157" s="2" t="s">
        <v>765</v>
      </c>
      <c r="N157" s="2" t="s">
        <v>766</v>
      </c>
      <c r="O157" s="2" t="s">
        <v>81</v>
      </c>
      <c r="P157" s="2" t="str">
        <f>"NA                            "</f>
        <v xml:space="preserve">NA    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585.01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130</v>
      </c>
      <c r="BI157" s="2">
        <v>2079.8000000000002</v>
      </c>
      <c r="BJ157" s="2">
        <v>2266.8000000000002</v>
      </c>
      <c r="BK157" s="2">
        <v>2267</v>
      </c>
      <c r="BL157" s="2">
        <v>4913.8100000000004</v>
      </c>
      <c r="BM157" s="2">
        <v>687.93</v>
      </c>
      <c r="BN157" s="2">
        <v>5601.74</v>
      </c>
      <c r="BO157" s="2">
        <v>5601.74</v>
      </c>
      <c r="BP157" s="2"/>
      <c r="BQ157" s="2" t="s">
        <v>767</v>
      </c>
      <c r="BR157" s="2" t="s">
        <v>768</v>
      </c>
      <c r="BS157" s="3">
        <v>43020</v>
      </c>
      <c r="BT157" s="4">
        <v>0.54999999999999993</v>
      </c>
      <c r="BU157" s="2" t="s">
        <v>769</v>
      </c>
      <c r="BV157" s="2" t="s">
        <v>85</v>
      </c>
      <c r="BW157" s="2" t="s">
        <v>615</v>
      </c>
      <c r="BX157" s="2" t="s">
        <v>770</v>
      </c>
      <c r="BY157" s="2">
        <v>11333872.970000001</v>
      </c>
      <c r="BZ157" s="2"/>
      <c r="CA157" s="2" t="s">
        <v>771</v>
      </c>
      <c r="CB157" s="2"/>
      <c r="CC157" s="2" t="s">
        <v>765</v>
      </c>
      <c r="CD157" s="2">
        <v>8300</v>
      </c>
      <c r="CE157" s="2" t="s">
        <v>283</v>
      </c>
      <c r="CF157" s="5">
        <v>43024</v>
      </c>
      <c r="CG157" s="2"/>
      <c r="CH157" s="2"/>
      <c r="CI157" s="2">
        <v>1</v>
      </c>
      <c r="CJ157" s="2">
        <v>2</v>
      </c>
      <c r="CK157" s="2" t="s">
        <v>233</v>
      </c>
      <c r="CL157" s="2" t="s">
        <v>85</v>
      </c>
      <c r="CM157" s="2"/>
    </row>
    <row r="158" spans="1:91">
      <c r="A158" s="2" t="s">
        <v>71</v>
      </c>
      <c r="B158" s="2" t="s">
        <v>72</v>
      </c>
      <c r="C158" s="2" t="s">
        <v>73</v>
      </c>
      <c r="D158" s="2"/>
      <c r="E158" s="2" t="str">
        <f>"LCR000447"</f>
        <v>LCR000447</v>
      </c>
      <c r="F158" s="3">
        <v>43019</v>
      </c>
      <c r="G158" s="2">
        <v>201804</v>
      </c>
      <c r="H158" s="2" t="s">
        <v>74</v>
      </c>
      <c r="I158" s="2" t="s">
        <v>75</v>
      </c>
      <c r="J158" s="2" t="s">
        <v>76</v>
      </c>
      <c r="K158" s="2" t="s">
        <v>77</v>
      </c>
      <c r="L158" s="2" t="s">
        <v>772</v>
      </c>
      <c r="M158" s="2" t="s">
        <v>773</v>
      </c>
      <c r="N158" s="2" t="s">
        <v>774</v>
      </c>
      <c r="O158" s="2" t="s">
        <v>81</v>
      </c>
      <c r="P158" s="2" t="str">
        <f>"144365                        "</f>
        <v xml:space="preserve">144365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11.26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1</v>
      </c>
      <c r="BI158" s="2">
        <v>22</v>
      </c>
      <c r="BJ158" s="2">
        <v>22</v>
      </c>
      <c r="BK158" s="2">
        <v>22</v>
      </c>
      <c r="BL158" s="2">
        <v>99.46</v>
      </c>
      <c r="BM158" s="2">
        <v>13.92</v>
      </c>
      <c r="BN158" s="2">
        <v>113.38</v>
      </c>
      <c r="BO158" s="2">
        <v>113.38</v>
      </c>
      <c r="BP158" s="2"/>
      <c r="BQ158" s="2" t="s">
        <v>775</v>
      </c>
      <c r="BR158" s="2" t="s">
        <v>83</v>
      </c>
      <c r="BS158" s="3">
        <v>43021</v>
      </c>
      <c r="BT158" s="4">
        <v>0.44166666666666665</v>
      </c>
      <c r="BU158" s="2" t="s">
        <v>776</v>
      </c>
      <c r="BV158" s="2" t="s">
        <v>96</v>
      </c>
      <c r="BW158" s="2"/>
      <c r="BX158" s="2"/>
      <c r="BY158" s="2">
        <v>110032</v>
      </c>
      <c r="BZ158" s="2"/>
      <c r="CA158" s="2"/>
      <c r="CB158" s="2"/>
      <c r="CC158" s="2" t="s">
        <v>773</v>
      </c>
      <c r="CD158" s="2">
        <v>5257</v>
      </c>
      <c r="CE158" s="2" t="s">
        <v>777</v>
      </c>
      <c r="CF158" s="5">
        <v>43025</v>
      </c>
      <c r="CG158" s="2"/>
      <c r="CH158" s="2"/>
      <c r="CI158" s="2">
        <v>2</v>
      </c>
      <c r="CJ158" s="2">
        <v>2</v>
      </c>
      <c r="CK158" s="2" t="s">
        <v>128</v>
      </c>
      <c r="CL158" s="2" t="s">
        <v>85</v>
      </c>
      <c r="CM158" s="2"/>
    </row>
    <row r="159" spans="1:91">
      <c r="A159" s="2" t="s">
        <v>71</v>
      </c>
      <c r="B159" s="2" t="s">
        <v>72</v>
      </c>
      <c r="C159" s="2" t="s">
        <v>73</v>
      </c>
      <c r="D159" s="2"/>
      <c r="E159" s="2" t="str">
        <f>"LCR000448"</f>
        <v>LCR000448</v>
      </c>
      <c r="F159" s="3">
        <v>43019</v>
      </c>
      <c r="G159" s="2">
        <v>201804</v>
      </c>
      <c r="H159" s="2" t="s">
        <v>74</v>
      </c>
      <c r="I159" s="2" t="s">
        <v>75</v>
      </c>
      <c r="J159" s="2" t="s">
        <v>76</v>
      </c>
      <c r="K159" s="2" t="s">
        <v>77</v>
      </c>
      <c r="L159" s="2" t="s">
        <v>675</v>
      </c>
      <c r="M159" s="2" t="s">
        <v>676</v>
      </c>
      <c r="N159" s="2" t="s">
        <v>778</v>
      </c>
      <c r="O159" s="2" t="s">
        <v>81</v>
      </c>
      <c r="P159" s="2" t="str">
        <f>"144342                        "</f>
        <v xml:space="preserve">144342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9.1300000000000008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7</v>
      </c>
      <c r="BJ159" s="2">
        <v>6.6</v>
      </c>
      <c r="BK159" s="2">
        <v>7</v>
      </c>
      <c r="BL159" s="2">
        <v>81.63</v>
      </c>
      <c r="BM159" s="2">
        <v>11.43</v>
      </c>
      <c r="BN159" s="2">
        <v>93.06</v>
      </c>
      <c r="BO159" s="2">
        <v>93.06</v>
      </c>
      <c r="BP159" s="2"/>
      <c r="BQ159" s="2" t="s">
        <v>779</v>
      </c>
      <c r="BR159" s="2" t="s">
        <v>83</v>
      </c>
      <c r="BS159" s="3">
        <v>43021</v>
      </c>
      <c r="BT159" s="4">
        <v>0.50694444444444442</v>
      </c>
      <c r="BU159" s="2" t="s">
        <v>780</v>
      </c>
      <c r="BV159" s="2" t="s">
        <v>96</v>
      </c>
      <c r="BW159" s="2"/>
      <c r="BX159" s="2"/>
      <c r="BY159" s="2">
        <v>33075</v>
      </c>
      <c r="BZ159" s="2"/>
      <c r="CA159" s="2" t="s">
        <v>781</v>
      </c>
      <c r="CB159" s="2"/>
      <c r="CC159" s="2" t="s">
        <v>676</v>
      </c>
      <c r="CD159" s="2">
        <v>1747</v>
      </c>
      <c r="CE159" s="2" t="s">
        <v>134</v>
      </c>
      <c r="CF159" s="5">
        <v>43024</v>
      </c>
      <c r="CG159" s="2"/>
      <c r="CH159" s="2"/>
      <c r="CI159" s="2">
        <v>2</v>
      </c>
      <c r="CJ159" s="2">
        <v>2</v>
      </c>
      <c r="CK159" s="2" t="s">
        <v>90</v>
      </c>
      <c r="CL159" s="2" t="s">
        <v>85</v>
      </c>
      <c r="CM159" s="2"/>
    </row>
    <row r="160" spans="1:91">
      <c r="A160" s="2" t="s">
        <v>71</v>
      </c>
      <c r="B160" s="2" t="s">
        <v>72</v>
      </c>
      <c r="C160" s="2" t="s">
        <v>73</v>
      </c>
      <c r="D160" s="2"/>
      <c r="E160" s="2" t="str">
        <f>"039902652281"</f>
        <v>039902652281</v>
      </c>
      <c r="F160" s="3">
        <v>43019</v>
      </c>
      <c r="G160" s="2">
        <v>201804</v>
      </c>
      <c r="H160" s="2" t="s">
        <v>122</v>
      </c>
      <c r="I160" s="2" t="s">
        <v>123</v>
      </c>
      <c r="J160" s="2" t="s">
        <v>276</v>
      </c>
      <c r="K160" s="2" t="s">
        <v>77</v>
      </c>
      <c r="L160" s="2" t="s">
        <v>191</v>
      </c>
      <c r="M160" s="2" t="s">
        <v>192</v>
      </c>
      <c r="N160" s="2" t="s">
        <v>711</v>
      </c>
      <c r="O160" s="2" t="s">
        <v>278</v>
      </c>
      <c r="P160" s="2" t="str">
        <f>"11912270 FM                   "</f>
        <v xml:space="preserve">11912270 FM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4.33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1</v>
      </c>
      <c r="BI160" s="2">
        <v>1</v>
      </c>
      <c r="BJ160" s="2">
        <v>0.2</v>
      </c>
      <c r="BK160" s="2">
        <v>1</v>
      </c>
      <c r="BL160" s="2">
        <v>36.33</v>
      </c>
      <c r="BM160" s="2">
        <v>5.09</v>
      </c>
      <c r="BN160" s="2">
        <v>41.42</v>
      </c>
      <c r="BO160" s="2">
        <v>41.42</v>
      </c>
      <c r="BP160" s="2">
        <v>39902552236</v>
      </c>
      <c r="BQ160" s="2" t="s">
        <v>782</v>
      </c>
      <c r="BR160" s="2" t="s">
        <v>633</v>
      </c>
      <c r="BS160" s="3">
        <v>43020</v>
      </c>
      <c r="BT160" s="4">
        <v>0.4770833333333333</v>
      </c>
      <c r="BU160" s="2" t="s">
        <v>783</v>
      </c>
      <c r="BV160" s="2" t="s">
        <v>96</v>
      </c>
      <c r="BW160" s="2"/>
      <c r="BX160" s="2"/>
      <c r="BY160" s="2">
        <v>1200</v>
      </c>
      <c r="BZ160" s="2" t="s">
        <v>27</v>
      </c>
      <c r="CA160" s="2" t="s">
        <v>784</v>
      </c>
      <c r="CB160" s="2"/>
      <c r="CC160" s="2" t="s">
        <v>192</v>
      </c>
      <c r="CD160" s="2">
        <v>5247</v>
      </c>
      <c r="CE160" s="2" t="s">
        <v>283</v>
      </c>
      <c r="CF160" s="5">
        <v>43024</v>
      </c>
      <c r="CG160" s="2"/>
      <c r="CH160" s="2"/>
      <c r="CI160" s="2">
        <v>1</v>
      </c>
      <c r="CJ160" s="2">
        <v>1</v>
      </c>
      <c r="CK160" s="2">
        <v>21</v>
      </c>
      <c r="CL160" s="2" t="s">
        <v>85</v>
      </c>
      <c r="CM160" s="2"/>
    </row>
    <row r="161" spans="1:91">
      <c r="A161" s="2" t="s">
        <v>275</v>
      </c>
      <c r="B161" s="2" t="s">
        <v>72</v>
      </c>
      <c r="C161" s="2" t="s">
        <v>73</v>
      </c>
      <c r="D161" s="2"/>
      <c r="E161" s="2" t="str">
        <f>"009936666629"</f>
        <v>009936666629</v>
      </c>
      <c r="F161" s="3">
        <v>43019</v>
      </c>
      <c r="G161" s="2">
        <v>201804</v>
      </c>
      <c r="H161" s="2" t="s">
        <v>191</v>
      </c>
      <c r="I161" s="2" t="s">
        <v>192</v>
      </c>
      <c r="J161" s="2" t="s">
        <v>785</v>
      </c>
      <c r="K161" s="2" t="s">
        <v>77</v>
      </c>
      <c r="L161" s="2" t="s">
        <v>122</v>
      </c>
      <c r="M161" s="2" t="s">
        <v>123</v>
      </c>
      <c r="N161" s="2" t="s">
        <v>785</v>
      </c>
      <c r="O161" s="2" t="s">
        <v>278</v>
      </c>
      <c r="P161" s="2" t="str">
        <f>"                              "</f>
        <v xml:space="preserve">      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200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4.33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1</v>
      </c>
      <c r="BI161" s="2">
        <v>1</v>
      </c>
      <c r="BJ161" s="2">
        <v>0.2</v>
      </c>
      <c r="BK161" s="2">
        <v>1</v>
      </c>
      <c r="BL161" s="2">
        <v>236.33</v>
      </c>
      <c r="BM161" s="2">
        <v>33.090000000000003</v>
      </c>
      <c r="BN161" s="2">
        <v>269.42</v>
      </c>
      <c r="BO161" s="2">
        <v>269.42</v>
      </c>
      <c r="BP161" s="2"/>
      <c r="BQ161" s="2" t="s">
        <v>786</v>
      </c>
      <c r="BR161" s="2" t="s">
        <v>787</v>
      </c>
      <c r="BS161" s="3">
        <v>43020</v>
      </c>
      <c r="BT161" s="4">
        <v>0.56597222222222221</v>
      </c>
      <c r="BU161" s="2" t="s">
        <v>633</v>
      </c>
      <c r="BV161" s="2" t="s">
        <v>85</v>
      </c>
      <c r="BW161" s="2"/>
      <c r="BX161" s="2"/>
      <c r="BY161" s="2">
        <v>1200</v>
      </c>
      <c r="BZ161" s="2" t="s">
        <v>421</v>
      </c>
      <c r="CA161" s="2" t="s">
        <v>788</v>
      </c>
      <c r="CB161" s="2"/>
      <c r="CC161" s="2" t="s">
        <v>123</v>
      </c>
      <c r="CD161" s="2">
        <v>6045</v>
      </c>
      <c r="CE161" s="2" t="s">
        <v>283</v>
      </c>
      <c r="CF161" s="5">
        <v>43021</v>
      </c>
      <c r="CG161" s="2"/>
      <c r="CH161" s="2"/>
      <c r="CI161" s="2">
        <v>1</v>
      </c>
      <c r="CJ161" s="2">
        <v>1</v>
      </c>
      <c r="CK161" s="2">
        <v>21</v>
      </c>
      <c r="CL161" s="2" t="s">
        <v>96</v>
      </c>
      <c r="CM161" s="4">
        <v>0.56597222222222221</v>
      </c>
    </row>
    <row r="162" spans="1:91">
      <c r="A162" s="2" t="s">
        <v>71</v>
      </c>
      <c r="B162" s="2" t="s">
        <v>72</v>
      </c>
      <c r="C162" s="2" t="s">
        <v>73</v>
      </c>
      <c r="D162" s="2"/>
      <c r="E162" s="2" t="str">
        <f>"LCR000449"</f>
        <v>LCR000449</v>
      </c>
      <c r="F162" s="3">
        <v>43019</v>
      </c>
      <c r="G162" s="2">
        <v>201804</v>
      </c>
      <c r="H162" s="2" t="s">
        <v>74</v>
      </c>
      <c r="I162" s="2" t="s">
        <v>75</v>
      </c>
      <c r="J162" s="2" t="s">
        <v>76</v>
      </c>
      <c r="K162" s="2" t="s">
        <v>77</v>
      </c>
      <c r="L162" s="2" t="s">
        <v>789</v>
      </c>
      <c r="M162" s="2" t="s">
        <v>790</v>
      </c>
      <c r="N162" s="2" t="s">
        <v>791</v>
      </c>
      <c r="O162" s="2" t="s">
        <v>81</v>
      </c>
      <c r="P162" s="2" t="str">
        <f>"144350                        "</f>
        <v xml:space="preserve">144350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12.85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1</v>
      </c>
      <c r="BI162" s="2">
        <v>1</v>
      </c>
      <c r="BJ162" s="2">
        <v>6.6</v>
      </c>
      <c r="BK162" s="2">
        <v>7</v>
      </c>
      <c r="BL162" s="2">
        <v>112.85</v>
      </c>
      <c r="BM162" s="2">
        <v>15.8</v>
      </c>
      <c r="BN162" s="2">
        <v>128.65</v>
      </c>
      <c r="BO162" s="2">
        <v>128.65</v>
      </c>
      <c r="BP162" s="2"/>
      <c r="BQ162" s="2" t="s">
        <v>792</v>
      </c>
      <c r="BR162" s="2" t="s">
        <v>83</v>
      </c>
      <c r="BS162" s="3">
        <v>43024</v>
      </c>
      <c r="BT162" s="4">
        <v>0.40416666666666662</v>
      </c>
      <c r="BU162" s="2" t="s">
        <v>793</v>
      </c>
      <c r="BV162" s="2" t="s">
        <v>85</v>
      </c>
      <c r="BW162" s="2" t="s">
        <v>172</v>
      </c>
      <c r="BX162" s="2" t="s">
        <v>87</v>
      </c>
      <c r="BY162" s="2">
        <v>33075</v>
      </c>
      <c r="BZ162" s="2"/>
      <c r="CA162" s="2" t="s">
        <v>794</v>
      </c>
      <c r="CB162" s="2"/>
      <c r="CC162" s="2" t="s">
        <v>790</v>
      </c>
      <c r="CD162" s="2">
        <v>3238</v>
      </c>
      <c r="CE162" s="2" t="s">
        <v>134</v>
      </c>
      <c r="CF162" s="5">
        <v>43025</v>
      </c>
      <c r="CG162" s="2"/>
      <c r="CH162" s="2"/>
      <c r="CI162" s="2">
        <v>2</v>
      </c>
      <c r="CJ162" s="2">
        <v>3</v>
      </c>
      <c r="CK162" s="2" t="s">
        <v>148</v>
      </c>
      <c r="CL162" s="2" t="s">
        <v>85</v>
      </c>
      <c r="CM162" s="2"/>
    </row>
    <row r="163" spans="1:91">
      <c r="A163" s="2" t="s">
        <v>71</v>
      </c>
      <c r="B163" s="2" t="s">
        <v>72</v>
      </c>
      <c r="C163" s="2" t="s">
        <v>73</v>
      </c>
      <c r="D163" s="2"/>
      <c r="E163" s="2" t="str">
        <f>"LCR000446"</f>
        <v>LCR000446</v>
      </c>
      <c r="F163" s="3">
        <v>43019</v>
      </c>
      <c r="G163" s="2">
        <v>201804</v>
      </c>
      <c r="H163" s="2" t="s">
        <v>74</v>
      </c>
      <c r="I163" s="2" t="s">
        <v>75</v>
      </c>
      <c r="J163" s="2" t="s">
        <v>76</v>
      </c>
      <c r="K163" s="2" t="s">
        <v>77</v>
      </c>
      <c r="L163" s="2" t="s">
        <v>795</v>
      </c>
      <c r="M163" s="2" t="s">
        <v>796</v>
      </c>
      <c r="N163" s="2" t="s">
        <v>797</v>
      </c>
      <c r="O163" s="2" t="s">
        <v>81</v>
      </c>
      <c r="P163" s="2" t="str">
        <f>"144336                        "</f>
        <v xml:space="preserve">144336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9.1300000000000008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1</v>
      </c>
      <c r="BJ163" s="2">
        <v>6.6</v>
      </c>
      <c r="BK163" s="2">
        <v>7</v>
      </c>
      <c r="BL163" s="2">
        <v>81.63</v>
      </c>
      <c r="BM163" s="2">
        <v>11.43</v>
      </c>
      <c r="BN163" s="2">
        <v>93.06</v>
      </c>
      <c r="BO163" s="2">
        <v>93.06</v>
      </c>
      <c r="BP163" s="2"/>
      <c r="BQ163" s="2" t="s">
        <v>798</v>
      </c>
      <c r="BR163" s="2" t="s">
        <v>83</v>
      </c>
      <c r="BS163" s="3">
        <v>43020</v>
      </c>
      <c r="BT163" s="4">
        <v>0.51736111111111105</v>
      </c>
      <c r="BU163" s="2" t="s">
        <v>799</v>
      </c>
      <c r="BV163" s="2" t="s">
        <v>96</v>
      </c>
      <c r="BW163" s="2"/>
      <c r="BX163" s="2"/>
      <c r="BY163" s="2">
        <v>33075</v>
      </c>
      <c r="BZ163" s="2"/>
      <c r="CA163" s="2"/>
      <c r="CB163" s="2"/>
      <c r="CC163" s="2" t="s">
        <v>796</v>
      </c>
      <c r="CD163" s="2">
        <v>6655</v>
      </c>
      <c r="CE163" s="2" t="s">
        <v>134</v>
      </c>
      <c r="CF163" s="5">
        <v>43024</v>
      </c>
      <c r="CG163" s="2"/>
      <c r="CH163" s="2"/>
      <c r="CI163" s="2">
        <v>4</v>
      </c>
      <c r="CJ163" s="2">
        <v>1</v>
      </c>
      <c r="CK163" s="2" t="s">
        <v>90</v>
      </c>
      <c r="CL163" s="2" t="s">
        <v>85</v>
      </c>
      <c r="CM163" s="2"/>
    </row>
    <row r="164" spans="1:91">
      <c r="A164" s="2" t="s">
        <v>71</v>
      </c>
      <c r="B164" s="2" t="s">
        <v>72</v>
      </c>
      <c r="C164" s="2" t="s">
        <v>73</v>
      </c>
      <c r="D164" s="2"/>
      <c r="E164" s="2" t="str">
        <f>"080001761979"</f>
        <v>080001761979</v>
      </c>
      <c r="F164" s="3">
        <v>43019</v>
      </c>
      <c r="G164" s="2">
        <v>201804</v>
      </c>
      <c r="H164" s="2" t="s">
        <v>234</v>
      </c>
      <c r="I164" s="2" t="s">
        <v>235</v>
      </c>
      <c r="J164" s="2" t="s">
        <v>800</v>
      </c>
      <c r="K164" s="2" t="s">
        <v>77</v>
      </c>
      <c r="L164" s="2" t="s">
        <v>161</v>
      </c>
      <c r="M164" s="2" t="s">
        <v>162</v>
      </c>
      <c r="N164" s="2" t="s">
        <v>801</v>
      </c>
      <c r="O164" s="2" t="s">
        <v>81</v>
      </c>
      <c r="P164" s="2" t="str">
        <f>"                              "</f>
        <v xml:space="preserve">          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56.39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4</v>
      </c>
      <c r="BI164" s="2">
        <v>88</v>
      </c>
      <c r="BJ164" s="2">
        <v>20.3</v>
      </c>
      <c r="BK164" s="2">
        <v>88</v>
      </c>
      <c r="BL164" s="2">
        <v>478.19</v>
      </c>
      <c r="BM164" s="2">
        <v>66.95</v>
      </c>
      <c r="BN164" s="2">
        <v>545.14</v>
      </c>
      <c r="BO164" s="2">
        <v>545.14</v>
      </c>
      <c r="BP164" s="2" t="s">
        <v>802</v>
      </c>
      <c r="BQ164" s="2" t="s">
        <v>419</v>
      </c>
      <c r="BR164" s="2" t="s">
        <v>803</v>
      </c>
      <c r="BS164" s="3">
        <v>43024</v>
      </c>
      <c r="BT164" s="4">
        <v>0.41319444444444442</v>
      </c>
      <c r="BU164" s="2" t="s">
        <v>804</v>
      </c>
      <c r="BV164" s="2"/>
      <c r="BW164" s="2"/>
      <c r="BX164" s="2"/>
      <c r="BY164" s="2">
        <v>101728</v>
      </c>
      <c r="BZ164" s="2"/>
      <c r="CA164" s="2" t="s">
        <v>166</v>
      </c>
      <c r="CB164" s="2"/>
      <c r="CC164" s="2" t="s">
        <v>162</v>
      </c>
      <c r="CD164" s="2">
        <v>6529</v>
      </c>
      <c r="CE164" s="2" t="s">
        <v>283</v>
      </c>
      <c r="CF164" s="5">
        <v>43025</v>
      </c>
      <c r="CG164" s="2"/>
      <c r="CH164" s="2"/>
      <c r="CI164" s="2">
        <v>0</v>
      </c>
      <c r="CJ164" s="2">
        <v>0</v>
      </c>
      <c r="CK164" s="2" t="s">
        <v>98</v>
      </c>
      <c r="CL164" s="2" t="s">
        <v>85</v>
      </c>
      <c r="CM164" s="2"/>
    </row>
    <row r="165" spans="1:91">
      <c r="A165" s="2" t="s">
        <v>71</v>
      </c>
      <c r="B165" s="2" t="s">
        <v>72</v>
      </c>
      <c r="C165" s="2" t="s">
        <v>73</v>
      </c>
      <c r="D165" s="2"/>
      <c r="E165" s="2" t="str">
        <f>"LCR000334"</f>
        <v>LCR000334</v>
      </c>
      <c r="F165" s="3">
        <v>43010</v>
      </c>
      <c r="G165" s="2">
        <v>201804</v>
      </c>
      <c r="H165" s="2" t="s">
        <v>74</v>
      </c>
      <c r="I165" s="2" t="s">
        <v>75</v>
      </c>
      <c r="J165" s="2" t="s">
        <v>694</v>
      </c>
      <c r="K165" s="2" t="s">
        <v>77</v>
      </c>
      <c r="L165" s="2" t="s">
        <v>805</v>
      </c>
      <c r="M165" s="2" t="s">
        <v>150</v>
      </c>
      <c r="N165" s="2" t="s">
        <v>806</v>
      </c>
      <c r="O165" s="2" t="s">
        <v>81</v>
      </c>
      <c r="P165" s="2" t="str">
        <f>"143986 2OA23044               "</f>
        <v xml:space="preserve">143986 2OA23044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5.46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1</v>
      </c>
      <c r="BI165" s="2">
        <v>7</v>
      </c>
      <c r="BJ165" s="2">
        <v>6.6</v>
      </c>
      <c r="BK165" s="2">
        <v>7</v>
      </c>
      <c r="BL165" s="2">
        <v>55.46</v>
      </c>
      <c r="BM165" s="2">
        <v>7.76</v>
      </c>
      <c r="BN165" s="2">
        <v>63.22</v>
      </c>
      <c r="BO165" s="2">
        <v>63.22</v>
      </c>
      <c r="BP165" s="2"/>
      <c r="BQ165" s="2" t="s">
        <v>807</v>
      </c>
      <c r="BR165" s="2" t="s">
        <v>697</v>
      </c>
      <c r="BS165" s="3">
        <v>43012</v>
      </c>
      <c r="BT165" s="4">
        <v>0.64861111111111114</v>
      </c>
      <c r="BU165" s="2" t="s">
        <v>808</v>
      </c>
      <c r="BV165" s="2" t="s">
        <v>85</v>
      </c>
      <c r="BW165" s="2" t="s">
        <v>219</v>
      </c>
      <c r="BX165" s="2" t="s">
        <v>629</v>
      </c>
      <c r="BY165" s="2">
        <v>33075</v>
      </c>
      <c r="BZ165" s="2"/>
      <c r="CA165" s="2" t="s">
        <v>809</v>
      </c>
      <c r="CB165" s="2"/>
      <c r="CC165" s="2" t="s">
        <v>150</v>
      </c>
      <c r="CD165" s="2">
        <v>7530</v>
      </c>
      <c r="CE165" s="2" t="s">
        <v>134</v>
      </c>
      <c r="CF165" s="5">
        <v>43013</v>
      </c>
      <c r="CG165" s="2"/>
      <c r="CH165" s="2"/>
      <c r="CI165" s="2">
        <v>1</v>
      </c>
      <c r="CJ165" s="2">
        <v>2</v>
      </c>
      <c r="CK165" s="2" t="s">
        <v>154</v>
      </c>
      <c r="CL165" s="2" t="s">
        <v>85</v>
      </c>
      <c r="CM165" s="2"/>
    </row>
    <row r="166" spans="1:91">
      <c r="A166" s="2" t="s">
        <v>71</v>
      </c>
      <c r="B166" s="2" t="s">
        <v>72</v>
      </c>
      <c r="C166" s="2" t="s">
        <v>73</v>
      </c>
      <c r="D166" s="2"/>
      <c r="E166" s="2" t="str">
        <f>"080001761991"</f>
        <v>080001761991</v>
      </c>
      <c r="F166" s="3">
        <v>43019</v>
      </c>
      <c r="G166" s="2">
        <v>201804</v>
      </c>
      <c r="H166" s="2" t="s">
        <v>234</v>
      </c>
      <c r="I166" s="2" t="s">
        <v>235</v>
      </c>
      <c r="J166" s="2" t="s">
        <v>800</v>
      </c>
      <c r="K166" s="2" t="s">
        <v>77</v>
      </c>
      <c r="L166" s="2" t="s">
        <v>155</v>
      </c>
      <c r="M166" s="2" t="s">
        <v>156</v>
      </c>
      <c r="N166" s="2" t="s">
        <v>810</v>
      </c>
      <c r="O166" s="2" t="s">
        <v>81</v>
      </c>
      <c r="P166" s="2" t="str">
        <f>"                              "</f>
        <v xml:space="preserve">      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19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2</v>
      </c>
      <c r="BI166" s="2">
        <v>44</v>
      </c>
      <c r="BJ166" s="2">
        <v>10.199999999999999</v>
      </c>
      <c r="BK166" s="2">
        <v>44</v>
      </c>
      <c r="BL166" s="2">
        <v>164.4</v>
      </c>
      <c r="BM166" s="2">
        <v>23.02</v>
      </c>
      <c r="BN166" s="2">
        <v>187.42</v>
      </c>
      <c r="BO166" s="2">
        <v>187.42</v>
      </c>
      <c r="BP166" s="2" t="s">
        <v>811</v>
      </c>
      <c r="BQ166" s="2" t="s">
        <v>812</v>
      </c>
      <c r="BR166" s="2" t="s">
        <v>813</v>
      </c>
      <c r="BS166" s="3">
        <v>43026</v>
      </c>
      <c r="BT166" s="4">
        <v>0.52083333333333337</v>
      </c>
      <c r="BU166" s="2" t="s">
        <v>814</v>
      </c>
      <c r="BV166" s="2" t="s">
        <v>96</v>
      </c>
      <c r="BW166" s="2"/>
      <c r="BX166" s="2"/>
      <c r="BY166" s="2">
        <v>50864</v>
      </c>
      <c r="BZ166" s="2"/>
      <c r="CA166" s="2" t="s">
        <v>815</v>
      </c>
      <c r="CB166" s="2"/>
      <c r="CC166" s="2" t="s">
        <v>156</v>
      </c>
      <c r="CD166" s="2">
        <v>9301</v>
      </c>
      <c r="CE166" s="2" t="s">
        <v>283</v>
      </c>
      <c r="CF166" s="5">
        <v>43028</v>
      </c>
      <c r="CG166" s="2"/>
      <c r="CH166" s="2"/>
      <c r="CI166" s="2">
        <v>2</v>
      </c>
      <c r="CJ166" s="2">
        <v>2</v>
      </c>
      <c r="CK166" s="2" t="s">
        <v>128</v>
      </c>
      <c r="CL166" s="2" t="s">
        <v>85</v>
      </c>
      <c r="CM166" s="2"/>
    </row>
    <row r="167" spans="1:91">
      <c r="A167" s="2" t="s">
        <v>71</v>
      </c>
      <c r="B167" s="2" t="s">
        <v>72</v>
      </c>
      <c r="C167" s="2" t="s">
        <v>73</v>
      </c>
      <c r="D167" s="2"/>
      <c r="E167" s="2" t="str">
        <f>"080001762041"</f>
        <v>080001762041</v>
      </c>
      <c r="F167" s="3">
        <v>43019</v>
      </c>
      <c r="G167" s="2">
        <v>201804</v>
      </c>
      <c r="H167" s="2" t="s">
        <v>234</v>
      </c>
      <c r="I167" s="2" t="s">
        <v>235</v>
      </c>
      <c r="J167" s="2" t="s">
        <v>800</v>
      </c>
      <c r="K167" s="2" t="s">
        <v>77</v>
      </c>
      <c r="L167" s="2" t="s">
        <v>284</v>
      </c>
      <c r="M167" s="2" t="s">
        <v>285</v>
      </c>
      <c r="N167" s="2" t="s">
        <v>816</v>
      </c>
      <c r="O167" s="2" t="s">
        <v>81</v>
      </c>
      <c r="P167" s="2" t="str">
        <f>"                              "</f>
        <v xml:space="preserve">      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29.85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4</v>
      </c>
      <c r="BI167" s="2">
        <v>88</v>
      </c>
      <c r="BJ167" s="2">
        <v>20.3</v>
      </c>
      <c r="BK167" s="2">
        <v>88</v>
      </c>
      <c r="BL167" s="2">
        <v>255.45</v>
      </c>
      <c r="BM167" s="2">
        <v>35.76</v>
      </c>
      <c r="BN167" s="2">
        <v>291.20999999999998</v>
      </c>
      <c r="BO167" s="2">
        <v>291.20999999999998</v>
      </c>
      <c r="BP167" s="2"/>
      <c r="BQ167" s="2" t="s">
        <v>817</v>
      </c>
      <c r="BR167" s="2" t="s">
        <v>813</v>
      </c>
      <c r="BS167" s="3">
        <v>43024</v>
      </c>
      <c r="BT167" s="4">
        <v>0.71527777777777779</v>
      </c>
      <c r="BU167" s="2" t="s">
        <v>818</v>
      </c>
      <c r="BV167" s="2" t="s">
        <v>85</v>
      </c>
      <c r="BW167" s="2" t="s">
        <v>86</v>
      </c>
      <c r="BX167" s="2" t="s">
        <v>489</v>
      </c>
      <c r="BY167" s="2">
        <v>101728</v>
      </c>
      <c r="BZ167" s="2"/>
      <c r="CA167" s="2"/>
      <c r="CB167" s="2"/>
      <c r="CC167" s="2" t="s">
        <v>285</v>
      </c>
      <c r="CD167" s="2">
        <v>1601</v>
      </c>
      <c r="CE167" s="2" t="s">
        <v>283</v>
      </c>
      <c r="CF167" s="5">
        <v>43025</v>
      </c>
      <c r="CG167" s="2"/>
      <c r="CH167" s="2"/>
      <c r="CI167" s="2">
        <v>1</v>
      </c>
      <c r="CJ167" s="2">
        <v>2</v>
      </c>
      <c r="CK167" s="2" t="s">
        <v>819</v>
      </c>
      <c r="CL167" s="2" t="s">
        <v>85</v>
      </c>
      <c r="CM167" s="2"/>
    </row>
    <row r="168" spans="1:91">
      <c r="A168" s="2" t="s">
        <v>71</v>
      </c>
      <c r="B168" s="2" t="s">
        <v>72</v>
      </c>
      <c r="C168" s="2" t="s">
        <v>73</v>
      </c>
      <c r="D168" s="2"/>
      <c r="E168" s="2" t="str">
        <f>"080001762046"</f>
        <v>080001762046</v>
      </c>
      <c r="F168" s="3">
        <v>43019</v>
      </c>
      <c r="G168" s="2">
        <v>201804</v>
      </c>
      <c r="H168" s="2" t="s">
        <v>234</v>
      </c>
      <c r="I168" s="2" t="s">
        <v>235</v>
      </c>
      <c r="J168" s="2" t="s">
        <v>800</v>
      </c>
      <c r="K168" s="2" t="s">
        <v>77</v>
      </c>
      <c r="L168" s="2" t="s">
        <v>764</v>
      </c>
      <c r="M168" s="2" t="s">
        <v>765</v>
      </c>
      <c r="N168" s="2" t="s">
        <v>820</v>
      </c>
      <c r="O168" s="2" t="s">
        <v>81</v>
      </c>
      <c r="P168" s="2" t="str">
        <f>"ICED TEA                      "</f>
        <v xml:space="preserve">ICED TEA     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29.01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2</v>
      </c>
      <c r="BI168" s="2">
        <v>44</v>
      </c>
      <c r="BJ168" s="2">
        <v>10.199999999999999</v>
      </c>
      <c r="BK168" s="2">
        <v>44</v>
      </c>
      <c r="BL168" s="2">
        <v>248.41</v>
      </c>
      <c r="BM168" s="2">
        <v>34.78</v>
      </c>
      <c r="BN168" s="2">
        <v>283.19</v>
      </c>
      <c r="BO168" s="2">
        <v>283.19</v>
      </c>
      <c r="BP168" s="2"/>
      <c r="BQ168" s="2" t="s">
        <v>821</v>
      </c>
      <c r="BR168" s="2" t="s">
        <v>813</v>
      </c>
      <c r="BS168" s="3">
        <v>43027</v>
      </c>
      <c r="BT168" s="4">
        <v>0.38194444444444442</v>
      </c>
      <c r="BU168" s="2" t="s">
        <v>822</v>
      </c>
      <c r="BV168" s="2" t="s">
        <v>85</v>
      </c>
      <c r="BW168" s="2" t="s">
        <v>86</v>
      </c>
      <c r="BX168" s="2" t="s">
        <v>770</v>
      </c>
      <c r="BY168" s="2">
        <v>50864</v>
      </c>
      <c r="BZ168" s="2"/>
      <c r="CA168" s="2" t="s">
        <v>823</v>
      </c>
      <c r="CB168" s="2"/>
      <c r="CC168" s="2" t="s">
        <v>765</v>
      </c>
      <c r="CD168" s="2">
        <v>8300</v>
      </c>
      <c r="CE168" s="2" t="s">
        <v>283</v>
      </c>
      <c r="CF168" s="5">
        <v>43031</v>
      </c>
      <c r="CG168" s="2"/>
      <c r="CH168" s="2"/>
      <c r="CI168" s="2">
        <v>2</v>
      </c>
      <c r="CJ168" s="2">
        <v>3</v>
      </c>
      <c r="CK168" s="2" t="s">
        <v>98</v>
      </c>
      <c r="CL168" s="2" t="s">
        <v>85</v>
      </c>
      <c r="CM168" s="2"/>
    </row>
    <row r="169" spans="1:91">
      <c r="A169" s="2" t="s">
        <v>71</v>
      </c>
      <c r="B169" s="2" t="s">
        <v>72</v>
      </c>
      <c r="C169" s="2" t="s">
        <v>73</v>
      </c>
      <c r="D169" s="2"/>
      <c r="E169" s="2" t="str">
        <f>"080001762850"</f>
        <v>080001762850</v>
      </c>
      <c r="F169" s="3">
        <v>43020</v>
      </c>
      <c r="G169" s="2">
        <v>201804</v>
      </c>
      <c r="H169" s="2" t="s">
        <v>824</v>
      </c>
      <c r="I169" s="2" t="s">
        <v>824</v>
      </c>
      <c r="J169" s="2" t="s">
        <v>825</v>
      </c>
      <c r="K169" s="2" t="s">
        <v>77</v>
      </c>
      <c r="L169" s="2" t="s">
        <v>122</v>
      </c>
      <c r="M169" s="2" t="s">
        <v>123</v>
      </c>
      <c r="N169" s="2" t="s">
        <v>826</v>
      </c>
      <c r="O169" s="2" t="s">
        <v>81</v>
      </c>
      <c r="P169" s="2" t="str">
        <f>"                              "</f>
        <v xml:space="preserve">          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69.900000000000006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4</v>
      </c>
      <c r="BI169" s="2">
        <v>20</v>
      </c>
      <c r="BJ169" s="2">
        <v>82.4</v>
      </c>
      <c r="BK169" s="2">
        <v>83</v>
      </c>
      <c r="BL169" s="2">
        <v>591.5</v>
      </c>
      <c r="BM169" s="2">
        <v>82.81</v>
      </c>
      <c r="BN169" s="2">
        <v>674.31</v>
      </c>
      <c r="BO169" s="2">
        <v>674.31</v>
      </c>
      <c r="BP169" s="2"/>
      <c r="BQ169" s="2" t="s">
        <v>827</v>
      </c>
      <c r="BR169" s="2" t="s">
        <v>828</v>
      </c>
      <c r="BS169" s="3">
        <v>43024</v>
      </c>
      <c r="BT169" s="4">
        <v>0.3972222222222222</v>
      </c>
      <c r="BU169" s="2" t="s">
        <v>829</v>
      </c>
      <c r="BV169" s="2" t="s">
        <v>96</v>
      </c>
      <c r="BW169" s="2"/>
      <c r="BX169" s="2"/>
      <c r="BY169" s="2">
        <v>412176</v>
      </c>
      <c r="BZ169" s="2"/>
      <c r="CA169" s="2" t="s">
        <v>127</v>
      </c>
      <c r="CB169" s="2"/>
      <c r="CC169" s="2" t="s">
        <v>123</v>
      </c>
      <c r="CD169" s="2">
        <v>6025</v>
      </c>
      <c r="CE169" s="2" t="s">
        <v>283</v>
      </c>
      <c r="CF169" s="5">
        <v>43025</v>
      </c>
      <c r="CG169" s="2"/>
      <c r="CH169" s="2"/>
      <c r="CI169" s="2">
        <v>2</v>
      </c>
      <c r="CJ169" s="2">
        <v>2</v>
      </c>
      <c r="CK169" s="2" t="s">
        <v>148</v>
      </c>
      <c r="CL169" s="2" t="s">
        <v>85</v>
      </c>
      <c r="CM169" s="2"/>
    </row>
    <row r="170" spans="1:91">
      <c r="A170" s="2" t="s">
        <v>71</v>
      </c>
      <c r="B170" s="2" t="s">
        <v>72</v>
      </c>
      <c r="C170" s="2" t="s">
        <v>73</v>
      </c>
      <c r="D170" s="2"/>
      <c r="E170" s="2" t="str">
        <f>"080001762072"</f>
        <v>080001762072</v>
      </c>
      <c r="F170" s="3">
        <v>43019</v>
      </c>
      <c r="G170" s="2">
        <v>201804</v>
      </c>
      <c r="H170" s="2" t="s">
        <v>234</v>
      </c>
      <c r="I170" s="2" t="s">
        <v>235</v>
      </c>
      <c r="J170" s="2" t="s">
        <v>800</v>
      </c>
      <c r="K170" s="2" t="s">
        <v>77</v>
      </c>
      <c r="L170" s="2" t="s">
        <v>830</v>
      </c>
      <c r="M170" s="2" t="s">
        <v>441</v>
      </c>
      <c r="N170" s="2" t="s">
        <v>831</v>
      </c>
      <c r="O170" s="2" t="s">
        <v>81</v>
      </c>
      <c r="P170" s="2" t="str">
        <f>"ICED TEA                      "</f>
        <v xml:space="preserve">ICED TEA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19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2</v>
      </c>
      <c r="BI170" s="2">
        <v>44</v>
      </c>
      <c r="BJ170" s="2">
        <v>10.199999999999999</v>
      </c>
      <c r="BK170" s="2">
        <v>44</v>
      </c>
      <c r="BL170" s="2">
        <v>164.4</v>
      </c>
      <c r="BM170" s="2">
        <v>23.02</v>
      </c>
      <c r="BN170" s="2">
        <v>187.42</v>
      </c>
      <c r="BO170" s="2">
        <v>187.42</v>
      </c>
      <c r="BP170" s="2"/>
      <c r="BQ170" s="2" t="s">
        <v>832</v>
      </c>
      <c r="BR170" s="2" t="s">
        <v>813</v>
      </c>
      <c r="BS170" s="3">
        <v>43026</v>
      </c>
      <c r="BT170" s="4">
        <v>0.52847222222222223</v>
      </c>
      <c r="BU170" s="2" t="s">
        <v>833</v>
      </c>
      <c r="BV170" s="2" t="s">
        <v>85</v>
      </c>
      <c r="BW170" s="2"/>
      <c r="BX170" s="2"/>
      <c r="BY170" s="2">
        <v>50864</v>
      </c>
      <c r="BZ170" s="2"/>
      <c r="CA170" s="2" t="s">
        <v>834</v>
      </c>
      <c r="CB170" s="2"/>
      <c r="CC170" s="2" t="s">
        <v>441</v>
      </c>
      <c r="CD170" s="2">
        <v>1200</v>
      </c>
      <c r="CE170" s="2" t="s">
        <v>283</v>
      </c>
      <c r="CF170" s="5">
        <v>43026</v>
      </c>
      <c r="CG170" s="2"/>
      <c r="CH170" s="2"/>
      <c r="CI170" s="2">
        <v>2</v>
      </c>
      <c r="CJ170" s="2">
        <v>4</v>
      </c>
      <c r="CK170" s="2" t="s">
        <v>128</v>
      </c>
      <c r="CL170" s="2" t="s">
        <v>85</v>
      </c>
      <c r="CM170" s="2"/>
    </row>
    <row r="171" spans="1:91">
      <c r="A171" s="2" t="s">
        <v>71</v>
      </c>
      <c r="B171" s="2" t="s">
        <v>72</v>
      </c>
      <c r="C171" s="2" t="s">
        <v>73</v>
      </c>
      <c r="D171" s="2"/>
      <c r="E171" s="2" t="str">
        <f>"080001762103"</f>
        <v>080001762103</v>
      </c>
      <c r="F171" s="3">
        <v>43019</v>
      </c>
      <c r="G171" s="2">
        <v>201804</v>
      </c>
      <c r="H171" s="2" t="s">
        <v>234</v>
      </c>
      <c r="I171" s="2" t="s">
        <v>235</v>
      </c>
      <c r="J171" s="2" t="s">
        <v>800</v>
      </c>
      <c r="K171" s="2" t="s">
        <v>77</v>
      </c>
      <c r="L171" s="2" t="s">
        <v>805</v>
      </c>
      <c r="M171" s="2" t="s">
        <v>150</v>
      </c>
      <c r="N171" s="2" t="s">
        <v>835</v>
      </c>
      <c r="O171" s="2" t="s">
        <v>81</v>
      </c>
      <c r="P171" s="2" t="str">
        <f>"                              "</f>
        <v xml:space="preserve">      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168.25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72</v>
      </c>
      <c r="BI171" s="2">
        <v>435</v>
      </c>
      <c r="BJ171" s="2">
        <v>168</v>
      </c>
      <c r="BK171" s="2">
        <v>435</v>
      </c>
      <c r="BL171" s="2">
        <v>1416.75</v>
      </c>
      <c r="BM171" s="2">
        <v>198.35</v>
      </c>
      <c r="BN171" s="2">
        <v>1615.1</v>
      </c>
      <c r="BO171" s="2">
        <v>1615.1</v>
      </c>
      <c r="BP171" s="2" t="s">
        <v>836</v>
      </c>
      <c r="BQ171" s="2" t="s">
        <v>837</v>
      </c>
      <c r="BR171" s="2" t="s">
        <v>813</v>
      </c>
      <c r="BS171" s="3">
        <v>43025</v>
      </c>
      <c r="BT171" s="4">
        <v>0.53680555555555554</v>
      </c>
      <c r="BU171" s="2" t="s">
        <v>838</v>
      </c>
      <c r="BV171" s="2" t="s">
        <v>85</v>
      </c>
      <c r="BW171" s="2" t="s">
        <v>726</v>
      </c>
      <c r="BX171" s="2" t="s">
        <v>727</v>
      </c>
      <c r="BY171" s="2">
        <v>839862.53</v>
      </c>
      <c r="BZ171" s="2"/>
      <c r="CA171" s="2" t="s">
        <v>839</v>
      </c>
      <c r="CB171" s="2"/>
      <c r="CC171" s="2" t="s">
        <v>150</v>
      </c>
      <c r="CD171" s="2">
        <v>7550</v>
      </c>
      <c r="CE171" s="2" t="s">
        <v>283</v>
      </c>
      <c r="CF171" s="5">
        <v>43026</v>
      </c>
      <c r="CG171" s="2"/>
      <c r="CH171" s="2"/>
      <c r="CI171" s="2">
        <v>2</v>
      </c>
      <c r="CJ171" s="2">
        <v>3</v>
      </c>
      <c r="CK171" s="2" t="s">
        <v>90</v>
      </c>
      <c r="CL171" s="2" t="s">
        <v>85</v>
      </c>
      <c r="CM171" s="2"/>
    </row>
    <row r="172" spans="1:91">
      <c r="A172" s="2" t="s">
        <v>71</v>
      </c>
      <c r="B172" s="2" t="s">
        <v>72</v>
      </c>
      <c r="C172" s="2" t="s">
        <v>73</v>
      </c>
      <c r="D172" s="2"/>
      <c r="E172" s="2" t="str">
        <f>"080001762012"</f>
        <v>080001762012</v>
      </c>
      <c r="F172" s="3">
        <v>43019</v>
      </c>
      <c r="G172" s="2">
        <v>201804</v>
      </c>
      <c r="H172" s="2" t="s">
        <v>234</v>
      </c>
      <c r="I172" s="2" t="s">
        <v>235</v>
      </c>
      <c r="J172" s="2" t="s">
        <v>840</v>
      </c>
      <c r="K172" s="2" t="s">
        <v>77</v>
      </c>
      <c r="L172" s="2" t="s">
        <v>191</v>
      </c>
      <c r="M172" s="2" t="s">
        <v>192</v>
      </c>
      <c r="N172" s="2" t="s">
        <v>841</v>
      </c>
      <c r="O172" s="2" t="s">
        <v>81</v>
      </c>
      <c r="P172" s="2" t="str">
        <f>"Iced Tea                      "</f>
        <v xml:space="preserve">Iced Tea  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58.79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10</v>
      </c>
      <c r="BI172" s="2">
        <v>220</v>
      </c>
      <c r="BJ172" s="2">
        <v>50.8</v>
      </c>
      <c r="BK172" s="2">
        <v>220</v>
      </c>
      <c r="BL172" s="2">
        <v>498.29</v>
      </c>
      <c r="BM172" s="2">
        <v>69.760000000000005</v>
      </c>
      <c r="BN172" s="2">
        <v>568.04999999999995</v>
      </c>
      <c r="BO172" s="2">
        <v>568.04999999999995</v>
      </c>
      <c r="BP172" s="2"/>
      <c r="BQ172" s="2" t="s">
        <v>842</v>
      </c>
      <c r="BR172" s="2" t="s">
        <v>803</v>
      </c>
      <c r="BS172" s="3">
        <v>43024</v>
      </c>
      <c r="BT172" s="4">
        <v>0.67013888888888884</v>
      </c>
      <c r="BU172" s="2" t="s">
        <v>843</v>
      </c>
      <c r="BV172" s="2" t="s">
        <v>96</v>
      </c>
      <c r="BW172" s="2"/>
      <c r="BX172" s="2"/>
      <c r="BY172" s="2">
        <v>254249.02</v>
      </c>
      <c r="BZ172" s="2"/>
      <c r="CA172" s="2"/>
      <c r="CB172" s="2"/>
      <c r="CC172" s="2" t="s">
        <v>192</v>
      </c>
      <c r="CD172" s="2">
        <v>5217</v>
      </c>
      <c r="CE172" s="2" t="s">
        <v>283</v>
      </c>
      <c r="CF172" s="5">
        <v>43026</v>
      </c>
      <c r="CG172" s="2"/>
      <c r="CH172" s="2"/>
      <c r="CI172" s="2">
        <v>2</v>
      </c>
      <c r="CJ172" s="2">
        <v>2</v>
      </c>
      <c r="CK172" s="2" t="s">
        <v>233</v>
      </c>
      <c r="CL172" s="2" t="s">
        <v>85</v>
      </c>
      <c r="CM172" s="2"/>
    </row>
    <row r="173" spans="1:91">
      <c r="A173" s="2" t="s">
        <v>71</v>
      </c>
      <c r="B173" s="2" t="s">
        <v>72</v>
      </c>
      <c r="C173" s="2" t="s">
        <v>73</v>
      </c>
      <c r="D173" s="2"/>
      <c r="E173" s="2" t="str">
        <f>"080001761904"</f>
        <v>080001761904</v>
      </c>
      <c r="F173" s="3">
        <v>43019</v>
      </c>
      <c r="G173" s="2">
        <v>201804</v>
      </c>
      <c r="H173" s="2" t="s">
        <v>234</v>
      </c>
      <c r="I173" s="2" t="s">
        <v>235</v>
      </c>
      <c r="J173" s="2" t="s">
        <v>800</v>
      </c>
      <c r="K173" s="2" t="s">
        <v>77</v>
      </c>
      <c r="L173" s="2" t="s">
        <v>122</v>
      </c>
      <c r="M173" s="2" t="s">
        <v>123</v>
      </c>
      <c r="N173" s="2" t="s">
        <v>844</v>
      </c>
      <c r="O173" s="2" t="s">
        <v>81</v>
      </c>
      <c r="P173" s="2" t="str">
        <f t="shared" ref="P173:P178" si="0">"                              "</f>
        <v xml:space="preserve">      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104.13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13</v>
      </c>
      <c r="BI173" s="2">
        <v>286</v>
      </c>
      <c r="BJ173" s="2">
        <v>66.099999999999994</v>
      </c>
      <c r="BK173" s="2">
        <v>286</v>
      </c>
      <c r="BL173" s="2">
        <v>878.73</v>
      </c>
      <c r="BM173" s="2">
        <v>123.02</v>
      </c>
      <c r="BN173" s="2">
        <v>1001.75</v>
      </c>
      <c r="BO173" s="2">
        <v>1001.75</v>
      </c>
      <c r="BP173" s="2" t="s">
        <v>845</v>
      </c>
      <c r="BQ173" s="2" t="s">
        <v>846</v>
      </c>
      <c r="BR173" s="2" t="s">
        <v>813</v>
      </c>
      <c r="BS173" s="3">
        <v>43026</v>
      </c>
      <c r="BT173" s="4">
        <v>0.52500000000000002</v>
      </c>
      <c r="BU173" s="2" t="s">
        <v>847</v>
      </c>
      <c r="BV173" s="2" t="s">
        <v>96</v>
      </c>
      <c r="BW173" s="2"/>
      <c r="BX173" s="2"/>
      <c r="BY173" s="2">
        <v>330297.3</v>
      </c>
      <c r="BZ173" s="2"/>
      <c r="CA173" s="2" t="s">
        <v>456</v>
      </c>
      <c r="CB173" s="2"/>
      <c r="CC173" s="2" t="s">
        <v>123</v>
      </c>
      <c r="CD173" s="2">
        <v>6055</v>
      </c>
      <c r="CE173" s="2" t="s">
        <v>283</v>
      </c>
      <c r="CF173" s="5">
        <v>43026</v>
      </c>
      <c r="CG173" s="2"/>
      <c r="CH173" s="2"/>
      <c r="CI173" s="2">
        <v>2</v>
      </c>
      <c r="CJ173" s="2">
        <v>2</v>
      </c>
      <c r="CK173" s="2" t="s">
        <v>128</v>
      </c>
      <c r="CL173" s="2" t="s">
        <v>85</v>
      </c>
      <c r="CM173" s="2"/>
    </row>
    <row r="174" spans="1:91">
      <c r="A174" s="2" t="s">
        <v>71</v>
      </c>
      <c r="B174" s="2" t="s">
        <v>72</v>
      </c>
      <c r="C174" s="2" t="s">
        <v>73</v>
      </c>
      <c r="D174" s="2"/>
      <c r="E174" s="2" t="str">
        <f>"080001762029"</f>
        <v>080001762029</v>
      </c>
      <c r="F174" s="3">
        <v>43019</v>
      </c>
      <c r="G174" s="2">
        <v>201804</v>
      </c>
      <c r="H174" s="2" t="s">
        <v>234</v>
      </c>
      <c r="I174" s="2" t="s">
        <v>235</v>
      </c>
      <c r="J174" s="2" t="s">
        <v>800</v>
      </c>
      <c r="K174" s="2" t="s">
        <v>77</v>
      </c>
      <c r="L174" s="2" t="s">
        <v>848</v>
      </c>
      <c r="M174" s="2" t="s">
        <v>849</v>
      </c>
      <c r="N174" s="2" t="s">
        <v>850</v>
      </c>
      <c r="O174" s="2" t="s">
        <v>81</v>
      </c>
      <c r="P174" s="2" t="str">
        <f t="shared" si="0"/>
        <v xml:space="preserve">          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42.7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3</v>
      </c>
      <c r="BI174" s="2">
        <v>66</v>
      </c>
      <c r="BJ174" s="2">
        <v>15.3</v>
      </c>
      <c r="BK174" s="2">
        <v>66</v>
      </c>
      <c r="BL174" s="2">
        <v>363.3</v>
      </c>
      <c r="BM174" s="2">
        <v>50.86</v>
      </c>
      <c r="BN174" s="2">
        <v>414.16</v>
      </c>
      <c r="BO174" s="2">
        <v>414.16</v>
      </c>
      <c r="BP174" s="2" t="s">
        <v>851</v>
      </c>
      <c r="BQ174" s="2" t="s">
        <v>852</v>
      </c>
      <c r="BR174" s="2" t="s">
        <v>813</v>
      </c>
      <c r="BS174" s="3">
        <v>43024</v>
      </c>
      <c r="BT174" s="4">
        <v>0.35486111111111113</v>
      </c>
      <c r="BU174" s="2" t="s">
        <v>853</v>
      </c>
      <c r="BV174" s="2" t="s">
        <v>96</v>
      </c>
      <c r="BW174" s="2"/>
      <c r="BX174" s="2"/>
      <c r="BY174" s="2">
        <v>76296</v>
      </c>
      <c r="BZ174" s="2"/>
      <c r="CA174" s="2" t="s">
        <v>854</v>
      </c>
      <c r="CB174" s="2"/>
      <c r="CC174" s="2" t="s">
        <v>849</v>
      </c>
      <c r="CD174" s="2">
        <v>9459</v>
      </c>
      <c r="CE174" s="2" t="s">
        <v>283</v>
      </c>
      <c r="CF174" s="5">
        <v>43026</v>
      </c>
      <c r="CG174" s="2"/>
      <c r="CH174" s="2"/>
      <c r="CI174" s="2">
        <v>2</v>
      </c>
      <c r="CJ174" s="2">
        <v>2</v>
      </c>
      <c r="CK174" s="2" t="s">
        <v>98</v>
      </c>
      <c r="CL174" s="2" t="s">
        <v>85</v>
      </c>
      <c r="CM174" s="2"/>
    </row>
    <row r="175" spans="1:91">
      <c r="A175" s="2" t="s">
        <v>71</v>
      </c>
      <c r="B175" s="2" t="s">
        <v>72</v>
      </c>
      <c r="C175" s="2" t="s">
        <v>73</v>
      </c>
      <c r="D175" s="2"/>
      <c r="E175" s="2" t="str">
        <f>"080001762090"</f>
        <v>080001762090</v>
      </c>
      <c r="F175" s="3">
        <v>43019</v>
      </c>
      <c r="G175" s="2">
        <v>201804</v>
      </c>
      <c r="H175" s="2" t="s">
        <v>234</v>
      </c>
      <c r="I175" s="2" t="s">
        <v>235</v>
      </c>
      <c r="J175" s="2" t="s">
        <v>800</v>
      </c>
      <c r="K175" s="2" t="s">
        <v>77</v>
      </c>
      <c r="L175" s="2" t="s">
        <v>610</v>
      </c>
      <c r="M175" s="2" t="s">
        <v>611</v>
      </c>
      <c r="N175" s="2" t="s">
        <v>855</v>
      </c>
      <c r="O175" s="2" t="s">
        <v>81</v>
      </c>
      <c r="P175" s="2" t="str">
        <f t="shared" si="0"/>
        <v xml:space="preserve">      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80.91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10</v>
      </c>
      <c r="BI175" s="2">
        <v>220</v>
      </c>
      <c r="BJ175" s="2">
        <v>50.8</v>
      </c>
      <c r="BK175" s="2">
        <v>220</v>
      </c>
      <c r="BL175" s="2">
        <v>683.91</v>
      </c>
      <c r="BM175" s="2">
        <v>95.75</v>
      </c>
      <c r="BN175" s="2">
        <v>779.66</v>
      </c>
      <c r="BO175" s="2">
        <v>779.66</v>
      </c>
      <c r="BP175" s="2" t="s">
        <v>856</v>
      </c>
      <c r="BQ175" s="2" t="s">
        <v>857</v>
      </c>
      <c r="BR175" s="2" t="s">
        <v>813</v>
      </c>
      <c r="BS175" s="3">
        <v>43025</v>
      </c>
      <c r="BT175" s="4">
        <v>0.65208333333333335</v>
      </c>
      <c r="BU175" s="2" t="s">
        <v>858</v>
      </c>
      <c r="BV175" s="2" t="s">
        <v>85</v>
      </c>
      <c r="BW175" s="2" t="s">
        <v>615</v>
      </c>
      <c r="BX175" s="2" t="s">
        <v>859</v>
      </c>
      <c r="BY175" s="2">
        <v>254249.02</v>
      </c>
      <c r="BZ175" s="2"/>
      <c r="CA175" s="2"/>
      <c r="CB175" s="2"/>
      <c r="CC175" s="2" t="s">
        <v>611</v>
      </c>
      <c r="CD175" s="2">
        <v>699</v>
      </c>
      <c r="CE175" s="2" t="s">
        <v>283</v>
      </c>
      <c r="CF175" s="5">
        <v>43027</v>
      </c>
      <c r="CG175" s="2"/>
      <c r="CH175" s="2"/>
      <c r="CI175" s="2">
        <v>2</v>
      </c>
      <c r="CJ175" s="2">
        <v>3</v>
      </c>
      <c r="CK175" s="2" t="s">
        <v>128</v>
      </c>
      <c r="CL175" s="2" t="s">
        <v>85</v>
      </c>
      <c r="CM175" s="2"/>
    </row>
    <row r="176" spans="1:91">
      <c r="A176" s="2" t="s">
        <v>71</v>
      </c>
      <c r="B176" s="2" t="s">
        <v>72</v>
      </c>
      <c r="C176" s="2" t="s">
        <v>73</v>
      </c>
      <c r="D176" s="2"/>
      <c r="E176" s="2" t="str">
        <f>"080001762024"</f>
        <v>080001762024</v>
      </c>
      <c r="F176" s="3">
        <v>43019</v>
      </c>
      <c r="G176" s="2">
        <v>201804</v>
      </c>
      <c r="H176" s="2" t="s">
        <v>234</v>
      </c>
      <c r="I176" s="2" t="s">
        <v>235</v>
      </c>
      <c r="J176" s="2" t="s">
        <v>800</v>
      </c>
      <c r="K176" s="2" t="s">
        <v>77</v>
      </c>
      <c r="L176" s="2" t="s">
        <v>360</v>
      </c>
      <c r="M176" s="2" t="s">
        <v>361</v>
      </c>
      <c r="N176" s="2" t="s">
        <v>850</v>
      </c>
      <c r="O176" s="2" t="s">
        <v>81</v>
      </c>
      <c r="P176" s="2" t="str">
        <f t="shared" si="0"/>
        <v xml:space="preserve">          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20.12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2</v>
      </c>
      <c r="BI176" s="2">
        <v>44</v>
      </c>
      <c r="BJ176" s="2">
        <v>10.199999999999999</v>
      </c>
      <c r="BK176" s="2">
        <v>44</v>
      </c>
      <c r="BL176" s="2">
        <v>173.82</v>
      </c>
      <c r="BM176" s="2">
        <v>24.33</v>
      </c>
      <c r="BN176" s="2">
        <v>198.15</v>
      </c>
      <c r="BO176" s="2">
        <v>198.15</v>
      </c>
      <c r="BP176" s="2" t="s">
        <v>856</v>
      </c>
      <c r="BQ176" s="2" t="s">
        <v>860</v>
      </c>
      <c r="BR176" s="2" t="s">
        <v>813</v>
      </c>
      <c r="BS176" s="3">
        <v>43024</v>
      </c>
      <c r="BT176" s="4">
        <v>0.63680555555555551</v>
      </c>
      <c r="BU176" s="2" t="s">
        <v>214</v>
      </c>
      <c r="BV176" s="2" t="s">
        <v>85</v>
      </c>
      <c r="BW176" s="2"/>
      <c r="BX176" s="2"/>
      <c r="BY176" s="2">
        <v>50864</v>
      </c>
      <c r="BZ176" s="2"/>
      <c r="CA176" s="2" t="s">
        <v>861</v>
      </c>
      <c r="CB176" s="2"/>
      <c r="CC176" s="2" t="s">
        <v>361</v>
      </c>
      <c r="CD176" s="2">
        <v>2571</v>
      </c>
      <c r="CE176" s="2" t="s">
        <v>283</v>
      </c>
      <c r="CF176" s="5">
        <v>43026</v>
      </c>
      <c r="CG176" s="2"/>
      <c r="CH176" s="2"/>
      <c r="CI176" s="2">
        <v>1</v>
      </c>
      <c r="CJ176" s="2">
        <v>2</v>
      </c>
      <c r="CK176" s="2" t="s">
        <v>90</v>
      </c>
      <c r="CL176" s="2" t="s">
        <v>85</v>
      </c>
      <c r="CM176" s="2"/>
    </row>
    <row r="177" spans="1:91">
      <c r="A177" s="2" t="s">
        <v>71</v>
      </c>
      <c r="B177" s="2" t="s">
        <v>72</v>
      </c>
      <c r="C177" s="2" t="s">
        <v>73</v>
      </c>
      <c r="D177" s="2"/>
      <c r="E177" s="2" t="str">
        <f>"080001762004"</f>
        <v>080001762004</v>
      </c>
      <c r="F177" s="3">
        <v>43019</v>
      </c>
      <c r="G177" s="2">
        <v>201804</v>
      </c>
      <c r="H177" s="2" t="s">
        <v>234</v>
      </c>
      <c r="I177" s="2" t="s">
        <v>235</v>
      </c>
      <c r="J177" s="2" t="s">
        <v>862</v>
      </c>
      <c r="K177" s="2" t="s">
        <v>77</v>
      </c>
      <c r="L177" s="2" t="s">
        <v>863</v>
      </c>
      <c r="M177" s="2" t="s">
        <v>864</v>
      </c>
      <c r="N177" s="2" t="s">
        <v>865</v>
      </c>
      <c r="O177" s="2" t="s">
        <v>81</v>
      </c>
      <c r="P177" s="2" t="str">
        <f t="shared" si="0"/>
        <v xml:space="preserve">          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15.32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22</v>
      </c>
      <c r="BJ177" s="2">
        <v>5.0999999999999996</v>
      </c>
      <c r="BK177" s="2">
        <v>22</v>
      </c>
      <c r="BL177" s="2">
        <v>133.52000000000001</v>
      </c>
      <c r="BM177" s="2">
        <v>18.690000000000001</v>
      </c>
      <c r="BN177" s="2">
        <v>152.21</v>
      </c>
      <c r="BO177" s="2">
        <v>152.21</v>
      </c>
      <c r="BP177" s="2" t="s">
        <v>856</v>
      </c>
      <c r="BQ177" s="2" t="s">
        <v>866</v>
      </c>
      <c r="BR177" s="2" t="s">
        <v>803</v>
      </c>
      <c r="BS177" s="3">
        <v>43024</v>
      </c>
      <c r="BT177" s="4">
        <v>0.54861111111111105</v>
      </c>
      <c r="BU177" s="2" t="s">
        <v>867</v>
      </c>
      <c r="BV177" s="2" t="s">
        <v>96</v>
      </c>
      <c r="BW177" s="2"/>
      <c r="BX177" s="2"/>
      <c r="BY177" s="2">
        <v>25432</v>
      </c>
      <c r="BZ177" s="2"/>
      <c r="CA177" s="2" t="s">
        <v>868</v>
      </c>
      <c r="CB177" s="2"/>
      <c r="CC177" s="2" t="s">
        <v>864</v>
      </c>
      <c r="CD177" s="2">
        <v>9745</v>
      </c>
      <c r="CE177" s="2" t="s">
        <v>283</v>
      </c>
      <c r="CF177" s="5">
        <v>43026</v>
      </c>
      <c r="CG177" s="2"/>
      <c r="CH177" s="2"/>
      <c r="CI177" s="2">
        <v>3</v>
      </c>
      <c r="CJ177" s="2">
        <v>2</v>
      </c>
      <c r="CK177" s="2" t="s">
        <v>869</v>
      </c>
      <c r="CL177" s="2" t="s">
        <v>85</v>
      </c>
      <c r="CM177" s="2"/>
    </row>
    <row r="178" spans="1:91">
      <c r="A178" s="2" t="s">
        <v>71</v>
      </c>
      <c r="B178" s="2" t="s">
        <v>72</v>
      </c>
      <c r="C178" s="2" t="s">
        <v>73</v>
      </c>
      <c r="D178" s="2"/>
      <c r="E178" s="2" t="str">
        <f>"080001762099"</f>
        <v>080001762099</v>
      </c>
      <c r="F178" s="3">
        <v>43019</v>
      </c>
      <c r="G178" s="2">
        <v>201804</v>
      </c>
      <c r="H178" s="2" t="s">
        <v>234</v>
      </c>
      <c r="I178" s="2" t="s">
        <v>235</v>
      </c>
      <c r="J178" s="2" t="s">
        <v>800</v>
      </c>
      <c r="K178" s="2" t="s">
        <v>77</v>
      </c>
      <c r="L178" s="2" t="s">
        <v>805</v>
      </c>
      <c r="M178" s="2" t="s">
        <v>150</v>
      </c>
      <c r="N178" s="2" t="s">
        <v>870</v>
      </c>
      <c r="O178" s="2" t="s">
        <v>81</v>
      </c>
      <c r="P178" s="2" t="str">
        <f t="shared" si="0"/>
        <v xml:space="preserve">          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272.43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33</v>
      </c>
      <c r="BI178" s="2">
        <v>710</v>
      </c>
      <c r="BJ178" s="2">
        <v>165.5</v>
      </c>
      <c r="BK178" s="2">
        <v>710</v>
      </c>
      <c r="BL178" s="2">
        <v>2290.9299999999998</v>
      </c>
      <c r="BM178" s="2">
        <v>320.73</v>
      </c>
      <c r="BN178" s="2">
        <v>2611.66</v>
      </c>
      <c r="BO178" s="2">
        <v>2611.66</v>
      </c>
      <c r="BP178" s="2" t="s">
        <v>836</v>
      </c>
      <c r="BQ178" s="2" t="s">
        <v>871</v>
      </c>
      <c r="BR178" s="2" t="s">
        <v>813</v>
      </c>
      <c r="BS178" s="3">
        <v>43024</v>
      </c>
      <c r="BT178" s="4">
        <v>0.5625</v>
      </c>
      <c r="BU178" s="2" t="s">
        <v>872</v>
      </c>
      <c r="BV178" s="2" t="s">
        <v>96</v>
      </c>
      <c r="BW178" s="2"/>
      <c r="BX178" s="2"/>
      <c r="BY178" s="2">
        <v>827485.9</v>
      </c>
      <c r="BZ178" s="2"/>
      <c r="CA178" s="2"/>
      <c r="CB178" s="2"/>
      <c r="CC178" s="2" t="s">
        <v>150</v>
      </c>
      <c r="CD178" s="2">
        <v>7460</v>
      </c>
      <c r="CE178" s="2" t="s">
        <v>283</v>
      </c>
      <c r="CF178" s="5">
        <v>43025</v>
      </c>
      <c r="CG178" s="2"/>
      <c r="CH178" s="2"/>
      <c r="CI178" s="2">
        <v>2</v>
      </c>
      <c r="CJ178" s="2">
        <v>2</v>
      </c>
      <c r="CK178" s="2" t="s">
        <v>90</v>
      </c>
      <c r="CL178" s="2" t="s">
        <v>85</v>
      </c>
      <c r="CM178" s="2"/>
    </row>
    <row r="179" spans="1:91">
      <c r="A179" s="2" t="s">
        <v>71</v>
      </c>
      <c r="B179" s="2" t="s">
        <v>72</v>
      </c>
      <c r="C179" s="2" t="s">
        <v>73</v>
      </c>
      <c r="D179" s="2"/>
      <c r="E179" s="2" t="str">
        <f>"080001762093"</f>
        <v>080001762093</v>
      </c>
      <c r="F179" s="3">
        <v>43019</v>
      </c>
      <c r="G179" s="2">
        <v>201804</v>
      </c>
      <c r="H179" s="2" t="s">
        <v>234</v>
      </c>
      <c r="I179" s="2" t="s">
        <v>235</v>
      </c>
      <c r="J179" s="2" t="s">
        <v>800</v>
      </c>
      <c r="K179" s="2" t="s">
        <v>77</v>
      </c>
      <c r="L179" s="2" t="s">
        <v>873</v>
      </c>
      <c r="M179" s="2" t="s">
        <v>117</v>
      </c>
      <c r="N179" s="2" t="s">
        <v>874</v>
      </c>
      <c r="O179" s="2" t="s">
        <v>81</v>
      </c>
      <c r="P179" s="2" t="str">
        <f>"ICED TEA                      "</f>
        <v xml:space="preserve">ICED TEA  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132.31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23</v>
      </c>
      <c r="BI179" s="2">
        <v>506</v>
      </c>
      <c r="BJ179" s="2">
        <v>117</v>
      </c>
      <c r="BK179" s="2">
        <v>506</v>
      </c>
      <c r="BL179" s="2">
        <v>1115.21</v>
      </c>
      <c r="BM179" s="2">
        <v>156.13</v>
      </c>
      <c r="BN179" s="2">
        <v>1271.3399999999999</v>
      </c>
      <c r="BO179" s="2">
        <v>1271.3399999999999</v>
      </c>
      <c r="BP179" s="2"/>
      <c r="BQ179" s="2" t="s">
        <v>875</v>
      </c>
      <c r="BR179" s="2" t="s">
        <v>813</v>
      </c>
      <c r="BS179" s="3">
        <v>43021</v>
      </c>
      <c r="BT179" s="4">
        <v>0.52152777777777781</v>
      </c>
      <c r="BU179" s="2" t="s">
        <v>876</v>
      </c>
      <c r="BV179" s="2"/>
      <c r="BW179" s="2"/>
      <c r="BX179" s="2"/>
      <c r="BY179" s="2">
        <v>584893.02</v>
      </c>
      <c r="BZ179" s="2"/>
      <c r="CA179" s="2" t="s">
        <v>877</v>
      </c>
      <c r="CB179" s="2"/>
      <c r="CC179" s="2" t="s">
        <v>117</v>
      </c>
      <c r="CD179" s="2">
        <v>200</v>
      </c>
      <c r="CE179" s="2" t="s">
        <v>283</v>
      </c>
      <c r="CF179" s="5">
        <v>43021</v>
      </c>
      <c r="CG179" s="2"/>
      <c r="CH179" s="2"/>
      <c r="CI179" s="2">
        <v>0</v>
      </c>
      <c r="CJ179" s="2">
        <v>0</v>
      </c>
      <c r="CK179" s="2" t="s">
        <v>233</v>
      </c>
      <c r="CL179" s="2" t="s">
        <v>85</v>
      </c>
      <c r="CM179" s="2"/>
    </row>
    <row r="180" spans="1:91">
      <c r="A180" s="2" t="s">
        <v>71</v>
      </c>
      <c r="B180" s="2" t="s">
        <v>72</v>
      </c>
      <c r="C180" s="2" t="s">
        <v>73</v>
      </c>
      <c r="D180" s="2"/>
      <c r="E180" s="2" t="str">
        <f>"080001762074"</f>
        <v>080001762074</v>
      </c>
      <c r="F180" s="3">
        <v>43019</v>
      </c>
      <c r="G180" s="2">
        <v>201804</v>
      </c>
      <c r="H180" s="2" t="s">
        <v>234</v>
      </c>
      <c r="I180" s="2" t="s">
        <v>235</v>
      </c>
      <c r="J180" s="2" t="s">
        <v>800</v>
      </c>
      <c r="K180" s="2" t="s">
        <v>77</v>
      </c>
      <c r="L180" s="2" t="s">
        <v>284</v>
      </c>
      <c r="M180" s="2" t="s">
        <v>285</v>
      </c>
      <c r="N180" s="2" t="s">
        <v>878</v>
      </c>
      <c r="O180" s="2" t="s">
        <v>81</v>
      </c>
      <c r="P180" s="2" t="str">
        <f>"                              "</f>
        <v xml:space="preserve">      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173.91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26</v>
      </c>
      <c r="BI180" s="2">
        <v>572</v>
      </c>
      <c r="BJ180" s="2">
        <v>132.4</v>
      </c>
      <c r="BK180" s="2">
        <v>572</v>
      </c>
      <c r="BL180" s="2">
        <v>1464.31</v>
      </c>
      <c r="BM180" s="2">
        <v>205</v>
      </c>
      <c r="BN180" s="2">
        <v>1669.31</v>
      </c>
      <c r="BO180" s="2">
        <v>1669.31</v>
      </c>
      <c r="BP180" s="2" t="s">
        <v>856</v>
      </c>
      <c r="BQ180" s="2" t="s">
        <v>879</v>
      </c>
      <c r="BR180" s="2" t="s">
        <v>813</v>
      </c>
      <c r="BS180" s="3">
        <v>43034</v>
      </c>
      <c r="BT180" s="4">
        <v>0.71527777777777779</v>
      </c>
      <c r="BU180" s="2" t="s">
        <v>880</v>
      </c>
      <c r="BV180" s="2"/>
      <c r="BW180" s="2" t="s">
        <v>86</v>
      </c>
      <c r="BX180" s="2" t="s">
        <v>489</v>
      </c>
      <c r="BY180" s="2">
        <v>661760.63</v>
      </c>
      <c r="BZ180" s="2"/>
      <c r="CA180" s="2"/>
      <c r="CB180" s="2"/>
      <c r="CC180" s="2" t="s">
        <v>285</v>
      </c>
      <c r="CD180" s="2">
        <v>1600</v>
      </c>
      <c r="CE180" s="2" t="s">
        <v>283</v>
      </c>
      <c r="CF180" s="5">
        <v>43035</v>
      </c>
      <c r="CG180" s="2"/>
      <c r="CH180" s="2"/>
      <c r="CI180" s="2">
        <v>1</v>
      </c>
      <c r="CJ180" s="2">
        <v>10</v>
      </c>
      <c r="CK180" s="2" t="s">
        <v>819</v>
      </c>
      <c r="CL180" s="2" t="s">
        <v>85</v>
      </c>
      <c r="CM180" s="2"/>
    </row>
    <row r="181" spans="1:91">
      <c r="A181" s="2" t="s">
        <v>71</v>
      </c>
      <c r="B181" s="2" t="s">
        <v>72</v>
      </c>
      <c r="C181" s="2" t="s">
        <v>73</v>
      </c>
      <c r="D181" s="2"/>
      <c r="E181" s="2" t="str">
        <f>"080001762777"</f>
        <v>080001762777</v>
      </c>
      <c r="F181" s="3">
        <v>43020</v>
      </c>
      <c r="G181" s="2">
        <v>201804</v>
      </c>
      <c r="H181" s="2" t="s">
        <v>234</v>
      </c>
      <c r="I181" s="2" t="s">
        <v>235</v>
      </c>
      <c r="J181" s="2" t="s">
        <v>800</v>
      </c>
      <c r="K181" s="2" t="s">
        <v>77</v>
      </c>
      <c r="L181" s="2" t="s">
        <v>105</v>
      </c>
      <c r="M181" s="2" t="s">
        <v>106</v>
      </c>
      <c r="N181" s="2" t="s">
        <v>881</v>
      </c>
      <c r="O181" s="2" t="s">
        <v>81</v>
      </c>
      <c r="P181" s="2" t="str">
        <f>"                              "</f>
        <v xml:space="preserve">      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36.4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5</v>
      </c>
      <c r="BI181" s="2">
        <v>110</v>
      </c>
      <c r="BJ181" s="2">
        <v>25.4</v>
      </c>
      <c r="BK181" s="2">
        <v>110</v>
      </c>
      <c r="BL181" s="2">
        <v>310.39999999999998</v>
      </c>
      <c r="BM181" s="2">
        <v>43.46</v>
      </c>
      <c r="BN181" s="2">
        <v>353.86</v>
      </c>
      <c r="BO181" s="2">
        <v>353.86</v>
      </c>
      <c r="BP181" s="2"/>
      <c r="BQ181" s="2" t="s">
        <v>882</v>
      </c>
      <c r="BR181" s="2" t="s">
        <v>813</v>
      </c>
      <c r="BS181" s="3">
        <v>43025</v>
      </c>
      <c r="BT181" s="4">
        <v>0.70694444444444438</v>
      </c>
      <c r="BU181" s="2" t="s">
        <v>883</v>
      </c>
      <c r="BV181" s="2" t="s">
        <v>96</v>
      </c>
      <c r="BW181" s="2"/>
      <c r="BX181" s="2"/>
      <c r="BY181" s="2">
        <v>127160</v>
      </c>
      <c r="BZ181" s="2"/>
      <c r="CA181" s="2" t="s">
        <v>884</v>
      </c>
      <c r="CB181" s="2"/>
      <c r="CC181" s="2" t="s">
        <v>106</v>
      </c>
      <c r="CD181" s="2">
        <v>2021</v>
      </c>
      <c r="CE181" s="2" t="s">
        <v>283</v>
      </c>
      <c r="CF181" s="5">
        <v>43025</v>
      </c>
      <c r="CG181" s="2"/>
      <c r="CH181" s="2"/>
      <c r="CI181" s="2">
        <v>1</v>
      </c>
      <c r="CJ181" s="2">
        <v>1</v>
      </c>
      <c r="CK181" s="2" t="s">
        <v>819</v>
      </c>
      <c r="CL181" s="2" t="s">
        <v>85</v>
      </c>
      <c r="CM181" s="2"/>
    </row>
    <row r="182" spans="1:91">
      <c r="A182" s="2" t="s">
        <v>71</v>
      </c>
      <c r="B182" s="2" t="s">
        <v>72</v>
      </c>
      <c r="C182" s="2" t="s">
        <v>73</v>
      </c>
      <c r="D182" s="2"/>
      <c r="E182" s="2" t="str">
        <f>"LCR000418"</f>
        <v>LCR000418</v>
      </c>
      <c r="F182" s="3">
        <v>43012</v>
      </c>
      <c r="G182" s="2">
        <v>201804</v>
      </c>
      <c r="H182" s="2" t="s">
        <v>74</v>
      </c>
      <c r="I182" s="2" t="s">
        <v>75</v>
      </c>
      <c r="J182" s="2" t="s">
        <v>694</v>
      </c>
      <c r="K182" s="2" t="s">
        <v>77</v>
      </c>
      <c r="L182" s="2" t="s">
        <v>347</v>
      </c>
      <c r="M182" s="2" t="s">
        <v>348</v>
      </c>
      <c r="N182" s="2" t="s">
        <v>885</v>
      </c>
      <c r="O182" s="2" t="s">
        <v>81</v>
      </c>
      <c r="P182" s="2" t="str">
        <f>"144090                        "</f>
        <v xml:space="preserve">144090       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10.96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1</v>
      </c>
      <c r="BI182" s="2">
        <v>4</v>
      </c>
      <c r="BJ182" s="2">
        <v>3.9</v>
      </c>
      <c r="BK182" s="2">
        <v>4</v>
      </c>
      <c r="BL182" s="2">
        <v>96.96</v>
      </c>
      <c r="BM182" s="2">
        <v>13.57</v>
      </c>
      <c r="BN182" s="2">
        <v>110.53</v>
      </c>
      <c r="BO182" s="2">
        <v>110.53</v>
      </c>
      <c r="BP182" s="2"/>
      <c r="BQ182" s="2" t="s">
        <v>886</v>
      </c>
      <c r="BR182" s="2" t="s">
        <v>697</v>
      </c>
      <c r="BS182" s="3">
        <v>43017</v>
      </c>
      <c r="BT182" s="4">
        <v>0.34375</v>
      </c>
      <c r="BU182" s="2" t="s">
        <v>887</v>
      </c>
      <c r="BV182" s="2"/>
      <c r="BW182" s="2" t="s">
        <v>86</v>
      </c>
      <c r="BX182" s="2" t="s">
        <v>888</v>
      </c>
      <c r="BY182" s="2">
        <v>19683</v>
      </c>
      <c r="BZ182" s="2"/>
      <c r="CA182" s="2" t="s">
        <v>889</v>
      </c>
      <c r="CB182" s="2"/>
      <c r="CC182" s="2" t="s">
        <v>348</v>
      </c>
      <c r="CD182" s="2">
        <v>3880</v>
      </c>
      <c r="CE182" s="2" t="s">
        <v>89</v>
      </c>
      <c r="CF182" s="5">
        <v>43019</v>
      </c>
      <c r="CG182" s="2"/>
      <c r="CH182" s="2"/>
      <c r="CI182" s="2">
        <v>0</v>
      </c>
      <c r="CJ182" s="2">
        <v>0</v>
      </c>
      <c r="CK182" s="2" t="s">
        <v>174</v>
      </c>
      <c r="CL182" s="2" t="s">
        <v>85</v>
      </c>
      <c r="CM182" s="2"/>
    </row>
    <row r="183" spans="1:91">
      <c r="A183" s="2" t="s">
        <v>71</v>
      </c>
      <c r="B183" s="2" t="s">
        <v>72</v>
      </c>
      <c r="C183" s="2" t="s">
        <v>73</v>
      </c>
      <c r="D183" s="2"/>
      <c r="E183" s="2" t="str">
        <f>"LCR000398"</f>
        <v>LCR000398</v>
      </c>
      <c r="F183" s="3">
        <v>43012</v>
      </c>
      <c r="G183" s="2">
        <v>201804</v>
      </c>
      <c r="H183" s="2" t="s">
        <v>74</v>
      </c>
      <c r="I183" s="2" t="s">
        <v>75</v>
      </c>
      <c r="J183" s="2" t="s">
        <v>694</v>
      </c>
      <c r="K183" s="2" t="s">
        <v>77</v>
      </c>
      <c r="L183" s="2" t="s">
        <v>149</v>
      </c>
      <c r="M183" s="2" t="s">
        <v>150</v>
      </c>
      <c r="N183" s="2" t="s">
        <v>890</v>
      </c>
      <c r="O183" s="2" t="s">
        <v>81</v>
      </c>
      <c r="P183" s="2" t="str">
        <f>"144059                        "</f>
        <v xml:space="preserve">144059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6.09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1</v>
      </c>
      <c r="BI183" s="2">
        <v>1</v>
      </c>
      <c r="BJ183" s="2">
        <v>3.9</v>
      </c>
      <c r="BK183" s="2">
        <v>4</v>
      </c>
      <c r="BL183" s="2">
        <v>56.09</v>
      </c>
      <c r="BM183" s="2">
        <v>7.85</v>
      </c>
      <c r="BN183" s="2">
        <v>63.94</v>
      </c>
      <c r="BO183" s="2">
        <v>63.94</v>
      </c>
      <c r="BP183" s="2"/>
      <c r="BQ183" s="2" t="s">
        <v>891</v>
      </c>
      <c r="BR183" s="2" t="s">
        <v>697</v>
      </c>
      <c r="BS183" s="3">
        <v>43013</v>
      </c>
      <c r="BT183" s="4">
        <v>0.53402777777777777</v>
      </c>
      <c r="BU183" s="2" t="s">
        <v>892</v>
      </c>
      <c r="BV183" s="2"/>
      <c r="BW183" s="2"/>
      <c r="BX183" s="2"/>
      <c r="BY183" s="2">
        <v>19683</v>
      </c>
      <c r="BZ183" s="2"/>
      <c r="CA183" s="2" t="s">
        <v>267</v>
      </c>
      <c r="CB183" s="2"/>
      <c r="CC183" s="2" t="s">
        <v>150</v>
      </c>
      <c r="CD183" s="2">
        <v>7925</v>
      </c>
      <c r="CE183" s="2" t="s">
        <v>89</v>
      </c>
      <c r="CF183" s="5">
        <v>43014</v>
      </c>
      <c r="CG183" s="2"/>
      <c r="CH183" s="2"/>
      <c r="CI183" s="2">
        <v>0</v>
      </c>
      <c r="CJ183" s="2">
        <v>0</v>
      </c>
      <c r="CK183" s="2" t="s">
        <v>154</v>
      </c>
      <c r="CL183" s="2" t="s">
        <v>85</v>
      </c>
      <c r="CM183" s="2"/>
    </row>
    <row r="184" spans="1:91">
      <c r="A184" s="2" t="s">
        <v>71</v>
      </c>
      <c r="B184" s="2" t="s">
        <v>72</v>
      </c>
      <c r="C184" s="2" t="s">
        <v>73</v>
      </c>
      <c r="D184" s="2"/>
      <c r="E184" s="2" t="str">
        <f>"039902652280"</f>
        <v>039902652280</v>
      </c>
      <c r="F184" s="3">
        <v>43021</v>
      </c>
      <c r="G184" s="2">
        <v>201804</v>
      </c>
      <c r="H184" s="2" t="s">
        <v>122</v>
      </c>
      <c r="I184" s="2" t="s">
        <v>123</v>
      </c>
      <c r="J184" s="2" t="s">
        <v>276</v>
      </c>
      <c r="K184" s="2" t="s">
        <v>77</v>
      </c>
      <c r="L184" s="2" t="s">
        <v>161</v>
      </c>
      <c r="M184" s="2" t="s">
        <v>162</v>
      </c>
      <c r="N184" s="2" t="s">
        <v>711</v>
      </c>
      <c r="O184" s="2" t="s">
        <v>278</v>
      </c>
      <c r="P184" s="2" t="str">
        <f>"11912270 FM                   "</f>
        <v xml:space="preserve">11912270 FM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4.33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1</v>
      </c>
      <c r="BI184" s="2">
        <v>1</v>
      </c>
      <c r="BJ184" s="2">
        <v>0.2</v>
      </c>
      <c r="BK184" s="2">
        <v>1</v>
      </c>
      <c r="BL184" s="2">
        <v>36.33</v>
      </c>
      <c r="BM184" s="2">
        <v>5.09</v>
      </c>
      <c r="BN184" s="2">
        <v>41.42</v>
      </c>
      <c r="BO184" s="2">
        <v>41.42</v>
      </c>
      <c r="BP184" s="2"/>
      <c r="BQ184" s="2" t="s">
        <v>729</v>
      </c>
      <c r="BR184" s="2" t="s">
        <v>633</v>
      </c>
      <c r="BS184" s="3">
        <v>43024</v>
      </c>
      <c r="BT184" s="4">
        <v>0.41319444444444442</v>
      </c>
      <c r="BU184" s="2" t="s">
        <v>804</v>
      </c>
      <c r="BV184" s="2" t="s">
        <v>96</v>
      </c>
      <c r="BW184" s="2"/>
      <c r="BX184" s="2"/>
      <c r="BY184" s="2">
        <v>1200</v>
      </c>
      <c r="BZ184" s="2" t="s">
        <v>27</v>
      </c>
      <c r="CA184" s="2" t="s">
        <v>166</v>
      </c>
      <c r="CB184" s="2"/>
      <c r="CC184" s="2" t="s">
        <v>162</v>
      </c>
      <c r="CD184" s="2">
        <v>6530</v>
      </c>
      <c r="CE184" s="2" t="s">
        <v>283</v>
      </c>
      <c r="CF184" s="5">
        <v>43025</v>
      </c>
      <c r="CG184" s="2"/>
      <c r="CH184" s="2"/>
      <c r="CI184" s="2">
        <v>1</v>
      </c>
      <c r="CJ184" s="2">
        <v>1</v>
      </c>
      <c r="CK184" s="2">
        <v>21</v>
      </c>
      <c r="CL184" s="2" t="s">
        <v>85</v>
      </c>
      <c r="CM184" s="2"/>
    </row>
    <row r="185" spans="1:91">
      <c r="A185" s="2" t="s">
        <v>71</v>
      </c>
      <c r="B185" s="2" t="s">
        <v>72</v>
      </c>
      <c r="C185" s="2" t="s">
        <v>73</v>
      </c>
      <c r="D185" s="2"/>
      <c r="E185" s="2" t="str">
        <f>"039902652279"</f>
        <v>039902652279</v>
      </c>
      <c r="F185" s="3">
        <v>43021</v>
      </c>
      <c r="G185" s="2">
        <v>201804</v>
      </c>
      <c r="H185" s="2" t="s">
        <v>122</v>
      </c>
      <c r="I185" s="2" t="s">
        <v>123</v>
      </c>
      <c r="J185" s="2" t="s">
        <v>276</v>
      </c>
      <c r="K185" s="2" t="s">
        <v>77</v>
      </c>
      <c r="L185" s="2" t="s">
        <v>149</v>
      </c>
      <c r="M185" s="2" t="s">
        <v>150</v>
      </c>
      <c r="N185" s="2" t="s">
        <v>893</v>
      </c>
      <c r="O185" s="2" t="s">
        <v>278</v>
      </c>
      <c r="P185" s="2" t="str">
        <f>"11912270 FM                   "</f>
        <v xml:space="preserve">11912270 FM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4.33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1</v>
      </c>
      <c r="BJ185" s="2">
        <v>0.2</v>
      </c>
      <c r="BK185" s="2">
        <v>1</v>
      </c>
      <c r="BL185" s="2">
        <v>36.33</v>
      </c>
      <c r="BM185" s="2">
        <v>5.09</v>
      </c>
      <c r="BN185" s="2">
        <v>41.42</v>
      </c>
      <c r="BO185" s="2">
        <v>41.42</v>
      </c>
      <c r="BP185" s="2"/>
      <c r="BQ185" s="2" t="s">
        <v>894</v>
      </c>
      <c r="BR185" s="2" t="s">
        <v>633</v>
      </c>
      <c r="BS185" s="3">
        <v>43024</v>
      </c>
      <c r="BT185" s="4">
        <v>0.40416666666666662</v>
      </c>
      <c r="BU185" s="2" t="s">
        <v>895</v>
      </c>
      <c r="BV185" s="2" t="s">
        <v>96</v>
      </c>
      <c r="BW185" s="2"/>
      <c r="BX185" s="2"/>
      <c r="BY185" s="2">
        <v>1200</v>
      </c>
      <c r="BZ185" s="2" t="s">
        <v>27</v>
      </c>
      <c r="CA185" s="2" t="s">
        <v>282</v>
      </c>
      <c r="CB185" s="2"/>
      <c r="CC185" s="2" t="s">
        <v>150</v>
      </c>
      <c r="CD185" s="2">
        <v>8000</v>
      </c>
      <c r="CE185" s="2" t="s">
        <v>283</v>
      </c>
      <c r="CF185" s="5">
        <v>43025</v>
      </c>
      <c r="CG185" s="2"/>
      <c r="CH185" s="2"/>
      <c r="CI185" s="2">
        <v>1</v>
      </c>
      <c r="CJ185" s="2">
        <v>1</v>
      </c>
      <c r="CK185" s="2">
        <v>21</v>
      </c>
      <c r="CL185" s="2" t="s">
        <v>85</v>
      </c>
      <c r="CM185" s="2"/>
    </row>
    <row r="186" spans="1:91">
      <c r="A186" s="2" t="s">
        <v>71</v>
      </c>
      <c r="B186" s="2" t="s">
        <v>72</v>
      </c>
      <c r="C186" s="2" t="s">
        <v>73</v>
      </c>
      <c r="D186" s="2"/>
      <c r="E186" s="2" t="str">
        <f>"019910894370"</f>
        <v>019910894370</v>
      </c>
      <c r="F186" s="3">
        <v>43020</v>
      </c>
      <c r="G186" s="2">
        <v>201804</v>
      </c>
      <c r="H186" s="2" t="s">
        <v>149</v>
      </c>
      <c r="I186" s="2" t="s">
        <v>150</v>
      </c>
      <c r="J186" s="2" t="s">
        <v>896</v>
      </c>
      <c r="K186" s="2" t="s">
        <v>77</v>
      </c>
      <c r="L186" s="2" t="s">
        <v>105</v>
      </c>
      <c r="M186" s="2" t="s">
        <v>106</v>
      </c>
      <c r="N186" s="2" t="s">
        <v>850</v>
      </c>
      <c r="O186" s="2" t="s">
        <v>278</v>
      </c>
      <c r="P186" s="2" t="str">
        <f>"11972270 FM                   "</f>
        <v xml:space="preserve">11972270 FM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8.66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2.2999999999999998</v>
      </c>
      <c r="BJ186" s="2">
        <v>3.6</v>
      </c>
      <c r="BK186" s="2">
        <v>4</v>
      </c>
      <c r="BL186" s="2">
        <v>72.66</v>
      </c>
      <c r="BM186" s="2">
        <v>10.17</v>
      </c>
      <c r="BN186" s="2">
        <v>82.83</v>
      </c>
      <c r="BO186" s="2">
        <v>82.83</v>
      </c>
      <c r="BP186" s="2"/>
      <c r="BQ186" s="2" t="s">
        <v>897</v>
      </c>
      <c r="BR186" s="2" t="s">
        <v>898</v>
      </c>
      <c r="BS186" s="3">
        <v>43021</v>
      </c>
      <c r="BT186" s="4">
        <v>0.3215277777777778</v>
      </c>
      <c r="BU186" s="2" t="s">
        <v>899</v>
      </c>
      <c r="BV186" s="2" t="s">
        <v>96</v>
      </c>
      <c r="BW186" s="2"/>
      <c r="BX186" s="2"/>
      <c r="BY186" s="2">
        <v>17995.95</v>
      </c>
      <c r="BZ186" s="2" t="s">
        <v>27</v>
      </c>
      <c r="CA186" s="2" t="s">
        <v>900</v>
      </c>
      <c r="CB186" s="2"/>
      <c r="CC186" s="2" t="s">
        <v>106</v>
      </c>
      <c r="CD186" s="2">
        <v>2021</v>
      </c>
      <c r="CE186" s="2" t="s">
        <v>283</v>
      </c>
      <c r="CF186" s="5">
        <v>43024</v>
      </c>
      <c r="CG186" s="2"/>
      <c r="CH186" s="2"/>
      <c r="CI186" s="2">
        <v>1</v>
      </c>
      <c r="CJ186" s="2">
        <v>1</v>
      </c>
      <c r="CK186" s="2">
        <v>21</v>
      </c>
      <c r="CL186" s="2" t="s">
        <v>85</v>
      </c>
      <c r="CM186" s="2"/>
    </row>
    <row r="187" spans="1:91">
      <c r="A187" s="2" t="s">
        <v>71</v>
      </c>
      <c r="B187" s="2" t="s">
        <v>72</v>
      </c>
      <c r="C187" s="2" t="s">
        <v>73</v>
      </c>
      <c r="D187" s="2"/>
      <c r="E187" s="2" t="str">
        <f>"080001762055"</f>
        <v>080001762055</v>
      </c>
      <c r="F187" s="3">
        <v>43019</v>
      </c>
      <c r="G187" s="2">
        <v>201804</v>
      </c>
      <c r="H187" s="2" t="s">
        <v>234</v>
      </c>
      <c r="I187" s="2" t="s">
        <v>235</v>
      </c>
      <c r="J187" s="2" t="s">
        <v>800</v>
      </c>
      <c r="K187" s="2" t="s">
        <v>77</v>
      </c>
      <c r="L187" s="2" t="s">
        <v>901</v>
      </c>
      <c r="M187" s="2" t="s">
        <v>902</v>
      </c>
      <c r="N187" s="2" t="s">
        <v>903</v>
      </c>
      <c r="O187" s="2" t="s">
        <v>81</v>
      </c>
      <c r="P187" s="2" t="str">
        <f>"                              "</f>
        <v xml:space="preserve">          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23.41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2</v>
      </c>
      <c r="BI187" s="2">
        <v>34.5</v>
      </c>
      <c r="BJ187" s="2">
        <v>8</v>
      </c>
      <c r="BK187" s="2">
        <v>35</v>
      </c>
      <c r="BL187" s="2">
        <v>201.41</v>
      </c>
      <c r="BM187" s="2">
        <v>28.2</v>
      </c>
      <c r="BN187" s="2">
        <v>229.61</v>
      </c>
      <c r="BO187" s="2">
        <v>229.61</v>
      </c>
      <c r="BP187" s="2" t="s">
        <v>836</v>
      </c>
      <c r="BQ187" s="2" t="s">
        <v>904</v>
      </c>
      <c r="BR187" s="2" t="s">
        <v>813</v>
      </c>
      <c r="BS187" s="3">
        <v>43024</v>
      </c>
      <c r="BT187" s="4">
        <v>0.57986111111111105</v>
      </c>
      <c r="BU187" s="2" t="s">
        <v>905</v>
      </c>
      <c r="BV187" s="2" t="s">
        <v>85</v>
      </c>
      <c r="BW187" s="2"/>
      <c r="BX187" s="2"/>
      <c r="BY187" s="2">
        <v>40032.65</v>
      </c>
      <c r="BZ187" s="2"/>
      <c r="CA187" s="2" t="s">
        <v>906</v>
      </c>
      <c r="CB187" s="2"/>
      <c r="CC187" s="2" t="s">
        <v>902</v>
      </c>
      <c r="CD187" s="2">
        <v>2350</v>
      </c>
      <c r="CE187" s="2" t="s">
        <v>283</v>
      </c>
      <c r="CF187" s="5">
        <v>43025</v>
      </c>
      <c r="CG187" s="2"/>
      <c r="CH187" s="2"/>
      <c r="CI187" s="2">
        <v>1</v>
      </c>
      <c r="CJ187" s="2">
        <v>2</v>
      </c>
      <c r="CK187" s="2" t="s">
        <v>98</v>
      </c>
      <c r="CL187" s="2" t="s">
        <v>85</v>
      </c>
      <c r="CM187" s="2"/>
    </row>
    <row r="188" spans="1:91">
      <c r="A188" s="2" t="s">
        <v>71</v>
      </c>
      <c r="B188" s="2" t="s">
        <v>72</v>
      </c>
      <c r="C188" s="2" t="s">
        <v>73</v>
      </c>
      <c r="D188" s="2"/>
      <c r="E188" s="2" t="str">
        <f>"080001762082"</f>
        <v>080001762082</v>
      </c>
      <c r="F188" s="3">
        <v>43019</v>
      </c>
      <c r="G188" s="2">
        <v>201804</v>
      </c>
      <c r="H188" s="2" t="s">
        <v>234</v>
      </c>
      <c r="I188" s="2" t="s">
        <v>235</v>
      </c>
      <c r="J188" s="2" t="s">
        <v>800</v>
      </c>
      <c r="K188" s="2" t="s">
        <v>77</v>
      </c>
      <c r="L188" s="2" t="s">
        <v>907</v>
      </c>
      <c r="M188" s="2" t="s">
        <v>908</v>
      </c>
      <c r="N188" s="2" t="s">
        <v>909</v>
      </c>
      <c r="O188" s="2" t="s">
        <v>81</v>
      </c>
      <c r="P188" s="2" t="str">
        <f>"                              "</f>
        <v xml:space="preserve">          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14.82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2</v>
      </c>
      <c r="BI188" s="2">
        <v>29.3</v>
      </c>
      <c r="BJ188" s="2">
        <v>8.9</v>
      </c>
      <c r="BK188" s="2">
        <v>30</v>
      </c>
      <c r="BL188" s="2">
        <v>129.32</v>
      </c>
      <c r="BM188" s="2">
        <v>18.100000000000001</v>
      </c>
      <c r="BN188" s="2">
        <v>147.41999999999999</v>
      </c>
      <c r="BO188" s="2">
        <v>147.41999999999999</v>
      </c>
      <c r="BP188" s="2" t="s">
        <v>856</v>
      </c>
      <c r="BQ188" s="2" t="s">
        <v>910</v>
      </c>
      <c r="BR188" s="2" t="s">
        <v>813</v>
      </c>
      <c r="BS188" s="3">
        <v>43027</v>
      </c>
      <c r="BT188" s="4">
        <v>0.41666666666666669</v>
      </c>
      <c r="BU188" s="2" t="s">
        <v>911</v>
      </c>
      <c r="BV188" s="2" t="s">
        <v>85</v>
      </c>
      <c r="BW188" s="2"/>
      <c r="BX188" s="2"/>
      <c r="BY188" s="2">
        <v>44687.519999999997</v>
      </c>
      <c r="BZ188" s="2"/>
      <c r="CA188" s="2" t="s">
        <v>912</v>
      </c>
      <c r="CB188" s="2"/>
      <c r="CC188" s="2" t="s">
        <v>908</v>
      </c>
      <c r="CD188" s="2">
        <v>1034</v>
      </c>
      <c r="CE188" s="2" t="s">
        <v>283</v>
      </c>
      <c r="CF188" s="5">
        <v>43031</v>
      </c>
      <c r="CG188" s="2"/>
      <c r="CH188" s="2"/>
      <c r="CI188" s="2">
        <v>1</v>
      </c>
      <c r="CJ188" s="2">
        <v>5</v>
      </c>
      <c r="CK188" s="2" t="s">
        <v>913</v>
      </c>
      <c r="CL188" s="2" t="s">
        <v>85</v>
      </c>
      <c r="CM188" s="2"/>
    </row>
    <row r="189" spans="1:91">
      <c r="A189" s="2" t="s">
        <v>71</v>
      </c>
      <c r="B189" s="2" t="s">
        <v>72</v>
      </c>
      <c r="C189" s="2" t="s">
        <v>73</v>
      </c>
      <c r="D189" s="2"/>
      <c r="E189" s="2" t="str">
        <f>"LCR000405"</f>
        <v>LCR000405</v>
      </c>
      <c r="F189" s="3">
        <v>43012</v>
      </c>
      <c r="G189" s="2">
        <v>201804</v>
      </c>
      <c r="H189" s="2" t="s">
        <v>74</v>
      </c>
      <c r="I189" s="2" t="s">
        <v>75</v>
      </c>
      <c r="J189" s="2" t="s">
        <v>694</v>
      </c>
      <c r="K189" s="2" t="s">
        <v>77</v>
      </c>
      <c r="L189" s="2" t="s">
        <v>149</v>
      </c>
      <c r="M189" s="2" t="s">
        <v>150</v>
      </c>
      <c r="N189" s="2" t="s">
        <v>914</v>
      </c>
      <c r="O189" s="2" t="s">
        <v>81</v>
      </c>
      <c r="P189" s="2" t="str">
        <f>"144045                        "</f>
        <v xml:space="preserve">144045    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6.09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</v>
      </c>
      <c r="BI189" s="2">
        <v>1</v>
      </c>
      <c r="BJ189" s="2">
        <v>6.6</v>
      </c>
      <c r="BK189" s="2">
        <v>7</v>
      </c>
      <c r="BL189" s="2">
        <v>56.09</v>
      </c>
      <c r="BM189" s="2">
        <v>7.85</v>
      </c>
      <c r="BN189" s="2">
        <v>63.94</v>
      </c>
      <c r="BO189" s="2">
        <v>63.94</v>
      </c>
      <c r="BP189" s="2"/>
      <c r="BQ189" s="2" t="s">
        <v>915</v>
      </c>
      <c r="BR189" s="2" t="s">
        <v>697</v>
      </c>
      <c r="BS189" s="3">
        <v>43013</v>
      </c>
      <c r="BT189" s="4">
        <v>0.69374999999999998</v>
      </c>
      <c r="BU189" s="2" t="s">
        <v>916</v>
      </c>
      <c r="BV189" s="2"/>
      <c r="BW189" s="2"/>
      <c r="BX189" s="2"/>
      <c r="BY189" s="2">
        <v>33075</v>
      </c>
      <c r="BZ189" s="2"/>
      <c r="CA189" s="2" t="s">
        <v>354</v>
      </c>
      <c r="CB189" s="2"/>
      <c r="CC189" s="2" t="s">
        <v>150</v>
      </c>
      <c r="CD189" s="2">
        <v>8001</v>
      </c>
      <c r="CE189" s="2" t="s">
        <v>134</v>
      </c>
      <c r="CF189" s="5">
        <v>43014</v>
      </c>
      <c r="CG189" s="2"/>
      <c r="CH189" s="2"/>
      <c r="CI189" s="2">
        <v>0</v>
      </c>
      <c r="CJ189" s="2">
        <v>0</v>
      </c>
      <c r="CK189" s="2" t="s">
        <v>154</v>
      </c>
      <c r="CL189" s="2" t="s">
        <v>85</v>
      </c>
      <c r="CM189" s="2"/>
    </row>
    <row r="190" spans="1:91">
      <c r="A190" s="2" t="s">
        <v>71</v>
      </c>
      <c r="B190" s="2" t="s">
        <v>72</v>
      </c>
      <c r="C190" s="2" t="s">
        <v>73</v>
      </c>
      <c r="D190" s="2"/>
      <c r="E190" s="2" t="str">
        <f>"039902652278"</f>
        <v>039902652278</v>
      </c>
      <c r="F190" s="3">
        <v>43024</v>
      </c>
      <c r="G190" s="2">
        <v>201804</v>
      </c>
      <c r="H190" s="2" t="s">
        <v>122</v>
      </c>
      <c r="I190" s="2" t="s">
        <v>123</v>
      </c>
      <c r="J190" s="2" t="s">
        <v>276</v>
      </c>
      <c r="K190" s="2" t="s">
        <v>77</v>
      </c>
      <c r="L190" s="2" t="s">
        <v>191</v>
      </c>
      <c r="M190" s="2" t="s">
        <v>192</v>
      </c>
      <c r="N190" s="2" t="s">
        <v>711</v>
      </c>
      <c r="O190" s="2" t="s">
        <v>278</v>
      </c>
      <c r="P190" s="2" t="str">
        <f>"11912270 FM                   "</f>
        <v xml:space="preserve">11912270 FM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4.33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1</v>
      </c>
      <c r="BI190" s="2">
        <v>1</v>
      </c>
      <c r="BJ190" s="2">
        <v>0.2</v>
      </c>
      <c r="BK190" s="2">
        <v>1</v>
      </c>
      <c r="BL190" s="2">
        <v>36.33</v>
      </c>
      <c r="BM190" s="2">
        <v>5.09</v>
      </c>
      <c r="BN190" s="2">
        <v>41.42</v>
      </c>
      <c r="BO190" s="2">
        <v>41.42</v>
      </c>
      <c r="BP190" s="2"/>
      <c r="BQ190" s="2" t="s">
        <v>917</v>
      </c>
      <c r="BR190" s="2" t="s">
        <v>633</v>
      </c>
      <c r="BS190" s="3">
        <v>43025</v>
      </c>
      <c r="BT190" s="4">
        <v>0.39652777777777781</v>
      </c>
      <c r="BU190" s="2" t="s">
        <v>918</v>
      </c>
      <c r="BV190" s="2" t="s">
        <v>96</v>
      </c>
      <c r="BW190" s="2"/>
      <c r="BX190" s="2"/>
      <c r="BY190" s="2">
        <v>1200</v>
      </c>
      <c r="BZ190" s="2" t="s">
        <v>27</v>
      </c>
      <c r="CA190" s="2" t="s">
        <v>784</v>
      </c>
      <c r="CB190" s="2"/>
      <c r="CC190" s="2" t="s">
        <v>192</v>
      </c>
      <c r="CD190" s="2">
        <v>5247</v>
      </c>
      <c r="CE190" s="2" t="s">
        <v>283</v>
      </c>
      <c r="CF190" s="5">
        <v>43027</v>
      </c>
      <c r="CG190" s="2"/>
      <c r="CH190" s="2"/>
      <c r="CI190" s="2">
        <v>1</v>
      </c>
      <c r="CJ190" s="2">
        <v>1</v>
      </c>
      <c r="CK190" s="2">
        <v>21</v>
      </c>
      <c r="CL190" s="2" t="s">
        <v>85</v>
      </c>
      <c r="CM190" s="2"/>
    </row>
    <row r="191" spans="1:91">
      <c r="A191" s="2" t="s">
        <v>71</v>
      </c>
      <c r="B191" s="2" t="s">
        <v>72</v>
      </c>
      <c r="C191" s="2" t="s">
        <v>73</v>
      </c>
      <c r="D191" s="2"/>
      <c r="E191" s="2" t="str">
        <f>"039902652277"</f>
        <v>039902652277</v>
      </c>
      <c r="F191" s="3">
        <v>43024</v>
      </c>
      <c r="G191" s="2">
        <v>201804</v>
      </c>
      <c r="H191" s="2" t="s">
        <v>122</v>
      </c>
      <c r="I191" s="2" t="s">
        <v>123</v>
      </c>
      <c r="J191" s="2" t="s">
        <v>276</v>
      </c>
      <c r="K191" s="2" t="s">
        <v>77</v>
      </c>
      <c r="L191" s="2" t="s">
        <v>105</v>
      </c>
      <c r="M191" s="2" t="s">
        <v>106</v>
      </c>
      <c r="N191" s="2" t="s">
        <v>711</v>
      </c>
      <c r="O191" s="2" t="s">
        <v>278</v>
      </c>
      <c r="P191" s="2" t="str">
        <f>"11912270 FM                   "</f>
        <v xml:space="preserve">11912270 FM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4.33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1</v>
      </c>
      <c r="BI191" s="2">
        <v>1</v>
      </c>
      <c r="BJ191" s="2">
        <v>0.2</v>
      </c>
      <c r="BK191" s="2">
        <v>1</v>
      </c>
      <c r="BL191" s="2">
        <v>36.33</v>
      </c>
      <c r="BM191" s="2">
        <v>5.09</v>
      </c>
      <c r="BN191" s="2">
        <v>41.42</v>
      </c>
      <c r="BO191" s="2">
        <v>41.42</v>
      </c>
      <c r="BP191" s="2"/>
      <c r="BQ191" s="2" t="s">
        <v>919</v>
      </c>
      <c r="BR191" s="2" t="s">
        <v>633</v>
      </c>
      <c r="BS191" s="3">
        <v>43025</v>
      </c>
      <c r="BT191" s="4">
        <v>0.32430555555555557</v>
      </c>
      <c r="BU191" s="2" t="s">
        <v>899</v>
      </c>
      <c r="BV191" s="2" t="s">
        <v>96</v>
      </c>
      <c r="BW191" s="2"/>
      <c r="BX191" s="2"/>
      <c r="BY191" s="2">
        <v>1200</v>
      </c>
      <c r="BZ191" s="2" t="s">
        <v>27</v>
      </c>
      <c r="CA191" s="2" t="s">
        <v>900</v>
      </c>
      <c r="CB191" s="2"/>
      <c r="CC191" s="2" t="s">
        <v>106</v>
      </c>
      <c r="CD191" s="2">
        <v>2021</v>
      </c>
      <c r="CE191" s="2" t="s">
        <v>283</v>
      </c>
      <c r="CF191" s="5">
        <v>43026</v>
      </c>
      <c r="CG191" s="2"/>
      <c r="CH191" s="2"/>
      <c r="CI191" s="2">
        <v>1</v>
      </c>
      <c r="CJ191" s="2">
        <v>1</v>
      </c>
      <c r="CK191" s="2">
        <v>21</v>
      </c>
      <c r="CL191" s="2" t="s">
        <v>85</v>
      </c>
      <c r="CM191" s="2"/>
    </row>
    <row r="192" spans="1:91">
      <c r="A192" s="2" t="s">
        <v>71</v>
      </c>
      <c r="B192" s="2" t="s">
        <v>72</v>
      </c>
      <c r="C192" s="2" t="s">
        <v>73</v>
      </c>
      <c r="D192" s="2"/>
      <c r="E192" s="2" t="str">
        <f>"019910765970"</f>
        <v>019910765970</v>
      </c>
      <c r="F192" s="3">
        <v>43024</v>
      </c>
      <c r="G192" s="2">
        <v>201804</v>
      </c>
      <c r="H192" s="2" t="s">
        <v>149</v>
      </c>
      <c r="I192" s="2" t="s">
        <v>150</v>
      </c>
      <c r="J192" s="2" t="s">
        <v>896</v>
      </c>
      <c r="K192" s="2" t="s">
        <v>77</v>
      </c>
      <c r="L192" s="2" t="s">
        <v>105</v>
      </c>
      <c r="M192" s="2" t="s">
        <v>106</v>
      </c>
      <c r="N192" s="2" t="s">
        <v>920</v>
      </c>
      <c r="O192" s="2" t="s">
        <v>278</v>
      </c>
      <c r="P192" s="2" t="str">
        <f>"1125235085                    "</f>
        <v xml:space="preserve">1125235085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4.33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1</v>
      </c>
      <c r="BI192" s="2">
        <v>1</v>
      </c>
      <c r="BJ192" s="2">
        <v>0.2</v>
      </c>
      <c r="BK192" s="2">
        <v>1</v>
      </c>
      <c r="BL192" s="2">
        <v>36.33</v>
      </c>
      <c r="BM192" s="2">
        <v>5.09</v>
      </c>
      <c r="BN192" s="2">
        <v>41.42</v>
      </c>
      <c r="BO192" s="2">
        <v>41.42</v>
      </c>
      <c r="BP192" s="2"/>
      <c r="BQ192" s="2" t="s">
        <v>921</v>
      </c>
      <c r="BR192" s="2" t="s">
        <v>922</v>
      </c>
      <c r="BS192" s="3">
        <v>43025</v>
      </c>
      <c r="BT192" s="4">
        <v>0.32291666666666669</v>
      </c>
      <c r="BU192" s="2" t="s">
        <v>625</v>
      </c>
      <c r="BV192" s="2" t="s">
        <v>96</v>
      </c>
      <c r="BW192" s="2"/>
      <c r="BX192" s="2"/>
      <c r="BY192" s="2">
        <v>1200</v>
      </c>
      <c r="BZ192" s="2" t="s">
        <v>27</v>
      </c>
      <c r="CA192" s="2" t="s">
        <v>900</v>
      </c>
      <c r="CB192" s="2"/>
      <c r="CC192" s="2" t="s">
        <v>106</v>
      </c>
      <c r="CD192" s="2">
        <v>2060</v>
      </c>
      <c r="CE192" s="2" t="s">
        <v>283</v>
      </c>
      <c r="CF192" s="5">
        <v>43026</v>
      </c>
      <c r="CG192" s="2"/>
      <c r="CH192" s="2"/>
      <c r="CI192" s="2">
        <v>1</v>
      </c>
      <c r="CJ192" s="2">
        <v>1</v>
      </c>
      <c r="CK192" s="2">
        <v>21</v>
      </c>
      <c r="CL192" s="2" t="s">
        <v>85</v>
      </c>
      <c r="CM192" s="2"/>
    </row>
    <row r="193" spans="1:91">
      <c r="A193" s="2" t="s">
        <v>71</v>
      </c>
      <c r="B193" s="2" t="s">
        <v>72</v>
      </c>
      <c r="C193" s="2" t="s">
        <v>73</v>
      </c>
      <c r="D193" s="2"/>
      <c r="E193" s="2" t="str">
        <f>"069907978963"</f>
        <v>069907978963</v>
      </c>
      <c r="F193" s="3">
        <v>43024</v>
      </c>
      <c r="G193" s="2">
        <v>201804</v>
      </c>
      <c r="H193" s="2" t="s">
        <v>116</v>
      </c>
      <c r="I193" s="2" t="s">
        <v>117</v>
      </c>
      <c r="J193" s="2" t="s">
        <v>923</v>
      </c>
      <c r="K193" s="2" t="s">
        <v>77</v>
      </c>
      <c r="L193" s="2" t="s">
        <v>122</v>
      </c>
      <c r="M193" s="2" t="s">
        <v>123</v>
      </c>
      <c r="N193" s="2" t="s">
        <v>924</v>
      </c>
      <c r="O193" s="2" t="s">
        <v>81</v>
      </c>
      <c r="P193" s="2" t="str">
        <f>"                              "</f>
        <v xml:space="preserve">          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10.96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10</v>
      </c>
      <c r="BJ193" s="2">
        <v>10.5</v>
      </c>
      <c r="BK193" s="2">
        <v>11</v>
      </c>
      <c r="BL193" s="2">
        <v>96.96</v>
      </c>
      <c r="BM193" s="2">
        <v>13.57</v>
      </c>
      <c r="BN193" s="2">
        <v>110.53</v>
      </c>
      <c r="BO193" s="2">
        <v>110.53</v>
      </c>
      <c r="BP193" s="2"/>
      <c r="BQ193" s="2" t="s">
        <v>925</v>
      </c>
      <c r="BR193" s="2" t="s">
        <v>876</v>
      </c>
      <c r="BS193" s="3">
        <v>43026</v>
      </c>
      <c r="BT193" s="4">
        <v>0.52500000000000002</v>
      </c>
      <c r="BU193" s="2" t="s">
        <v>926</v>
      </c>
      <c r="BV193" s="2"/>
      <c r="BW193" s="2"/>
      <c r="BX193" s="2"/>
      <c r="BY193" s="2">
        <v>52500</v>
      </c>
      <c r="BZ193" s="2"/>
      <c r="CA193" s="2" t="s">
        <v>456</v>
      </c>
      <c r="CB193" s="2"/>
      <c r="CC193" s="2" t="s">
        <v>123</v>
      </c>
      <c r="CD193" s="2">
        <v>6045</v>
      </c>
      <c r="CE193" s="2" t="s">
        <v>927</v>
      </c>
      <c r="CF193" s="5">
        <v>43027</v>
      </c>
      <c r="CG193" s="2"/>
      <c r="CH193" s="2"/>
      <c r="CI193" s="2">
        <v>0</v>
      </c>
      <c r="CJ193" s="2">
        <v>0</v>
      </c>
      <c r="CK193" s="2" t="s">
        <v>174</v>
      </c>
      <c r="CL193" s="2" t="s">
        <v>85</v>
      </c>
      <c r="CM193" s="2"/>
    </row>
    <row r="194" spans="1:91">
      <c r="A194" s="2" t="s">
        <v>275</v>
      </c>
      <c r="B194" s="2" t="s">
        <v>72</v>
      </c>
      <c r="C194" s="2" t="s">
        <v>73</v>
      </c>
      <c r="D194" s="2"/>
      <c r="E194" s="2" t="str">
        <f>"029907801051"</f>
        <v>029907801051</v>
      </c>
      <c r="F194" s="3">
        <v>43024</v>
      </c>
      <c r="G194" s="2">
        <v>201804</v>
      </c>
      <c r="H194" s="2" t="s">
        <v>234</v>
      </c>
      <c r="I194" s="2" t="s">
        <v>235</v>
      </c>
      <c r="J194" s="2" t="s">
        <v>276</v>
      </c>
      <c r="K194" s="2" t="s">
        <v>77</v>
      </c>
      <c r="L194" s="2" t="s">
        <v>105</v>
      </c>
      <c r="M194" s="2" t="s">
        <v>106</v>
      </c>
      <c r="N194" s="2" t="s">
        <v>850</v>
      </c>
      <c r="O194" s="2" t="s">
        <v>278</v>
      </c>
      <c r="P194" s="2" t="str">
        <f>"1194 227 0FM                  "</f>
        <v xml:space="preserve">1194 227 0FM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4.33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1</v>
      </c>
      <c r="BI194" s="2">
        <v>1</v>
      </c>
      <c r="BJ194" s="2">
        <v>0.2</v>
      </c>
      <c r="BK194" s="2">
        <v>1</v>
      </c>
      <c r="BL194" s="2">
        <v>36.33</v>
      </c>
      <c r="BM194" s="2">
        <v>5.09</v>
      </c>
      <c r="BN194" s="2">
        <v>41.42</v>
      </c>
      <c r="BO194" s="2">
        <v>41.42</v>
      </c>
      <c r="BP194" s="2"/>
      <c r="BQ194" s="2" t="s">
        <v>928</v>
      </c>
      <c r="BR194" s="2" t="s">
        <v>280</v>
      </c>
      <c r="BS194" s="3">
        <v>43025</v>
      </c>
      <c r="BT194" s="4">
        <v>0.32430555555555557</v>
      </c>
      <c r="BU194" s="2" t="s">
        <v>625</v>
      </c>
      <c r="BV194" s="2" t="s">
        <v>96</v>
      </c>
      <c r="BW194" s="2"/>
      <c r="BX194" s="2"/>
      <c r="BY194" s="2">
        <v>1200</v>
      </c>
      <c r="BZ194" s="2" t="s">
        <v>27</v>
      </c>
      <c r="CA194" s="2" t="s">
        <v>900</v>
      </c>
      <c r="CB194" s="2"/>
      <c r="CC194" s="2" t="s">
        <v>106</v>
      </c>
      <c r="CD194" s="2">
        <v>2021</v>
      </c>
      <c r="CE194" s="2" t="s">
        <v>283</v>
      </c>
      <c r="CF194" s="5">
        <v>43026</v>
      </c>
      <c r="CG194" s="2"/>
      <c r="CH194" s="2"/>
      <c r="CI194" s="2">
        <v>1</v>
      </c>
      <c r="CJ194" s="2">
        <v>1</v>
      </c>
      <c r="CK194" s="2">
        <v>21</v>
      </c>
      <c r="CL194" s="2" t="s">
        <v>85</v>
      </c>
      <c r="CM194" s="2"/>
    </row>
    <row r="195" spans="1:91">
      <c r="A195" s="2" t="s">
        <v>275</v>
      </c>
      <c r="B195" s="2" t="s">
        <v>72</v>
      </c>
      <c r="C195" s="2" t="s">
        <v>73</v>
      </c>
      <c r="D195" s="2"/>
      <c r="E195" s="2" t="str">
        <f>"009936666628"</f>
        <v>009936666628</v>
      </c>
      <c r="F195" s="3">
        <v>43025</v>
      </c>
      <c r="G195" s="2">
        <v>201804</v>
      </c>
      <c r="H195" s="2" t="s">
        <v>191</v>
      </c>
      <c r="I195" s="2" t="s">
        <v>192</v>
      </c>
      <c r="J195" s="2" t="s">
        <v>785</v>
      </c>
      <c r="K195" s="2" t="s">
        <v>77</v>
      </c>
      <c r="L195" s="2" t="s">
        <v>122</v>
      </c>
      <c r="M195" s="2" t="s">
        <v>123</v>
      </c>
      <c r="N195" s="2" t="s">
        <v>785</v>
      </c>
      <c r="O195" s="2" t="s">
        <v>293</v>
      </c>
      <c r="P195" s="2" t="str">
        <f>"                              "</f>
        <v xml:space="preserve">          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8.1199999999999992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1</v>
      </c>
      <c r="BI195" s="2">
        <v>1</v>
      </c>
      <c r="BJ195" s="2">
        <v>0.2</v>
      </c>
      <c r="BK195" s="2">
        <v>1</v>
      </c>
      <c r="BL195" s="2">
        <v>68.12</v>
      </c>
      <c r="BM195" s="2">
        <v>9.5399999999999991</v>
      </c>
      <c r="BN195" s="2">
        <v>77.66</v>
      </c>
      <c r="BO195" s="2">
        <v>77.66</v>
      </c>
      <c r="BP195" s="2"/>
      <c r="BQ195" s="2" t="s">
        <v>786</v>
      </c>
      <c r="BR195" s="2" t="s">
        <v>787</v>
      </c>
      <c r="BS195" s="3">
        <v>43026</v>
      </c>
      <c r="BT195" s="4">
        <v>0.3659722222222222</v>
      </c>
      <c r="BU195" s="2" t="s">
        <v>455</v>
      </c>
      <c r="BV195" s="2" t="s">
        <v>96</v>
      </c>
      <c r="BW195" s="2"/>
      <c r="BX195" s="2"/>
      <c r="BY195" s="2">
        <v>1200</v>
      </c>
      <c r="BZ195" s="2" t="s">
        <v>27</v>
      </c>
      <c r="CA195" s="2" t="s">
        <v>788</v>
      </c>
      <c r="CB195" s="2"/>
      <c r="CC195" s="2" t="s">
        <v>123</v>
      </c>
      <c r="CD195" s="2">
        <v>6045</v>
      </c>
      <c r="CE195" s="2" t="s">
        <v>283</v>
      </c>
      <c r="CF195" s="5">
        <v>43027</v>
      </c>
      <c r="CG195" s="2"/>
      <c r="CH195" s="2"/>
      <c r="CI195" s="2">
        <v>1</v>
      </c>
      <c r="CJ195" s="2">
        <v>1</v>
      </c>
      <c r="CK195" s="2">
        <v>31</v>
      </c>
      <c r="CL195" s="2" t="s">
        <v>85</v>
      </c>
      <c r="CM195" s="2"/>
    </row>
    <row r="196" spans="1:91">
      <c r="A196" s="2" t="s">
        <v>71</v>
      </c>
      <c r="B196" s="2" t="s">
        <v>72</v>
      </c>
      <c r="C196" s="2" t="s">
        <v>73</v>
      </c>
      <c r="D196" s="2"/>
      <c r="E196" s="2" t="str">
        <f>"LCR000451"</f>
        <v>LCR000451</v>
      </c>
      <c r="F196" s="3">
        <v>43025</v>
      </c>
      <c r="G196" s="2">
        <v>201804</v>
      </c>
      <c r="H196" s="2" t="s">
        <v>74</v>
      </c>
      <c r="I196" s="2" t="s">
        <v>75</v>
      </c>
      <c r="J196" s="2" t="s">
        <v>76</v>
      </c>
      <c r="K196" s="2" t="s">
        <v>77</v>
      </c>
      <c r="L196" s="2" t="s">
        <v>929</v>
      </c>
      <c r="M196" s="2" t="s">
        <v>930</v>
      </c>
      <c r="N196" s="2" t="s">
        <v>931</v>
      </c>
      <c r="O196" s="2" t="s">
        <v>293</v>
      </c>
      <c r="P196" s="2" t="str">
        <f>"144382 2oa23380               "</f>
        <v xml:space="preserve">144382 2oa23380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8.39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1</v>
      </c>
      <c r="BI196" s="2">
        <v>1</v>
      </c>
      <c r="BJ196" s="2">
        <v>0.2</v>
      </c>
      <c r="BK196" s="2">
        <v>1</v>
      </c>
      <c r="BL196" s="2">
        <v>70.39</v>
      </c>
      <c r="BM196" s="2">
        <v>9.85</v>
      </c>
      <c r="BN196" s="2">
        <v>80.239999999999995</v>
      </c>
      <c r="BO196" s="2">
        <v>80.239999999999995</v>
      </c>
      <c r="BP196" s="2"/>
      <c r="BQ196" s="2" t="s">
        <v>932</v>
      </c>
      <c r="BR196" s="2" t="s">
        <v>83</v>
      </c>
      <c r="BS196" s="3">
        <v>43026</v>
      </c>
      <c r="BT196" s="4">
        <v>0.54166666666666663</v>
      </c>
      <c r="BU196" s="2" t="s">
        <v>933</v>
      </c>
      <c r="BV196" s="2" t="s">
        <v>96</v>
      </c>
      <c r="BW196" s="2"/>
      <c r="BX196" s="2"/>
      <c r="BY196" s="2">
        <v>1200</v>
      </c>
      <c r="BZ196" s="2"/>
      <c r="CA196" s="2" t="s">
        <v>934</v>
      </c>
      <c r="CB196" s="2"/>
      <c r="CC196" s="2" t="s">
        <v>930</v>
      </c>
      <c r="CD196" s="2">
        <v>232</v>
      </c>
      <c r="CE196" s="2" t="s">
        <v>935</v>
      </c>
      <c r="CF196" s="5">
        <v>43028</v>
      </c>
      <c r="CG196" s="2"/>
      <c r="CH196" s="2"/>
      <c r="CI196" s="2">
        <v>4</v>
      </c>
      <c r="CJ196" s="2">
        <v>1</v>
      </c>
      <c r="CK196" s="2">
        <v>33</v>
      </c>
      <c r="CL196" s="2" t="s">
        <v>85</v>
      </c>
      <c r="CM196" s="2"/>
    </row>
    <row r="197" spans="1:91">
      <c r="A197" s="2" t="s">
        <v>71</v>
      </c>
      <c r="B197" s="2" t="s">
        <v>72</v>
      </c>
      <c r="C197" s="2" t="s">
        <v>73</v>
      </c>
      <c r="D197" s="2"/>
      <c r="E197" s="2" t="str">
        <f>"LCR000450"</f>
        <v>LCR000450</v>
      </c>
      <c r="F197" s="3">
        <v>43025</v>
      </c>
      <c r="G197" s="2">
        <v>201804</v>
      </c>
      <c r="H197" s="2" t="s">
        <v>74</v>
      </c>
      <c r="I197" s="2" t="s">
        <v>75</v>
      </c>
      <c r="J197" s="2" t="s">
        <v>76</v>
      </c>
      <c r="K197" s="2" t="s">
        <v>77</v>
      </c>
      <c r="L197" s="2" t="s">
        <v>245</v>
      </c>
      <c r="M197" s="2" t="s">
        <v>246</v>
      </c>
      <c r="N197" s="2" t="s">
        <v>936</v>
      </c>
      <c r="O197" s="2" t="s">
        <v>293</v>
      </c>
      <c r="P197" s="2" t="str">
        <f>"144674 2oa23578               "</f>
        <v xml:space="preserve">144674 2oa23578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8.39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1</v>
      </c>
      <c r="BI197" s="2">
        <v>1.5</v>
      </c>
      <c r="BJ197" s="2">
        <v>1.4</v>
      </c>
      <c r="BK197" s="2">
        <v>2</v>
      </c>
      <c r="BL197" s="2">
        <v>70.39</v>
      </c>
      <c r="BM197" s="2">
        <v>9.85</v>
      </c>
      <c r="BN197" s="2">
        <v>80.239999999999995</v>
      </c>
      <c r="BO197" s="2">
        <v>80.239999999999995</v>
      </c>
      <c r="BP197" s="2"/>
      <c r="BQ197" s="2" t="s">
        <v>937</v>
      </c>
      <c r="BR197" s="2" t="s">
        <v>83</v>
      </c>
      <c r="BS197" s="3">
        <v>43026</v>
      </c>
      <c r="BT197" s="4">
        <v>0.36458333333333331</v>
      </c>
      <c r="BU197" s="2" t="s">
        <v>938</v>
      </c>
      <c r="BV197" s="2" t="s">
        <v>96</v>
      </c>
      <c r="BW197" s="2"/>
      <c r="BX197" s="2"/>
      <c r="BY197" s="2">
        <v>6800</v>
      </c>
      <c r="BZ197" s="2"/>
      <c r="CA197" s="2"/>
      <c r="CB197" s="2"/>
      <c r="CC197" s="2" t="s">
        <v>246</v>
      </c>
      <c r="CD197" s="2">
        <v>1710</v>
      </c>
      <c r="CE197" s="2" t="s">
        <v>939</v>
      </c>
      <c r="CF197" s="5">
        <v>43027</v>
      </c>
      <c r="CG197" s="2"/>
      <c r="CH197" s="2"/>
      <c r="CI197" s="2">
        <v>1</v>
      </c>
      <c r="CJ197" s="2">
        <v>1</v>
      </c>
      <c r="CK197" s="2">
        <v>33</v>
      </c>
      <c r="CL197" s="2" t="s">
        <v>85</v>
      </c>
      <c r="CM197" s="2"/>
    </row>
    <row r="198" spans="1:91">
      <c r="A198" s="2" t="s">
        <v>71</v>
      </c>
      <c r="B198" s="2" t="s">
        <v>72</v>
      </c>
      <c r="C198" s="2" t="s">
        <v>73</v>
      </c>
      <c r="D198" s="2"/>
      <c r="E198" s="2" t="str">
        <f>"LCR000452"</f>
        <v>LCR000452</v>
      </c>
      <c r="F198" s="3">
        <v>43025</v>
      </c>
      <c r="G198" s="2">
        <v>201804</v>
      </c>
      <c r="H198" s="2" t="s">
        <v>74</v>
      </c>
      <c r="I198" s="2" t="s">
        <v>75</v>
      </c>
      <c r="J198" s="2" t="s">
        <v>76</v>
      </c>
      <c r="K198" s="2" t="s">
        <v>77</v>
      </c>
      <c r="L198" s="2" t="s">
        <v>940</v>
      </c>
      <c r="M198" s="2" t="s">
        <v>941</v>
      </c>
      <c r="N198" s="2" t="s">
        <v>942</v>
      </c>
      <c r="O198" s="2" t="s">
        <v>81</v>
      </c>
      <c r="P198" s="2" t="str">
        <f>"144627 2oa23540               "</f>
        <v xml:space="preserve">144627 2oa23540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10.96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1</v>
      </c>
      <c r="BI198" s="2">
        <v>4.4000000000000004</v>
      </c>
      <c r="BJ198" s="2">
        <v>7.8</v>
      </c>
      <c r="BK198" s="2">
        <v>8</v>
      </c>
      <c r="BL198" s="2">
        <v>96.96</v>
      </c>
      <c r="BM198" s="2">
        <v>13.57</v>
      </c>
      <c r="BN198" s="2">
        <v>110.53</v>
      </c>
      <c r="BO198" s="2">
        <v>110.53</v>
      </c>
      <c r="BP198" s="2"/>
      <c r="BQ198" s="2" t="s">
        <v>943</v>
      </c>
      <c r="BR198" s="2" t="s">
        <v>83</v>
      </c>
      <c r="BS198" s="3">
        <v>43027</v>
      </c>
      <c r="BT198" s="4">
        <v>0.72430555555555554</v>
      </c>
      <c r="BU198" s="2" t="s">
        <v>944</v>
      </c>
      <c r="BV198" s="2" t="s">
        <v>96</v>
      </c>
      <c r="BW198" s="2"/>
      <c r="BX198" s="2"/>
      <c r="BY198" s="2">
        <v>38836.800000000003</v>
      </c>
      <c r="BZ198" s="2"/>
      <c r="CA198" s="2" t="s">
        <v>608</v>
      </c>
      <c r="CB198" s="2"/>
      <c r="CC198" s="2" t="s">
        <v>941</v>
      </c>
      <c r="CD198" s="2">
        <v>2210</v>
      </c>
      <c r="CE198" s="2" t="s">
        <v>134</v>
      </c>
      <c r="CF198" s="5">
        <v>43027</v>
      </c>
      <c r="CG198" s="2"/>
      <c r="CH198" s="2"/>
      <c r="CI198" s="2">
        <v>2</v>
      </c>
      <c r="CJ198" s="2">
        <v>2</v>
      </c>
      <c r="CK198" s="2" t="s">
        <v>174</v>
      </c>
      <c r="CL198" s="2" t="s">
        <v>85</v>
      </c>
      <c r="CM198" s="2"/>
    </row>
    <row r="199" spans="1:91">
      <c r="A199" s="2" t="s">
        <v>71</v>
      </c>
      <c r="B199" s="2" t="s">
        <v>72</v>
      </c>
      <c r="C199" s="2" t="s">
        <v>73</v>
      </c>
      <c r="D199" s="2"/>
      <c r="E199" s="2" t="str">
        <f>"019910941475"</f>
        <v>019910941475</v>
      </c>
      <c r="F199" s="3">
        <v>43025</v>
      </c>
      <c r="G199" s="2">
        <v>201804</v>
      </c>
      <c r="H199" s="2" t="s">
        <v>74</v>
      </c>
      <c r="I199" s="2" t="s">
        <v>75</v>
      </c>
      <c r="J199" s="2" t="s">
        <v>694</v>
      </c>
      <c r="K199" s="2" t="s">
        <v>77</v>
      </c>
      <c r="L199" s="2" t="s">
        <v>563</v>
      </c>
      <c r="M199" s="2" t="s">
        <v>564</v>
      </c>
      <c r="N199" s="2" t="s">
        <v>945</v>
      </c>
      <c r="O199" s="2" t="s">
        <v>81</v>
      </c>
      <c r="P199" s="2" t="str">
        <f>"                              "</f>
        <v xml:space="preserve">           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29.63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2</v>
      </c>
      <c r="BI199" s="2">
        <v>19.899999999999999</v>
      </c>
      <c r="BJ199" s="2">
        <v>34.700000000000003</v>
      </c>
      <c r="BK199" s="2">
        <v>35</v>
      </c>
      <c r="BL199" s="2">
        <v>253.63</v>
      </c>
      <c r="BM199" s="2">
        <v>35.51</v>
      </c>
      <c r="BN199" s="2">
        <v>289.14</v>
      </c>
      <c r="BO199" s="2">
        <v>289.14</v>
      </c>
      <c r="BP199" s="2"/>
      <c r="BQ199" s="2" t="s">
        <v>946</v>
      </c>
      <c r="BR199" s="2" t="s">
        <v>947</v>
      </c>
      <c r="BS199" s="3">
        <v>43028</v>
      </c>
      <c r="BT199" s="4">
        <v>0.52361111111111114</v>
      </c>
      <c r="BU199" s="2" t="s">
        <v>948</v>
      </c>
      <c r="BV199" s="2" t="s">
        <v>85</v>
      </c>
      <c r="BW199" s="2" t="s">
        <v>172</v>
      </c>
      <c r="BX199" s="2" t="s">
        <v>87</v>
      </c>
      <c r="BY199" s="2">
        <v>173377.4</v>
      </c>
      <c r="BZ199" s="2"/>
      <c r="CA199" s="2" t="s">
        <v>949</v>
      </c>
      <c r="CB199" s="2"/>
      <c r="CC199" s="2" t="s">
        <v>564</v>
      </c>
      <c r="CD199" s="2">
        <v>3275</v>
      </c>
      <c r="CE199" s="2" t="s">
        <v>283</v>
      </c>
      <c r="CF199" s="5">
        <v>43031</v>
      </c>
      <c r="CG199" s="2"/>
      <c r="CH199" s="2"/>
      <c r="CI199" s="2">
        <v>2</v>
      </c>
      <c r="CJ199" s="2">
        <v>3</v>
      </c>
      <c r="CK199" s="2" t="s">
        <v>148</v>
      </c>
      <c r="CL199" s="2" t="s">
        <v>85</v>
      </c>
      <c r="CM199" s="2"/>
    </row>
    <row r="200" spans="1:91">
      <c r="A200" s="2" t="s">
        <v>275</v>
      </c>
      <c r="B200" s="2" t="s">
        <v>72</v>
      </c>
      <c r="C200" s="2" t="s">
        <v>73</v>
      </c>
      <c r="D200" s="2"/>
      <c r="E200" s="2" t="str">
        <f>"089901384844"</f>
        <v>089901384844</v>
      </c>
      <c r="F200" s="3">
        <v>43025</v>
      </c>
      <c r="G200" s="2">
        <v>201804</v>
      </c>
      <c r="H200" s="2" t="s">
        <v>155</v>
      </c>
      <c r="I200" s="2" t="s">
        <v>156</v>
      </c>
      <c r="J200" s="2" t="s">
        <v>621</v>
      </c>
      <c r="K200" s="2" t="s">
        <v>77</v>
      </c>
      <c r="L200" s="2" t="s">
        <v>122</v>
      </c>
      <c r="M200" s="2" t="s">
        <v>123</v>
      </c>
      <c r="N200" s="2" t="s">
        <v>950</v>
      </c>
      <c r="O200" s="2" t="s">
        <v>278</v>
      </c>
      <c r="P200" s="2" t="str">
        <f>"                              "</f>
        <v xml:space="preserve">          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8.66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2</v>
      </c>
      <c r="BI200" s="2">
        <v>2.5</v>
      </c>
      <c r="BJ200" s="2">
        <v>3.9</v>
      </c>
      <c r="BK200" s="2">
        <v>4</v>
      </c>
      <c r="BL200" s="2">
        <v>72.66</v>
      </c>
      <c r="BM200" s="2">
        <v>10.17</v>
      </c>
      <c r="BN200" s="2">
        <v>82.83</v>
      </c>
      <c r="BO200" s="2">
        <v>82.83</v>
      </c>
      <c r="BP200" s="2"/>
      <c r="BQ200" s="2" t="s">
        <v>926</v>
      </c>
      <c r="BR200" s="2" t="s">
        <v>624</v>
      </c>
      <c r="BS200" s="3">
        <v>43026</v>
      </c>
      <c r="BT200" s="4">
        <v>0.54652777777777783</v>
      </c>
      <c r="BU200" s="2" t="s">
        <v>455</v>
      </c>
      <c r="BV200" s="2" t="s">
        <v>85</v>
      </c>
      <c r="BW200" s="2" t="s">
        <v>726</v>
      </c>
      <c r="BX200" s="2" t="s">
        <v>242</v>
      </c>
      <c r="BY200" s="2">
        <v>19495.28</v>
      </c>
      <c r="BZ200" s="2" t="s">
        <v>27</v>
      </c>
      <c r="CA200" s="2" t="s">
        <v>788</v>
      </c>
      <c r="CB200" s="2"/>
      <c r="CC200" s="2" t="s">
        <v>123</v>
      </c>
      <c r="CD200" s="2">
        <v>6000</v>
      </c>
      <c r="CE200" s="2" t="s">
        <v>283</v>
      </c>
      <c r="CF200" s="5">
        <v>43027</v>
      </c>
      <c r="CG200" s="2"/>
      <c r="CH200" s="2"/>
      <c r="CI200" s="2">
        <v>1</v>
      </c>
      <c r="CJ200" s="2">
        <v>1</v>
      </c>
      <c r="CK200" s="2">
        <v>21</v>
      </c>
      <c r="CL200" s="2" t="s">
        <v>85</v>
      </c>
      <c r="CM200" s="2"/>
    </row>
    <row r="201" spans="1:91">
      <c r="A201" s="2" t="s">
        <v>275</v>
      </c>
      <c r="B201" s="2" t="s">
        <v>72</v>
      </c>
      <c r="C201" s="2" t="s">
        <v>73</v>
      </c>
      <c r="D201" s="2"/>
      <c r="E201" s="2" t="str">
        <f>"089901294129"</f>
        <v>089901294129</v>
      </c>
      <c r="F201" s="3">
        <v>43025</v>
      </c>
      <c r="G201" s="2">
        <v>201804</v>
      </c>
      <c r="H201" s="2" t="s">
        <v>155</v>
      </c>
      <c r="I201" s="2" t="s">
        <v>156</v>
      </c>
      <c r="J201" s="2" t="s">
        <v>621</v>
      </c>
      <c r="K201" s="2" t="s">
        <v>77</v>
      </c>
      <c r="L201" s="2" t="s">
        <v>105</v>
      </c>
      <c r="M201" s="2" t="s">
        <v>106</v>
      </c>
      <c r="N201" s="2" t="s">
        <v>622</v>
      </c>
      <c r="O201" s="2" t="s">
        <v>278</v>
      </c>
      <c r="P201" s="2" t="str">
        <f>"                              "</f>
        <v xml:space="preserve">             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4.33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1</v>
      </c>
      <c r="BI201" s="2">
        <v>1</v>
      </c>
      <c r="BJ201" s="2">
        <v>0.2</v>
      </c>
      <c r="BK201" s="2">
        <v>1</v>
      </c>
      <c r="BL201" s="2">
        <v>36.33</v>
      </c>
      <c r="BM201" s="2">
        <v>5.09</v>
      </c>
      <c r="BN201" s="2">
        <v>41.42</v>
      </c>
      <c r="BO201" s="2">
        <v>41.42</v>
      </c>
      <c r="BP201" s="2"/>
      <c r="BQ201" s="2" t="s">
        <v>951</v>
      </c>
      <c r="BR201" s="2" t="s">
        <v>952</v>
      </c>
      <c r="BS201" s="3">
        <v>43026</v>
      </c>
      <c r="BT201" s="4">
        <v>0.33749999999999997</v>
      </c>
      <c r="BU201" s="2" t="s">
        <v>899</v>
      </c>
      <c r="BV201" s="2" t="s">
        <v>96</v>
      </c>
      <c r="BW201" s="2"/>
      <c r="BX201" s="2"/>
      <c r="BY201" s="2">
        <v>1200</v>
      </c>
      <c r="BZ201" s="2" t="s">
        <v>27</v>
      </c>
      <c r="CA201" s="2" t="s">
        <v>900</v>
      </c>
      <c r="CB201" s="2"/>
      <c r="CC201" s="2" t="s">
        <v>106</v>
      </c>
      <c r="CD201" s="2">
        <v>2000</v>
      </c>
      <c r="CE201" s="2" t="s">
        <v>283</v>
      </c>
      <c r="CF201" s="5">
        <v>43027</v>
      </c>
      <c r="CG201" s="2"/>
      <c r="CH201" s="2"/>
      <c r="CI201" s="2">
        <v>1</v>
      </c>
      <c r="CJ201" s="2">
        <v>1</v>
      </c>
      <c r="CK201" s="2">
        <v>21</v>
      </c>
      <c r="CL201" s="2" t="s">
        <v>85</v>
      </c>
      <c r="CM201" s="2"/>
    </row>
    <row r="202" spans="1:91">
      <c r="A202" s="2" t="s">
        <v>275</v>
      </c>
      <c r="B202" s="2" t="s">
        <v>72</v>
      </c>
      <c r="C202" s="2" t="s">
        <v>73</v>
      </c>
      <c r="D202" s="2"/>
      <c r="E202" s="2" t="str">
        <f>"039902658261"</f>
        <v>039902658261</v>
      </c>
      <c r="F202" s="3">
        <v>43025</v>
      </c>
      <c r="G202" s="2">
        <v>201804</v>
      </c>
      <c r="H202" s="2" t="s">
        <v>155</v>
      </c>
      <c r="I202" s="2" t="s">
        <v>156</v>
      </c>
      <c r="J202" s="2" t="s">
        <v>621</v>
      </c>
      <c r="K202" s="2" t="s">
        <v>77</v>
      </c>
      <c r="L202" s="2" t="s">
        <v>335</v>
      </c>
      <c r="M202" s="2" t="s">
        <v>336</v>
      </c>
      <c r="N202" s="2" t="s">
        <v>953</v>
      </c>
      <c r="O202" s="2" t="s">
        <v>278</v>
      </c>
      <c r="P202" s="2" t="str">
        <f>"                              "</f>
        <v xml:space="preserve">          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4.33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1</v>
      </c>
      <c r="BI202" s="2">
        <v>1</v>
      </c>
      <c r="BJ202" s="2">
        <v>0.2</v>
      </c>
      <c r="BK202" s="2">
        <v>1</v>
      </c>
      <c r="BL202" s="2">
        <v>36.33</v>
      </c>
      <c r="BM202" s="2">
        <v>5.09</v>
      </c>
      <c r="BN202" s="2">
        <v>41.42</v>
      </c>
      <c r="BO202" s="2">
        <v>41.42</v>
      </c>
      <c r="BP202" s="2"/>
      <c r="BQ202" s="2" t="s">
        <v>954</v>
      </c>
      <c r="BR202" s="2" t="s">
        <v>955</v>
      </c>
      <c r="BS202" s="3">
        <v>43026</v>
      </c>
      <c r="BT202" s="4">
        <v>0.44375000000000003</v>
      </c>
      <c r="BU202" s="2" t="s">
        <v>956</v>
      </c>
      <c r="BV202" s="2" t="s">
        <v>96</v>
      </c>
      <c r="BW202" s="2"/>
      <c r="BX202" s="2"/>
      <c r="BY202" s="2">
        <v>1200</v>
      </c>
      <c r="BZ202" s="2" t="s">
        <v>27</v>
      </c>
      <c r="CA202" s="2"/>
      <c r="CB202" s="2"/>
      <c r="CC202" s="2" t="s">
        <v>336</v>
      </c>
      <c r="CD202" s="2">
        <v>2146</v>
      </c>
      <c r="CE202" s="2" t="s">
        <v>283</v>
      </c>
      <c r="CF202" s="5">
        <v>43026</v>
      </c>
      <c r="CG202" s="2"/>
      <c r="CH202" s="2"/>
      <c r="CI202" s="2">
        <v>1</v>
      </c>
      <c r="CJ202" s="2">
        <v>1</v>
      </c>
      <c r="CK202" s="2">
        <v>21</v>
      </c>
      <c r="CL202" s="2" t="s">
        <v>85</v>
      </c>
      <c r="CM202" s="2"/>
    </row>
    <row r="203" spans="1:91">
      <c r="A203" s="2" t="s">
        <v>71</v>
      </c>
      <c r="B203" s="2" t="s">
        <v>72</v>
      </c>
      <c r="C203" s="2" t="s">
        <v>73</v>
      </c>
      <c r="D203" s="2"/>
      <c r="E203" s="2" t="str">
        <f>"039902652276"</f>
        <v>039902652276</v>
      </c>
      <c r="F203" s="3">
        <v>43026</v>
      </c>
      <c r="G203" s="2">
        <v>201804</v>
      </c>
      <c r="H203" s="2" t="s">
        <v>122</v>
      </c>
      <c r="I203" s="2" t="s">
        <v>123</v>
      </c>
      <c r="J203" s="2" t="s">
        <v>276</v>
      </c>
      <c r="K203" s="2" t="s">
        <v>77</v>
      </c>
      <c r="L203" s="2" t="s">
        <v>191</v>
      </c>
      <c r="M203" s="2" t="s">
        <v>192</v>
      </c>
      <c r="N203" s="2" t="s">
        <v>711</v>
      </c>
      <c r="O203" s="2" t="s">
        <v>278</v>
      </c>
      <c r="P203" s="2" t="str">
        <f>"11912270 FM                   "</f>
        <v xml:space="preserve">11912270 FM    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4.33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1</v>
      </c>
      <c r="BI203" s="2">
        <v>1</v>
      </c>
      <c r="BJ203" s="2">
        <v>0.7</v>
      </c>
      <c r="BK203" s="2">
        <v>1</v>
      </c>
      <c r="BL203" s="2">
        <v>36.33</v>
      </c>
      <c r="BM203" s="2">
        <v>5.09</v>
      </c>
      <c r="BN203" s="2">
        <v>41.42</v>
      </c>
      <c r="BO203" s="2">
        <v>41.42</v>
      </c>
      <c r="BP203" s="2"/>
      <c r="BQ203" s="2" t="s">
        <v>957</v>
      </c>
      <c r="BR203" s="2" t="s">
        <v>633</v>
      </c>
      <c r="BS203" s="3">
        <v>43027</v>
      </c>
      <c r="BT203" s="4">
        <v>0.43611111111111112</v>
      </c>
      <c r="BU203" s="2" t="s">
        <v>958</v>
      </c>
      <c r="BV203" s="2" t="s">
        <v>96</v>
      </c>
      <c r="BW203" s="2"/>
      <c r="BX203" s="2"/>
      <c r="BY203" s="2">
        <v>3600</v>
      </c>
      <c r="BZ203" s="2" t="s">
        <v>27</v>
      </c>
      <c r="CA203" s="2" t="s">
        <v>784</v>
      </c>
      <c r="CB203" s="2"/>
      <c r="CC203" s="2" t="s">
        <v>192</v>
      </c>
      <c r="CD203" s="2">
        <v>5247</v>
      </c>
      <c r="CE203" s="2" t="s">
        <v>283</v>
      </c>
      <c r="CF203" s="5">
        <v>43031</v>
      </c>
      <c r="CG203" s="2"/>
      <c r="CH203" s="2"/>
      <c r="CI203" s="2">
        <v>1</v>
      </c>
      <c r="CJ203" s="2">
        <v>1</v>
      </c>
      <c r="CK203" s="2">
        <v>21</v>
      </c>
      <c r="CL203" s="2" t="s">
        <v>85</v>
      </c>
      <c r="CM203" s="2"/>
    </row>
    <row r="204" spans="1:91">
      <c r="A204" s="2" t="s">
        <v>71</v>
      </c>
      <c r="B204" s="2" t="s">
        <v>72</v>
      </c>
      <c r="C204" s="2" t="s">
        <v>73</v>
      </c>
      <c r="D204" s="2"/>
      <c r="E204" s="2" t="str">
        <f>"039902720814"</f>
        <v>039902720814</v>
      </c>
      <c r="F204" s="3">
        <v>43026</v>
      </c>
      <c r="G204" s="2">
        <v>201804</v>
      </c>
      <c r="H204" s="2" t="s">
        <v>161</v>
      </c>
      <c r="I204" s="2" t="s">
        <v>162</v>
      </c>
      <c r="J204" s="2" t="s">
        <v>412</v>
      </c>
      <c r="K204" s="2" t="s">
        <v>77</v>
      </c>
      <c r="L204" s="2" t="s">
        <v>122</v>
      </c>
      <c r="M204" s="2" t="s">
        <v>123</v>
      </c>
      <c r="N204" s="2" t="s">
        <v>412</v>
      </c>
      <c r="O204" s="2" t="s">
        <v>278</v>
      </c>
      <c r="P204" s="2" t="str">
        <f>"                              "</f>
        <v xml:space="preserve">              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200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4.33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1</v>
      </c>
      <c r="BJ204" s="2">
        <v>0.2</v>
      </c>
      <c r="BK204" s="2">
        <v>1</v>
      </c>
      <c r="BL204" s="2">
        <v>236.33</v>
      </c>
      <c r="BM204" s="2">
        <v>33.090000000000003</v>
      </c>
      <c r="BN204" s="2">
        <v>269.42</v>
      </c>
      <c r="BO204" s="2">
        <v>269.42</v>
      </c>
      <c r="BP204" s="2"/>
      <c r="BQ204" s="2" t="s">
        <v>959</v>
      </c>
      <c r="BR204" s="2" t="s">
        <v>419</v>
      </c>
      <c r="BS204" s="3">
        <v>43027</v>
      </c>
      <c r="BT204" s="4">
        <v>0.33819444444444446</v>
      </c>
      <c r="BU204" s="2" t="s">
        <v>633</v>
      </c>
      <c r="BV204" s="2" t="s">
        <v>96</v>
      </c>
      <c r="BW204" s="2"/>
      <c r="BX204" s="2"/>
      <c r="BY204" s="2">
        <v>1200</v>
      </c>
      <c r="BZ204" s="2" t="s">
        <v>421</v>
      </c>
      <c r="CA204" s="2" t="s">
        <v>788</v>
      </c>
      <c r="CB204" s="2"/>
      <c r="CC204" s="2" t="s">
        <v>123</v>
      </c>
      <c r="CD204" s="2">
        <v>6045</v>
      </c>
      <c r="CE204" s="2" t="s">
        <v>283</v>
      </c>
      <c r="CF204" s="5">
        <v>43028</v>
      </c>
      <c r="CG204" s="2"/>
      <c r="CH204" s="2"/>
      <c r="CI204" s="2">
        <v>1</v>
      </c>
      <c r="CJ204" s="2">
        <v>1</v>
      </c>
      <c r="CK204" s="2">
        <v>21</v>
      </c>
      <c r="CL204" s="2" t="s">
        <v>96</v>
      </c>
      <c r="CM204" s="4">
        <v>0.33819444444444446</v>
      </c>
    </row>
    <row r="205" spans="1:91">
      <c r="A205" s="2" t="s">
        <v>71</v>
      </c>
      <c r="B205" s="2" t="s">
        <v>72</v>
      </c>
      <c r="C205" s="2" t="s">
        <v>73</v>
      </c>
      <c r="D205" s="2"/>
      <c r="E205" s="2" t="str">
        <f>"019910941474"</f>
        <v>019910941474</v>
      </c>
      <c r="F205" s="3">
        <v>43026</v>
      </c>
      <c r="G205" s="2">
        <v>201804</v>
      </c>
      <c r="H205" s="2" t="s">
        <v>74</v>
      </c>
      <c r="I205" s="2" t="s">
        <v>75</v>
      </c>
      <c r="J205" s="2" t="s">
        <v>694</v>
      </c>
      <c r="K205" s="2" t="s">
        <v>77</v>
      </c>
      <c r="L205" s="2" t="s">
        <v>960</v>
      </c>
      <c r="M205" s="2" t="s">
        <v>961</v>
      </c>
      <c r="N205" s="2" t="s">
        <v>962</v>
      </c>
      <c r="O205" s="2" t="s">
        <v>81</v>
      </c>
      <c r="P205" s="2" t="str">
        <f>"144522                        "</f>
        <v xml:space="preserve">144522    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19.079999999999998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1</v>
      </c>
      <c r="BI205" s="2">
        <v>11.6</v>
      </c>
      <c r="BJ205" s="2">
        <v>19.2</v>
      </c>
      <c r="BK205" s="2">
        <v>20</v>
      </c>
      <c r="BL205" s="2">
        <v>165.08</v>
      </c>
      <c r="BM205" s="2">
        <v>23.11</v>
      </c>
      <c r="BN205" s="2">
        <v>188.19</v>
      </c>
      <c r="BO205" s="2">
        <v>188.19</v>
      </c>
      <c r="BP205" s="2"/>
      <c r="BQ205" s="2" t="s">
        <v>963</v>
      </c>
      <c r="BR205" s="2" t="s">
        <v>947</v>
      </c>
      <c r="BS205" s="3">
        <v>43028</v>
      </c>
      <c r="BT205" s="4">
        <v>0.4861111111111111</v>
      </c>
      <c r="BU205" s="2" t="s">
        <v>964</v>
      </c>
      <c r="BV205" s="2"/>
      <c r="BW205" s="2"/>
      <c r="BX205" s="2"/>
      <c r="BY205" s="2">
        <v>96162</v>
      </c>
      <c r="BZ205" s="2"/>
      <c r="CA205" s="2" t="s">
        <v>965</v>
      </c>
      <c r="CB205" s="2"/>
      <c r="CC205" s="2" t="s">
        <v>961</v>
      </c>
      <c r="CD205" s="2">
        <v>380</v>
      </c>
      <c r="CE205" s="2" t="s">
        <v>283</v>
      </c>
      <c r="CF205" s="5">
        <v>43032</v>
      </c>
      <c r="CG205" s="2"/>
      <c r="CH205" s="2"/>
      <c r="CI205" s="2">
        <v>0</v>
      </c>
      <c r="CJ205" s="2">
        <v>0</v>
      </c>
      <c r="CK205" s="2" t="s">
        <v>181</v>
      </c>
      <c r="CL205" s="2" t="s">
        <v>85</v>
      </c>
      <c r="CM205" s="2"/>
    </row>
    <row r="206" spans="1:91">
      <c r="A206" s="2" t="s">
        <v>71</v>
      </c>
      <c r="B206" s="2" t="s">
        <v>72</v>
      </c>
      <c r="C206" s="2" t="s">
        <v>73</v>
      </c>
      <c r="D206" s="2"/>
      <c r="E206" s="2" t="str">
        <f>"019910941473"</f>
        <v>019910941473</v>
      </c>
      <c r="F206" s="3">
        <v>43026</v>
      </c>
      <c r="G206" s="2">
        <v>201804</v>
      </c>
      <c r="H206" s="2" t="s">
        <v>74</v>
      </c>
      <c r="I206" s="2" t="s">
        <v>75</v>
      </c>
      <c r="J206" s="2" t="s">
        <v>694</v>
      </c>
      <c r="K206" s="2" t="s">
        <v>77</v>
      </c>
      <c r="L206" s="2" t="s">
        <v>966</v>
      </c>
      <c r="M206" s="2" t="s">
        <v>967</v>
      </c>
      <c r="N206" s="2" t="s">
        <v>968</v>
      </c>
      <c r="O206" s="2" t="s">
        <v>81</v>
      </c>
      <c r="P206" s="2" t="str">
        <f>"144719                        "</f>
        <v xml:space="preserve">144719       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9.1300000000000008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1</v>
      </c>
      <c r="BI206" s="2">
        <v>3.6</v>
      </c>
      <c r="BJ206" s="2">
        <v>7.8</v>
      </c>
      <c r="BK206" s="2">
        <v>8</v>
      </c>
      <c r="BL206" s="2">
        <v>81.63</v>
      </c>
      <c r="BM206" s="2">
        <v>11.43</v>
      </c>
      <c r="BN206" s="2">
        <v>93.06</v>
      </c>
      <c r="BO206" s="2">
        <v>93.06</v>
      </c>
      <c r="BP206" s="2"/>
      <c r="BQ206" s="2" t="s">
        <v>969</v>
      </c>
      <c r="BR206" s="2" t="s">
        <v>947</v>
      </c>
      <c r="BS206" s="3">
        <v>43028</v>
      </c>
      <c r="BT206" s="4">
        <v>0.3888888888888889</v>
      </c>
      <c r="BU206" s="2" t="s">
        <v>970</v>
      </c>
      <c r="BV206" s="2" t="s">
        <v>96</v>
      </c>
      <c r="BW206" s="2"/>
      <c r="BX206" s="2"/>
      <c r="BY206" s="2">
        <v>39112.800000000003</v>
      </c>
      <c r="BZ206" s="2"/>
      <c r="CA206" s="2"/>
      <c r="CB206" s="2"/>
      <c r="CC206" s="2" t="s">
        <v>967</v>
      </c>
      <c r="CD206" s="2">
        <v>1429</v>
      </c>
      <c r="CE206" s="2" t="s">
        <v>283</v>
      </c>
      <c r="CF206" s="5">
        <v>43031</v>
      </c>
      <c r="CG206" s="2"/>
      <c r="CH206" s="2"/>
      <c r="CI206" s="2">
        <v>2</v>
      </c>
      <c r="CJ206" s="2">
        <v>2</v>
      </c>
      <c r="CK206" s="2" t="s">
        <v>90</v>
      </c>
      <c r="CL206" s="2" t="s">
        <v>85</v>
      </c>
      <c r="CM206" s="2"/>
    </row>
    <row r="207" spans="1:91">
      <c r="A207" s="2" t="s">
        <v>71</v>
      </c>
      <c r="B207" s="2" t="s">
        <v>72</v>
      </c>
      <c r="C207" s="2" t="s">
        <v>73</v>
      </c>
      <c r="D207" s="2"/>
      <c r="E207" s="2" t="str">
        <f>"019910941472"</f>
        <v>019910941472</v>
      </c>
      <c r="F207" s="3">
        <v>43026</v>
      </c>
      <c r="G207" s="2">
        <v>201804</v>
      </c>
      <c r="H207" s="2" t="s">
        <v>74</v>
      </c>
      <c r="I207" s="2" t="s">
        <v>75</v>
      </c>
      <c r="J207" s="2" t="s">
        <v>694</v>
      </c>
      <c r="K207" s="2" t="s">
        <v>77</v>
      </c>
      <c r="L207" s="2" t="s">
        <v>966</v>
      </c>
      <c r="M207" s="2" t="s">
        <v>967</v>
      </c>
      <c r="N207" s="2" t="s">
        <v>968</v>
      </c>
      <c r="O207" s="2" t="s">
        <v>81</v>
      </c>
      <c r="P207" s="2" t="str">
        <f>"144717                        "</f>
        <v xml:space="preserve">144717       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9.1300000000000008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1</v>
      </c>
      <c r="BI207" s="2">
        <v>1.1000000000000001</v>
      </c>
      <c r="BJ207" s="2">
        <v>0.9</v>
      </c>
      <c r="BK207" s="2">
        <v>2</v>
      </c>
      <c r="BL207" s="2">
        <v>81.63</v>
      </c>
      <c r="BM207" s="2">
        <v>11.43</v>
      </c>
      <c r="BN207" s="2">
        <v>93.06</v>
      </c>
      <c r="BO207" s="2">
        <v>93.06</v>
      </c>
      <c r="BP207" s="2"/>
      <c r="BQ207" s="2" t="s">
        <v>969</v>
      </c>
      <c r="BR207" s="2" t="s">
        <v>947</v>
      </c>
      <c r="BS207" s="3">
        <v>43028</v>
      </c>
      <c r="BT207" s="4">
        <v>0.38541666666666669</v>
      </c>
      <c r="BU207" s="2" t="s">
        <v>971</v>
      </c>
      <c r="BV207" s="2" t="s">
        <v>96</v>
      </c>
      <c r="BW207" s="2"/>
      <c r="BX207" s="2"/>
      <c r="BY207" s="2">
        <v>4615</v>
      </c>
      <c r="BZ207" s="2"/>
      <c r="CA207" s="2"/>
      <c r="CB207" s="2"/>
      <c r="CC207" s="2" t="s">
        <v>967</v>
      </c>
      <c r="CD207" s="2">
        <v>1429</v>
      </c>
      <c r="CE207" s="2" t="s">
        <v>283</v>
      </c>
      <c r="CF207" s="5">
        <v>43031</v>
      </c>
      <c r="CG207" s="2"/>
      <c r="CH207" s="2"/>
      <c r="CI207" s="2">
        <v>2</v>
      </c>
      <c r="CJ207" s="2">
        <v>2</v>
      </c>
      <c r="CK207" s="2" t="s">
        <v>90</v>
      </c>
      <c r="CL207" s="2" t="s">
        <v>85</v>
      </c>
      <c r="CM207" s="2"/>
    </row>
    <row r="208" spans="1:91">
      <c r="A208" s="2" t="s">
        <v>71</v>
      </c>
      <c r="B208" s="2" t="s">
        <v>72</v>
      </c>
      <c r="C208" s="2" t="s">
        <v>73</v>
      </c>
      <c r="D208" s="2"/>
      <c r="E208" s="2" t="str">
        <f>"RLCR000306"</f>
        <v>RLCR000306</v>
      </c>
      <c r="F208" s="3">
        <v>43027</v>
      </c>
      <c r="G208" s="2">
        <v>201804</v>
      </c>
      <c r="H208" s="2" t="s">
        <v>149</v>
      </c>
      <c r="I208" s="2" t="s">
        <v>150</v>
      </c>
      <c r="J208" s="2" t="s">
        <v>303</v>
      </c>
      <c r="K208" s="2" t="s">
        <v>77</v>
      </c>
      <c r="L208" s="2" t="s">
        <v>74</v>
      </c>
      <c r="M208" s="2" t="s">
        <v>75</v>
      </c>
      <c r="N208" s="2" t="s">
        <v>76</v>
      </c>
      <c r="O208" s="2" t="s">
        <v>81</v>
      </c>
      <c r="P208" s="2" t="str">
        <f>"143929 2oa23028               "</f>
        <v xml:space="preserve">143929 2oa23028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6.09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1</v>
      </c>
      <c r="BI208" s="2">
        <v>7</v>
      </c>
      <c r="BJ208" s="2">
        <v>6.6</v>
      </c>
      <c r="BK208" s="2">
        <v>7</v>
      </c>
      <c r="BL208" s="2">
        <v>56.09</v>
      </c>
      <c r="BM208" s="2">
        <v>7.85</v>
      </c>
      <c r="BN208" s="2">
        <v>63.94</v>
      </c>
      <c r="BO208" s="2">
        <v>63.94</v>
      </c>
      <c r="BP208" s="2"/>
      <c r="BQ208" s="2" t="s">
        <v>83</v>
      </c>
      <c r="BR208" s="2" t="s">
        <v>304</v>
      </c>
      <c r="BS208" s="1" t="s">
        <v>972</v>
      </c>
      <c r="BT208" s="2"/>
      <c r="BU208" s="2"/>
      <c r="BV208" s="2"/>
      <c r="BW208" s="2"/>
      <c r="BX208" s="2"/>
      <c r="BY208" s="2">
        <v>33075</v>
      </c>
      <c r="BZ208" s="2"/>
      <c r="CA208" s="2"/>
      <c r="CB208" s="2"/>
      <c r="CC208" s="2" t="s">
        <v>75</v>
      </c>
      <c r="CD208" s="2">
        <v>7130</v>
      </c>
      <c r="CE208" s="2" t="s">
        <v>134</v>
      </c>
      <c r="CF208" s="2"/>
      <c r="CG208" s="2"/>
      <c r="CH208" s="2"/>
      <c r="CI208" s="2">
        <v>1</v>
      </c>
      <c r="CJ208" s="2" t="s">
        <v>972</v>
      </c>
      <c r="CK208" s="2" t="s">
        <v>154</v>
      </c>
      <c r="CL208" s="2" t="s">
        <v>85</v>
      </c>
      <c r="CM208" s="2"/>
    </row>
    <row r="209" spans="1:91">
      <c r="A209" s="2" t="s">
        <v>71</v>
      </c>
      <c r="B209" s="2" t="s">
        <v>72</v>
      </c>
      <c r="C209" s="2" t="s">
        <v>73</v>
      </c>
      <c r="D209" s="2"/>
      <c r="E209" s="2" t="str">
        <f>"019910894371"</f>
        <v>019910894371</v>
      </c>
      <c r="F209" s="3">
        <v>43027</v>
      </c>
      <c r="G209" s="2">
        <v>201804</v>
      </c>
      <c r="H209" s="2" t="s">
        <v>149</v>
      </c>
      <c r="I209" s="2" t="s">
        <v>150</v>
      </c>
      <c r="J209" s="2" t="s">
        <v>896</v>
      </c>
      <c r="K209" s="2" t="s">
        <v>77</v>
      </c>
      <c r="L209" s="2" t="s">
        <v>122</v>
      </c>
      <c r="M209" s="2" t="s">
        <v>123</v>
      </c>
      <c r="N209" s="2" t="s">
        <v>276</v>
      </c>
      <c r="O209" s="2" t="s">
        <v>278</v>
      </c>
      <c r="P209" s="2" t="str">
        <f>"1191227OFM                    "</f>
        <v xml:space="preserve">1191227OFM     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9.74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1</v>
      </c>
      <c r="BI209" s="2">
        <v>4.2</v>
      </c>
      <c r="BJ209" s="2">
        <v>4</v>
      </c>
      <c r="BK209" s="2">
        <v>4.5</v>
      </c>
      <c r="BL209" s="2">
        <v>81.739999999999995</v>
      </c>
      <c r="BM209" s="2">
        <v>11.44</v>
      </c>
      <c r="BN209" s="2">
        <v>93.18</v>
      </c>
      <c r="BO209" s="2">
        <v>93.18</v>
      </c>
      <c r="BP209" s="2"/>
      <c r="BQ209" s="2" t="s">
        <v>973</v>
      </c>
      <c r="BR209" s="2"/>
      <c r="BS209" s="3">
        <v>43028</v>
      </c>
      <c r="BT209" s="4">
        <v>0.35625000000000001</v>
      </c>
      <c r="BU209" s="2" t="s">
        <v>455</v>
      </c>
      <c r="BV209" s="2" t="s">
        <v>96</v>
      </c>
      <c r="BW209" s="2"/>
      <c r="BX209" s="2"/>
      <c r="BY209" s="2">
        <v>20072.400000000001</v>
      </c>
      <c r="BZ209" s="2" t="s">
        <v>27</v>
      </c>
      <c r="CA209" s="2" t="s">
        <v>788</v>
      </c>
      <c r="CB209" s="2"/>
      <c r="CC209" s="2" t="s">
        <v>123</v>
      </c>
      <c r="CD209" s="2">
        <v>6000</v>
      </c>
      <c r="CE209" s="2" t="s">
        <v>283</v>
      </c>
      <c r="CF209" s="5">
        <v>43031</v>
      </c>
      <c r="CG209" s="2"/>
      <c r="CH209" s="2"/>
      <c r="CI209" s="2">
        <v>1</v>
      </c>
      <c r="CJ209" s="2">
        <v>1</v>
      </c>
      <c r="CK209" s="2">
        <v>21</v>
      </c>
      <c r="CL209" s="2" t="s">
        <v>85</v>
      </c>
      <c r="CM209" s="2"/>
    </row>
    <row r="210" spans="1:91">
      <c r="A210" s="2" t="s">
        <v>275</v>
      </c>
      <c r="B210" s="2" t="s">
        <v>72</v>
      </c>
      <c r="C210" s="2" t="s">
        <v>73</v>
      </c>
      <c r="D210" s="2"/>
      <c r="E210" s="2" t="str">
        <f>"029907801052"</f>
        <v>029907801052</v>
      </c>
      <c r="F210" s="3">
        <v>43027</v>
      </c>
      <c r="G210" s="2">
        <v>201804</v>
      </c>
      <c r="H210" s="2" t="s">
        <v>234</v>
      </c>
      <c r="I210" s="2" t="s">
        <v>235</v>
      </c>
      <c r="J210" s="2" t="s">
        <v>276</v>
      </c>
      <c r="K210" s="2" t="s">
        <v>77</v>
      </c>
      <c r="L210" s="2" t="s">
        <v>149</v>
      </c>
      <c r="M210" s="2" t="s">
        <v>150</v>
      </c>
      <c r="N210" s="2" t="s">
        <v>463</v>
      </c>
      <c r="O210" s="2" t="s">
        <v>278</v>
      </c>
      <c r="P210" s="2" t="str">
        <f>"1194 2270 FM                  "</f>
        <v xml:space="preserve">1194 2270 FM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4.33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1</v>
      </c>
      <c r="BI210" s="2">
        <v>1</v>
      </c>
      <c r="BJ210" s="2">
        <v>0.2</v>
      </c>
      <c r="BK210" s="2">
        <v>1</v>
      </c>
      <c r="BL210" s="2">
        <v>36.33</v>
      </c>
      <c r="BM210" s="2">
        <v>5.09</v>
      </c>
      <c r="BN210" s="2">
        <v>41.42</v>
      </c>
      <c r="BO210" s="2">
        <v>41.42</v>
      </c>
      <c r="BP210" s="2"/>
      <c r="BQ210" s="2" t="s">
        <v>974</v>
      </c>
      <c r="BR210" s="2" t="s">
        <v>280</v>
      </c>
      <c r="BS210" s="3">
        <v>43028</v>
      </c>
      <c r="BT210" s="4">
        <v>0.41180555555555554</v>
      </c>
      <c r="BU210" s="2" t="s">
        <v>975</v>
      </c>
      <c r="BV210" s="2" t="s">
        <v>96</v>
      </c>
      <c r="BW210" s="2"/>
      <c r="BX210" s="2"/>
      <c r="BY210" s="2">
        <v>1200</v>
      </c>
      <c r="BZ210" s="2" t="s">
        <v>27</v>
      </c>
      <c r="CA210" s="2" t="s">
        <v>282</v>
      </c>
      <c r="CB210" s="2"/>
      <c r="CC210" s="2" t="s">
        <v>150</v>
      </c>
      <c r="CD210" s="2">
        <v>8000</v>
      </c>
      <c r="CE210" s="2" t="s">
        <v>283</v>
      </c>
      <c r="CF210" s="5">
        <v>43031</v>
      </c>
      <c r="CG210" s="2"/>
      <c r="CH210" s="2"/>
      <c r="CI210" s="2">
        <v>1</v>
      </c>
      <c r="CJ210" s="2">
        <v>1</v>
      </c>
      <c r="CK210" s="2">
        <v>21</v>
      </c>
      <c r="CL210" s="2" t="s">
        <v>85</v>
      </c>
      <c r="CM210" s="2"/>
    </row>
    <row r="211" spans="1:91">
      <c r="A211" s="2" t="s">
        <v>71</v>
      </c>
      <c r="B211" s="2" t="s">
        <v>72</v>
      </c>
      <c r="C211" s="2" t="s">
        <v>73</v>
      </c>
      <c r="D211" s="2"/>
      <c r="E211" s="2" t="str">
        <f>"039902652230"</f>
        <v>039902652230</v>
      </c>
      <c r="F211" s="3">
        <v>43027</v>
      </c>
      <c r="G211" s="2">
        <v>201804</v>
      </c>
      <c r="H211" s="2" t="s">
        <v>122</v>
      </c>
      <c r="I211" s="2" t="s">
        <v>123</v>
      </c>
      <c r="J211" s="2" t="s">
        <v>276</v>
      </c>
      <c r="K211" s="2" t="s">
        <v>77</v>
      </c>
      <c r="L211" s="2" t="s">
        <v>149</v>
      </c>
      <c r="M211" s="2" t="s">
        <v>150</v>
      </c>
      <c r="N211" s="2" t="s">
        <v>976</v>
      </c>
      <c r="O211" s="2" t="s">
        <v>278</v>
      </c>
      <c r="P211" s="2" t="str">
        <f>"11912270 FM                   "</f>
        <v xml:space="preserve">11912270 FM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4.33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1</v>
      </c>
      <c r="BI211" s="2">
        <v>1</v>
      </c>
      <c r="BJ211" s="2">
        <v>0.2</v>
      </c>
      <c r="BK211" s="2">
        <v>1</v>
      </c>
      <c r="BL211" s="2">
        <v>36.33</v>
      </c>
      <c r="BM211" s="2">
        <v>5.09</v>
      </c>
      <c r="BN211" s="2">
        <v>41.42</v>
      </c>
      <c r="BO211" s="2">
        <v>41.42</v>
      </c>
      <c r="BP211" s="2"/>
      <c r="BQ211" s="2" t="s">
        <v>632</v>
      </c>
      <c r="BR211" s="2" t="s">
        <v>633</v>
      </c>
      <c r="BS211" s="3">
        <v>43028</v>
      </c>
      <c r="BT211" s="4">
        <v>0.41180555555555554</v>
      </c>
      <c r="BU211" s="2" t="s">
        <v>975</v>
      </c>
      <c r="BV211" s="2" t="s">
        <v>96</v>
      </c>
      <c r="BW211" s="2"/>
      <c r="BX211" s="2"/>
      <c r="BY211" s="2">
        <v>1200</v>
      </c>
      <c r="BZ211" s="2" t="s">
        <v>27</v>
      </c>
      <c r="CA211" s="2" t="s">
        <v>282</v>
      </c>
      <c r="CB211" s="2"/>
      <c r="CC211" s="2" t="s">
        <v>150</v>
      </c>
      <c r="CD211" s="2">
        <v>8000</v>
      </c>
      <c r="CE211" s="2" t="s">
        <v>283</v>
      </c>
      <c r="CF211" s="5">
        <v>43031</v>
      </c>
      <c r="CG211" s="2"/>
      <c r="CH211" s="2"/>
      <c r="CI211" s="2">
        <v>1</v>
      </c>
      <c r="CJ211" s="2">
        <v>1</v>
      </c>
      <c r="CK211" s="2">
        <v>21</v>
      </c>
      <c r="CL211" s="2" t="s">
        <v>85</v>
      </c>
      <c r="CM211" s="2"/>
    </row>
    <row r="212" spans="1:91">
      <c r="A212" s="2" t="s">
        <v>71</v>
      </c>
      <c r="B212" s="2" t="s">
        <v>72</v>
      </c>
      <c r="C212" s="2" t="s">
        <v>73</v>
      </c>
      <c r="D212" s="2"/>
      <c r="E212" s="2" t="str">
        <f>"039902652229"</f>
        <v>039902652229</v>
      </c>
      <c r="F212" s="3">
        <v>43027</v>
      </c>
      <c r="G212" s="2">
        <v>201804</v>
      </c>
      <c r="H212" s="2" t="s">
        <v>122</v>
      </c>
      <c r="I212" s="2" t="s">
        <v>123</v>
      </c>
      <c r="J212" s="2" t="s">
        <v>276</v>
      </c>
      <c r="K212" s="2" t="s">
        <v>77</v>
      </c>
      <c r="L212" s="2" t="s">
        <v>105</v>
      </c>
      <c r="M212" s="2" t="s">
        <v>106</v>
      </c>
      <c r="N212" s="2" t="s">
        <v>711</v>
      </c>
      <c r="O212" s="2" t="s">
        <v>278</v>
      </c>
      <c r="P212" s="2" t="str">
        <f>"11912270 FM                   "</f>
        <v xml:space="preserve">11912270 FM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4.33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1</v>
      </c>
      <c r="BI212" s="2">
        <v>1</v>
      </c>
      <c r="BJ212" s="2">
        <v>0.2</v>
      </c>
      <c r="BK212" s="2">
        <v>1</v>
      </c>
      <c r="BL212" s="2">
        <v>36.33</v>
      </c>
      <c r="BM212" s="2">
        <v>5.09</v>
      </c>
      <c r="BN212" s="2">
        <v>41.42</v>
      </c>
      <c r="BO212" s="2">
        <v>41.42</v>
      </c>
      <c r="BP212" s="2"/>
      <c r="BQ212" s="2"/>
      <c r="BR212" s="2" t="s">
        <v>633</v>
      </c>
      <c r="BS212" s="3">
        <v>43028</v>
      </c>
      <c r="BT212" s="4">
        <v>0.3125</v>
      </c>
      <c r="BU212" s="2" t="s">
        <v>899</v>
      </c>
      <c r="BV212" s="2" t="s">
        <v>96</v>
      </c>
      <c r="BW212" s="2"/>
      <c r="BX212" s="2"/>
      <c r="BY212" s="2">
        <v>1200</v>
      </c>
      <c r="BZ212" s="2" t="s">
        <v>27</v>
      </c>
      <c r="CA212" s="2" t="s">
        <v>900</v>
      </c>
      <c r="CB212" s="2"/>
      <c r="CC212" s="2" t="s">
        <v>106</v>
      </c>
      <c r="CD212" s="2">
        <v>2021</v>
      </c>
      <c r="CE212" s="2" t="s">
        <v>283</v>
      </c>
      <c r="CF212" s="5">
        <v>43031</v>
      </c>
      <c r="CG212" s="2"/>
      <c r="CH212" s="2"/>
      <c r="CI212" s="2">
        <v>1</v>
      </c>
      <c r="CJ212" s="2">
        <v>1</v>
      </c>
      <c r="CK212" s="2">
        <v>21</v>
      </c>
      <c r="CL212" s="2" t="s">
        <v>85</v>
      </c>
      <c r="CM212" s="2"/>
    </row>
    <row r="213" spans="1:91">
      <c r="A213" s="2" t="s">
        <v>71</v>
      </c>
      <c r="B213" s="2" t="s">
        <v>72</v>
      </c>
      <c r="C213" s="2" t="s">
        <v>73</v>
      </c>
      <c r="D213" s="2"/>
      <c r="E213" s="2" t="str">
        <f>"039902652233"</f>
        <v>039902652233</v>
      </c>
      <c r="F213" s="3">
        <v>43028</v>
      </c>
      <c r="G213" s="2">
        <v>201804</v>
      </c>
      <c r="H213" s="2" t="s">
        <v>122</v>
      </c>
      <c r="I213" s="2" t="s">
        <v>123</v>
      </c>
      <c r="J213" s="2" t="s">
        <v>276</v>
      </c>
      <c r="K213" s="2" t="s">
        <v>77</v>
      </c>
      <c r="L213" s="2" t="s">
        <v>191</v>
      </c>
      <c r="M213" s="2" t="s">
        <v>192</v>
      </c>
      <c r="N213" s="2" t="s">
        <v>977</v>
      </c>
      <c r="O213" s="2" t="s">
        <v>278</v>
      </c>
      <c r="P213" s="2" t="str">
        <f>"11912270 FM                   "</f>
        <v xml:space="preserve">11912270 FM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4.33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1</v>
      </c>
      <c r="BI213" s="2">
        <v>1</v>
      </c>
      <c r="BJ213" s="2">
        <v>0.7</v>
      </c>
      <c r="BK213" s="2">
        <v>1</v>
      </c>
      <c r="BL213" s="2">
        <v>36.33</v>
      </c>
      <c r="BM213" s="2">
        <v>5.09</v>
      </c>
      <c r="BN213" s="2">
        <v>41.42</v>
      </c>
      <c r="BO213" s="2">
        <v>41.42</v>
      </c>
      <c r="BP213" s="2"/>
      <c r="BQ213" s="2"/>
      <c r="BR213" s="2" t="s">
        <v>633</v>
      </c>
      <c r="BS213" s="3">
        <v>43031</v>
      </c>
      <c r="BT213" s="4">
        <v>0.46388888888888885</v>
      </c>
      <c r="BU213" s="2" t="s">
        <v>978</v>
      </c>
      <c r="BV213" s="2" t="s">
        <v>96</v>
      </c>
      <c r="BW213" s="2"/>
      <c r="BX213" s="2"/>
      <c r="BY213" s="2">
        <v>3600</v>
      </c>
      <c r="BZ213" s="2" t="s">
        <v>27</v>
      </c>
      <c r="CA213" s="2" t="s">
        <v>784</v>
      </c>
      <c r="CB213" s="2"/>
      <c r="CC213" s="2" t="s">
        <v>192</v>
      </c>
      <c r="CD213" s="2">
        <v>5247</v>
      </c>
      <c r="CE213" s="2" t="s">
        <v>283</v>
      </c>
      <c r="CF213" s="5">
        <v>43033</v>
      </c>
      <c r="CG213" s="2"/>
      <c r="CH213" s="2"/>
      <c r="CI213" s="2">
        <v>1</v>
      </c>
      <c r="CJ213" s="2">
        <v>1</v>
      </c>
      <c r="CK213" s="2">
        <v>21</v>
      </c>
      <c r="CL213" s="2" t="s">
        <v>85</v>
      </c>
      <c r="CM213" s="2"/>
    </row>
    <row r="214" spans="1:91">
      <c r="A214" s="2" t="s">
        <v>71</v>
      </c>
      <c r="B214" s="2" t="s">
        <v>72</v>
      </c>
      <c r="C214" s="2" t="s">
        <v>73</v>
      </c>
      <c r="D214" s="2"/>
      <c r="E214" s="2" t="str">
        <f>"039902652232"</f>
        <v>039902652232</v>
      </c>
      <c r="F214" s="3">
        <v>43028</v>
      </c>
      <c r="G214" s="2">
        <v>201804</v>
      </c>
      <c r="H214" s="2" t="s">
        <v>122</v>
      </c>
      <c r="I214" s="2" t="s">
        <v>123</v>
      </c>
      <c r="J214" s="2" t="s">
        <v>276</v>
      </c>
      <c r="K214" s="2" t="s">
        <v>77</v>
      </c>
      <c r="L214" s="2" t="s">
        <v>161</v>
      </c>
      <c r="M214" s="2" t="s">
        <v>162</v>
      </c>
      <c r="N214" s="2" t="s">
        <v>977</v>
      </c>
      <c r="O214" s="2" t="s">
        <v>278</v>
      </c>
      <c r="P214" s="2" t="str">
        <f>"11912270 FM                   "</f>
        <v xml:space="preserve">11912270 FM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4.33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1</v>
      </c>
      <c r="BI214" s="2">
        <v>1</v>
      </c>
      <c r="BJ214" s="2">
        <v>0.2</v>
      </c>
      <c r="BK214" s="2">
        <v>1</v>
      </c>
      <c r="BL214" s="2">
        <v>36.33</v>
      </c>
      <c r="BM214" s="2">
        <v>5.09</v>
      </c>
      <c r="BN214" s="2">
        <v>41.42</v>
      </c>
      <c r="BO214" s="2">
        <v>41.42</v>
      </c>
      <c r="BP214" s="2"/>
      <c r="BQ214" s="2" t="s">
        <v>979</v>
      </c>
      <c r="BR214" s="2" t="s">
        <v>633</v>
      </c>
      <c r="BS214" s="3">
        <v>43031</v>
      </c>
      <c r="BT214" s="4">
        <v>0.3611111111111111</v>
      </c>
      <c r="BU214" s="2" t="s">
        <v>980</v>
      </c>
      <c r="BV214" s="2" t="s">
        <v>96</v>
      </c>
      <c r="BW214" s="2"/>
      <c r="BX214" s="2"/>
      <c r="BY214" s="2">
        <v>1200</v>
      </c>
      <c r="BZ214" s="2" t="s">
        <v>27</v>
      </c>
      <c r="CA214" s="2" t="s">
        <v>981</v>
      </c>
      <c r="CB214" s="2"/>
      <c r="CC214" s="2" t="s">
        <v>162</v>
      </c>
      <c r="CD214" s="2">
        <v>6530</v>
      </c>
      <c r="CE214" s="2" t="s">
        <v>283</v>
      </c>
      <c r="CF214" s="5">
        <v>43032</v>
      </c>
      <c r="CG214" s="2"/>
      <c r="CH214" s="2"/>
      <c r="CI214" s="2">
        <v>1</v>
      </c>
      <c r="CJ214" s="2">
        <v>1</v>
      </c>
      <c r="CK214" s="2">
        <v>21</v>
      </c>
      <c r="CL214" s="2" t="s">
        <v>85</v>
      </c>
      <c r="CM214" s="2"/>
    </row>
    <row r="215" spans="1:91">
      <c r="A215" s="2" t="s">
        <v>71</v>
      </c>
      <c r="B215" s="2" t="s">
        <v>72</v>
      </c>
      <c r="C215" s="2" t="s">
        <v>73</v>
      </c>
      <c r="D215" s="2"/>
      <c r="E215" s="2" t="str">
        <f>"LCR000455"</f>
        <v>LCR000455</v>
      </c>
      <c r="F215" s="3">
        <v>43028</v>
      </c>
      <c r="G215" s="2">
        <v>201804</v>
      </c>
      <c r="H215" s="2" t="s">
        <v>74</v>
      </c>
      <c r="I215" s="2" t="s">
        <v>75</v>
      </c>
      <c r="J215" s="2" t="s">
        <v>76</v>
      </c>
      <c r="K215" s="2" t="s">
        <v>77</v>
      </c>
      <c r="L215" s="2" t="s">
        <v>982</v>
      </c>
      <c r="M215" s="2" t="s">
        <v>983</v>
      </c>
      <c r="N215" s="2" t="s">
        <v>984</v>
      </c>
      <c r="O215" s="2" t="s">
        <v>81</v>
      </c>
      <c r="P215" s="2" t="str">
        <f>"144763                        "</f>
        <v xml:space="preserve">144763       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7.44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1</v>
      </c>
      <c r="BI215" s="2">
        <v>2.9</v>
      </c>
      <c r="BJ215" s="2">
        <v>8.3000000000000007</v>
      </c>
      <c r="BK215" s="2">
        <v>9</v>
      </c>
      <c r="BL215" s="2">
        <v>67.44</v>
      </c>
      <c r="BM215" s="2">
        <v>9.44</v>
      </c>
      <c r="BN215" s="2">
        <v>76.88</v>
      </c>
      <c r="BO215" s="2">
        <v>76.88</v>
      </c>
      <c r="BP215" s="2"/>
      <c r="BQ215" s="2" t="s">
        <v>985</v>
      </c>
      <c r="BR215" s="2" t="s">
        <v>83</v>
      </c>
      <c r="BS215" s="3">
        <v>43031</v>
      </c>
      <c r="BT215" s="4">
        <v>0.33055555555555555</v>
      </c>
      <c r="BU215" s="2" t="s">
        <v>986</v>
      </c>
      <c r="BV215" s="2" t="s">
        <v>96</v>
      </c>
      <c r="BW215" s="2"/>
      <c r="BX215" s="2"/>
      <c r="BY215" s="2">
        <v>41410.46</v>
      </c>
      <c r="BZ215" s="2"/>
      <c r="CA215" s="2" t="s">
        <v>987</v>
      </c>
      <c r="CB215" s="2"/>
      <c r="CC215" s="2" t="s">
        <v>983</v>
      </c>
      <c r="CD215" s="2">
        <v>7210</v>
      </c>
      <c r="CE215" s="2" t="s">
        <v>134</v>
      </c>
      <c r="CF215" s="5">
        <v>43033</v>
      </c>
      <c r="CG215" s="2"/>
      <c r="CH215" s="2"/>
      <c r="CI215" s="2">
        <v>3</v>
      </c>
      <c r="CJ215" s="2">
        <v>1</v>
      </c>
      <c r="CK215" s="2" t="s">
        <v>187</v>
      </c>
      <c r="CL215" s="2" t="s">
        <v>85</v>
      </c>
      <c r="CM215" s="2"/>
    </row>
    <row r="216" spans="1:91">
      <c r="A216" s="2" t="s">
        <v>71</v>
      </c>
      <c r="B216" s="2" t="s">
        <v>72</v>
      </c>
      <c r="C216" s="2" t="s">
        <v>73</v>
      </c>
      <c r="D216" s="2"/>
      <c r="E216" s="2" t="str">
        <f>"LCR000454"</f>
        <v>LCR000454</v>
      </c>
      <c r="F216" s="3">
        <v>43028</v>
      </c>
      <c r="G216" s="2">
        <v>201804</v>
      </c>
      <c r="H216" s="2" t="s">
        <v>74</v>
      </c>
      <c r="I216" s="2" t="s">
        <v>75</v>
      </c>
      <c r="J216" s="2" t="s">
        <v>76</v>
      </c>
      <c r="K216" s="2" t="s">
        <v>77</v>
      </c>
      <c r="L216" s="2" t="s">
        <v>347</v>
      </c>
      <c r="M216" s="2" t="s">
        <v>348</v>
      </c>
      <c r="N216" s="2" t="s">
        <v>349</v>
      </c>
      <c r="O216" s="2" t="s">
        <v>81</v>
      </c>
      <c r="P216" s="2" t="str">
        <f>"144838                        "</f>
        <v xml:space="preserve">144838    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10.96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1</v>
      </c>
      <c r="BI216" s="2">
        <v>4.3</v>
      </c>
      <c r="BJ216" s="2">
        <v>10.7</v>
      </c>
      <c r="BK216" s="2">
        <v>11</v>
      </c>
      <c r="BL216" s="2">
        <v>96.96</v>
      </c>
      <c r="BM216" s="2">
        <v>13.57</v>
      </c>
      <c r="BN216" s="2">
        <v>110.53</v>
      </c>
      <c r="BO216" s="2">
        <v>110.53</v>
      </c>
      <c r="BP216" s="2"/>
      <c r="BQ216" s="2" t="s">
        <v>350</v>
      </c>
      <c r="BR216" s="2" t="s">
        <v>83</v>
      </c>
      <c r="BS216" s="3">
        <v>43031</v>
      </c>
      <c r="BT216" s="4">
        <v>0.43055555555555558</v>
      </c>
      <c r="BU216" s="2" t="s">
        <v>988</v>
      </c>
      <c r="BV216" s="2" t="s">
        <v>96</v>
      </c>
      <c r="BW216" s="2"/>
      <c r="BX216" s="2"/>
      <c r="BY216" s="2">
        <v>53538.96</v>
      </c>
      <c r="BZ216" s="2"/>
      <c r="CA216" s="2"/>
      <c r="CB216" s="2"/>
      <c r="CC216" s="2" t="s">
        <v>348</v>
      </c>
      <c r="CD216" s="2">
        <v>3867</v>
      </c>
      <c r="CE216" s="2" t="s">
        <v>244</v>
      </c>
      <c r="CF216" s="5">
        <v>43033</v>
      </c>
      <c r="CG216" s="2"/>
      <c r="CH216" s="2"/>
      <c r="CI216" s="2">
        <v>5</v>
      </c>
      <c r="CJ216" s="2">
        <v>1</v>
      </c>
      <c r="CK216" s="2" t="s">
        <v>174</v>
      </c>
      <c r="CL216" s="2" t="s">
        <v>85</v>
      </c>
      <c r="CM216" s="2"/>
    </row>
    <row r="217" spans="1:91">
      <c r="A217" s="2" t="s">
        <v>71</v>
      </c>
      <c r="B217" s="2" t="s">
        <v>72</v>
      </c>
      <c r="C217" s="2" t="s">
        <v>73</v>
      </c>
      <c r="D217" s="2"/>
      <c r="E217" s="2" t="str">
        <f>"LCR000453"</f>
        <v>LCR000453</v>
      </c>
      <c r="F217" s="3">
        <v>43028</v>
      </c>
      <c r="G217" s="2">
        <v>201804</v>
      </c>
      <c r="H217" s="2" t="s">
        <v>74</v>
      </c>
      <c r="I217" s="2" t="s">
        <v>75</v>
      </c>
      <c r="J217" s="2" t="s">
        <v>76</v>
      </c>
      <c r="K217" s="2" t="s">
        <v>77</v>
      </c>
      <c r="L217" s="2" t="s">
        <v>989</v>
      </c>
      <c r="M217" s="2" t="s">
        <v>990</v>
      </c>
      <c r="N217" s="2" t="s">
        <v>991</v>
      </c>
      <c r="O217" s="2" t="s">
        <v>81</v>
      </c>
      <c r="P217" s="2" t="str">
        <f>"144826                        "</f>
        <v xml:space="preserve">144826       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14.61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1</v>
      </c>
      <c r="BI217" s="2">
        <v>4.0999999999999996</v>
      </c>
      <c r="BJ217" s="2">
        <v>8.5</v>
      </c>
      <c r="BK217" s="2">
        <v>9</v>
      </c>
      <c r="BL217" s="2">
        <v>127.61</v>
      </c>
      <c r="BM217" s="2">
        <v>17.87</v>
      </c>
      <c r="BN217" s="2">
        <v>145.47999999999999</v>
      </c>
      <c r="BO217" s="2">
        <v>145.47999999999999</v>
      </c>
      <c r="BP217" s="2"/>
      <c r="BQ217" s="2" t="s">
        <v>992</v>
      </c>
      <c r="BR217" s="2" t="s">
        <v>83</v>
      </c>
      <c r="BS217" s="3">
        <v>43032</v>
      </c>
      <c r="BT217" s="4">
        <v>0.56597222222222221</v>
      </c>
      <c r="BU217" s="2" t="s">
        <v>993</v>
      </c>
      <c r="BV217" s="2" t="s">
        <v>96</v>
      </c>
      <c r="BW217" s="2"/>
      <c r="BX217" s="2"/>
      <c r="BY217" s="2">
        <v>42730.2</v>
      </c>
      <c r="BZ217" s="2"/>
      <c r="CA217" s="2" t="s">
        <v>994</v>
      </c>
      <c r="CB217" s="2"/>
      <c r="CC217" s="2" t="s">
        <v>990</v>
      </c>
      <c r="CD217" s="2">
        <v>9650</v>
      </c>
      <c r="CE217" s="2" t="s">
        <v>134</v>
      </c>
      <c r="CF217" s="5">
        <v>43034</v>
      </c>
      <c r="CG217" s="2"/>
      <c r="CH217" s="2"/>
      <c r="CI217" s="2">
        <v>2</v>
      </c>
      <c r="CJ217" s="2">
        <v>2</v>
      </c>
      <c r="CK217" s="2" t="s">
        <v>181</v>
      </c>
      <c r="CL217" s="2" t="s">
        <v>85</v>
      </c>
      <c r="CM217" s="2"/>
    </row>
    <row r="218" spans="1:91">
      <c r="A218" s="2" t="s">
        <v>71</v>
      </c>
      <c r="B218" s="2" t="s">
        <v>72</v>
      </c>
      <c r="C218" s="2" t="s">
        <v>73</v>
      </c>
      <c r="D218" s="2"/>
      <c r="E218" s="2" t="str">
        <f>"009935272418"</f>
        <v>009935272418</v>
      </c>
      <c r="F218" s="3">
        <v>43028</v>
      </c>
      <c r="G218" s="2">
        <v>201804</v>
      </c>
      <c r="H218" s="2" t="s">
        <v>284</v>
      </c>
      <c r="I218" s="2" t="s">
        <v>285</v>
      </c>
      <c r="J218" s="2" t="s">
        <v>439</v>
      </c>
      <c r="K218" s="2" t="s">
        <v>77</v>
      </c>
      <c r="L218" s="2" t="s">
        <v>149</v>
      </c>
      <c r="M218" s="2" t="s">
        <v>150</v>
      </c>
      <c r="N218" s="2" t="s">
        <v>463</v>
      </c>
      <c r="O218" s="2" t="s">
        <v>278</v>
      </c>
      <c r="P218" s="2" t="str">
        <f>"...                           "</f>
        <v xml:space="preserve">...         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4.33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1</v>
      </c>
      <c r="BI218" s="2">
        <v>0.5</v>
      </c>
      <c r="BJ218" s="2">
        <v>0.2</v>
      </c>
      <c r="BK218" s="2">
        <v>0.5</v>
      </c>
      <c r="BL218" s="2">
        <v>36.33</v>
      </c>
      <c r="BM218" s="2">
        <v>5.09</v>
      </c>
      <c r="BN218" s="2">
        <v>41.42</v>
      </c>
      <c r="BO218" s="2">
        <v>41.42</v>
      </c>
      <c r="BP218" s="2"/>
      <c r="BQ218" s="2" t="s">
        <v>995</v>
      </c>
      <c r="BR218" s="2" t="s">
        <v>996</v>
      </c>
      <c r="BS218" s="3">
        <v>43031</v>
      </c>
      <c r="BT218" s="4">
        <v>0.39097222222222222</v>
      </c>
      <c r="BU218" s="2" t="s">
        <v>997</v>
      </c>
      <c r="BV218" s="2" t="s">
        <v>96</v>
      </c>
      <c r="BW218" s="2"/>
      <c r="BX218" s="2"/>
      <c r="BY218" s="2">
        <v>1200</v>
      </c>
      <c r="BZ218" s="2" t="s">
        <v>27</v>
      </c>
      <c r="CA218" s="2" t="s">
        <v>282</v>
      </c>
      <c r="CB218" s="2"/>
      <c r="CC218" s="2" t="s">
        <v>150</v>
      </c>
      <c r="CD218" s="2">
        <v>8000</v>
      </c>
      <c r="CE218" s="2" t="s">
        <v>283</v>
      </c>
      <c r="CF218" s="5">
        <v>43032</v>
      </c>
      <c r="CG218" s="2"/>
      <c r="CH218" s="2"/>
      <c r="CI218" s="2">
        <v>1</v>
      </c>
      <c r="CJ218" s="2">
        <v>1</v>
      </c>
      <c r="CK218" s="2">
        <v>21</v>
      </c>
      <c r="CL218" s="2" t="s">
        <v>85</v>
      </c>
      <c r="CM218" s="2"/>
    </row>
    <row r="219" spans="1:91">
      <c r="A219" s="2" t="s">
        <v>71</v>
      </c>
      <c r="B219" s="2" t="s">
        <v>72</v>
      </c>
      <c r="C219" s="2" t="s">
        <v>73</v>
      </c>
      <c r="D219" s="2"/>
      <c r="E219" s="2" t="str">
        <f>"009935272417"</f>
        <v>009935272417</v>
      </c>
      <c r="F219" s="3">
        <v>43028</v>
      </c>
      <c r="G219" s="2">
        <v>201804</v>
      </c>
      <c r="H219" s="2" t="s">
        <v>284</v>
      </c>
      <c r="I219" s="2" t="s">
        <v>285</v>
      </c>
      <c r="J219" s="2" t="s">
        <v>439</v>
      </c>
      <c r="K219" s="2" t="s">
        <v>77</v>
      </c>
      <c r="L219" s="2" t="s">
        <v>135</v>
      </c>
      <c r="M219" s="2" t="s">
        <v>136</v>
      </c>
      <c r="N219" s="2" t="s">
        <v>998</v>
      </c>
      <c r="O219" s="2" t="s">
        <v>278</v>
      </c>
      <c r="P219" s="2" t="str">
        <f>"...                           "</f>
        <v xml:space="preserve">...         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8.66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1</v>
      </c>
      <c r="BI219" s="2">
        <v>1.5</v>
      </c>
      <c r="BJ219" s="2">
        <v>3.7</v>
      </c>
      <c r="BK219" s="2">
        <v>4</v>
      </c>
      <c r="BL219" s="2">
        <v>72.66</v>
      </c>
      <c r="BM219" s="2">
        <v>10.17</v>
      </c>
      <c r="BN219" s="2">
        <v>82.83</v>
      </c>
      <c r="BO219" s="2">
        <v>82.83</v>
      </c>
      <c r="BP219" s="2"/>
      <c r="BQ219" s="2" t="s">
        <v>999</v>
      </c>
      <c r="BR219" s="2" t="s">
        <v>996</v>
      </c>
      <c r="BS219" s="3">
        <v>43031</v>
      </c>
      <c r="BT219" s="4">
        <v>0.40902777777777777</v>
      </c>
      <c r="BU219" s="2" t="s">
        <v>1000</v>
      </c>
      <c r="BV219" s="2" t="s">
        <v>96</v>
      </c>
      <c r="BW219" s="2"/>
      <c r="BX219" s="2"/>
      <c r="BY219" s="2">
        <v>18487.89</v>
      </c>
      <c r="BZ219" s="2" t="s">
        <v>27</v>
      </c>
      <c r="CA219" s="2" t="s">
        <v>1001</v>
      </c>
      <c r="CB219" s="2"/>
      <c r="CC219" s="2" t="s">
        <v>136</v>
      </c>
      <c r="CD219" s="2">
        <v>3610</v>
      </c>
      <c r="CE219" s="2" t="s">
        <v>283</v>
      </c>
      <c r="CF219" s="5">
        <v>43032</v>
      </c>
      <c r="CG219" s="2"/>
      <c r="CH219" s="2"/>
      <c r="CI219" s="2">
        <v>1</v>
      </c>
      <c r="CJ219" s="2">
        <v>1</v>
      </c>
      <c r="CK219" s="2">
        <v>21</v>
      </c>
      <c r="CL219" s="2" t="s">
        <v>85</v>
      </c>
      <c r="CM219" s="2"/>
    </row>
    <row r="220" spans="1:91">
      <c r="A220" s="2" t="s">
        <v>71</v>
      </c>
      <c r="B220" s="2" t="s">
        <v>72</v>
      </c>
      <c r="C220" s="2" t="s">
        <v>73</v>
      </c>
      <c r="D220" s="2"/>
      <c r="E220" s="2" t="str">
        <f>"039902652231"</f>
        <v>039902652231</v>
      </c>
      <c r="F220" s="3">
        <v>43028</v>
      </c>
      <c r="G220" s="2">
        <v>201804</v>
      </c>
      <c r="H220" s="2" t="s">
        <v>122</v>
      </c>
      <c r="I220" s="2" t="s">
        <v>123</v>
      </c>
      <c r="J220" s="2" t="s">
        <v>276</v>
      </c>
      <c r="K220" s="2" t="s">
        <v>77</v>
      </c>
      <c r="L220" s="2" t="s">
        <v>1002</v>
      </c>
      <c r="M220" s="2" t="s">
        <v>1003</v>
      </c>
      <c r="N220" s="2" t="s">
        <v>711</v>
      </c>
      <c r="O220" s="2" t="s">
        <v>278</v>
      </c>
      <c r="P220" s="2" t="str">
        <f>"11912270 FM                   "</f>
        <v xml:space="preserve">11912270 FM    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8.39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1</v>
      </c>
      <c r="BI220" s="2">
        <v>2</v>
      </c>
      <c r="BJ220" s="2">
        <v>0.5</v>
      </c>
      <c r="BK220" s="2">
        <v>2</v>
      </c>
      <c r="BL220" s="2">
        <v>70.39</v>
      </c>
      <c r="BM220" s="2">
        <v>9.85</v>
      </c>
      <c r="BN220" s="2">
        <v>80.239999999999995</v>
      </c>
      <c r="BO220" s="2">
        <v>80.239999999999995</v>
      </c>
      <c r="BP220" s="2"/>
      <c r="BQ220" s="2" t="s">
        <v>1004</v>
      </c>
      <c r="BR220" s="2" t="s">
        <v>633</v>
      </c>
      <c r="BS220" s="1" t="s">
        <v>972</v>
      </c>
      <c r="BT220" s="2"/>
      <c r="BU220" s="2"/>
      <c r="BV220" s="2"/>
      <c r="BW220" s="2"/>
      <c r="BX220" s="2"/>
      <c r="BY220" s="2">
        <v>2400</v>
      </c>
      <c r="BZ220" s="2" t="s">
        <v>27</v>
      </c>
      <c r="CA220" s="2"/>
      <c r="CB220" s="2"/>
      <c r="CC220" s="2" t="s">
        <v>1003</v>
      </c>
      <c r="CD220" s="2">
        <v>5320</v>
      </c>
      <c r="CE220" s="2" t="s">
        <v>283</v>
      </c>
      <c r="CF220" s="2"/>
      <c r="CG220" s="2"/>
      <c r="CH220" s="2"/>
      <c r="CI220" s="2">
        <v>4</v>
      </c>
      <c r="CJ220" s="2" t="s">
        <v>972</v>
      </c>
      <c r="CK220" s="2">
        <v>23</v>
      </c>
      <c r="CL220" s="2" t="s">
        <v>85</v>
      </c>
      <c r="CM220" s="2"/>
    </row>
    <row r="221" spans="1:91">
      <c r="A221" s="2" t="s">
        <v>275</v>
      </c>
      <c r="B221" s="2" t="s">
        <v>72</v>
      </c>
      <c r="C221" s="2" t="s">
        <v>73</v>
      </c>
      <c r="D221" s="2"/>
      <c r="E221" s="2" t="str">
        <f>"089901384285"</f>
        <v>089901384285</v>
      </c>
      <c r="F221" s="3">
        <v>43031</v>
      </c>
      <c r="G221" s="2">
        <v>201804</v>
      </c>
      <c r="H221" s="2" t="s">
        <v>155</v>
      </c>
      <c r="I221" s="2" t="s">
        <v>156</v>
      </c>
      <c r="J221" s="2" t="s">
        <v>621</v>
      </c>
      <c r="K221" s="2" t="s">
        <v>77</v>
      </c>
      <c r="L221" s="2" t="s">
        <v>105</v>
      </c>
      <c r="M221" s="2" t="s">
        <v>106</v>
      </c>
      <c r="N221" s="2" t="s">
        <v>622</v>
      </c>
      <c r="O221" s="2" t="s">
        <v>278</v>
      </c>
      <c r="P221" s="2" t="str">
        <f>"                              "</f>
        <v xml:space="preserve">          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4.33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1</v>
      </c>
      <c r="BI221" s="2">
        <v>1</v>
      </c>
      <c r="BJ221" s="2">
        <v>0.2</v>
      </c>
      <c r="BK221" s="2">
        <v>1</v>
      </c>
      <c r="BL221" s="2">
        <v>36.33</v>
      </c>
      <c r="BM221" s="2">
        <v>5.09</v>
      </c>
      <c r="BN221" s="2">
        <v>41.42</v>
      </c>
      <c r="BO221" s="2">
        <v>41.42</v>
      </c>
      <c r="BP221" s="2"/>
      <c r="BQ221" s="2" t="s">
        <v>413</v>
      </c>
      <c r="BR221" s="2" t="s">
        <v>1005</v>
      </c>
      <c r="BS221" s="3">
        <v>43032</v>
      </c>
      <c r="BT221" s="4">
        <v>0.31944444444444448</v>
      </c>
      <c r="BU221" s="2" t="s">
        <v>625</v>
      </c>
      <c r="BV221" s="2" t="s">
        <v>96</v>
      </c>
      <c r="BW221" s="2"/>
      <c r="BX221" s="2"/>
      <c r="BY221" s="2">
        <v>1200</v>
      </c>
      <c r="BZ221" s="2" t="s">
        <v>27</v>
      </c>
      <c r="CA221" s="2" t="s">
        <v>900</v>
      </c>
      <c r="CB221" s="2"/>
      <c r="CC221" s="2" t="s">
        <v>106</v>
      </c>
      <c r="CD221" s="2">
        <v>2000</v>
      </c>
      <c r="CE221" s="2" t="s">
        <v>283</v>
      </c>
      <c r="CF221" s="5">
        <v>43033</v>
      </c>
      <c r="CG221" s="2"/>
      <c r="CH221" s="2"/>
      <c r="CI221" s="2">
        <v>1</v>
      </c>
      <c r="CJ221" s="2">
        <v>1</v>
      </c>
      <c r="CK221" s="2">
        <v>21</v>
      </c>
      <c r="CL221" s="2" t="s">
        <v>85</v>
      </c>
      <c r="CM221" s="2"/>
    </row>
    <row r="222" spans="1:91">
      <c r="A222" s="2" t="s">
        <v>71</v>
      </c>
      <c r="B222" s="2" t="s">
        <v>72</v>
      </c>
      <c r="C222" s="2" t="s">
        <v>73</v>
      </c>
      <c r="D222" s="2"/>
      <c r="E222" s="2" t="str">
        <f>"LCR000456"</f>
        <v>LCR000456</v>
      </c>
      <c r="F222" s="3">
        <v>43031</v>
      </c>
      <c r="G222" s="2">
        <v>201804</v>
      </c>
      <c r="H222" s="2" t="s">
        <v>74</v>
      </c>
      <c r="I222" s="2" t="s">
        <v>75</v>
      </c>
      <c r="J222" s="2" t="s">
        <v>76</v>
      </c>
      <c r="K222" s="2" t="s">
        <v>77</v>
      </c>
      <c r="L222" s="2" t="s">
        <v>966</v>
      </c>
      <c r="M222" s="2" t="s">
        <v>967</v>
      </c>
      <c r="N222" s="2" t="s">
        <v>1006</v>
      </c>
      <c r="O222" s="2" t="s">
        <v>81</v>
      </c>
      <c r="P222" s="2" t="str">
        <f>"144788                        "</f>
        <v xml:space="preserve">144788    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9.1300000000000008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1</v>
      </c>
      <c r="BI222" s="2">
        <v>2.6</v>
      </c>
      <c r="BJ222" s="2">
        <v>8.9</v>
      </c>
      <c r="BK222" s="2">
        <v>9</v>
      </c>
      <c r="BL222" s="2">
        <v>81.63</v>
      </c>
      <c r="BM222" s="2">
        <v>11.43</v>
      </c>
      <c r="BN222" s="2">
        <v>93.06</v>
      </c>
      <c r="BO222" s="2">
        <v>93.06</v>
      </c>
      <c r="BP222" s="2"/>
      <c r="BQ222" s="2" t="s">
        <v>1007</v>
      </c>
      <c r="BR222" s="2" t="s">
        <v>83</v>
      </c>
      <c r="BS222" s="3">
        <v>43033</v>
      </c>
      <c r="BT222" s="4">
        <v>0.65208333333333335</v>
      </c>
      <c r="BU222" s="2" t="s">
        <v>1008</v>
      </c>
      <c r="BV222" s="2" t="s">
        <v>96</v>
      </c>
      <c r="BW222" s="2"/>
      <c r="BX222" s="2"/>
      <c r="BY222" s="2">
        <v>44455.28</v>
      </c>
      <c r="BZ222" s="2"/>
      <c r="CA222" s="2" t="s">
        <v>1009</v>
      </c>
      <c r="CB222" s="2"/>
      <c r="CC222" s="2" t="s">
        <v>967</v>
      </c>
      <c r="CD222" s="2">
        <v>1401</v>
      </c>
      <c r="CE222" s="2" t="s">
        <v>134</v>
      </c>
      <c r="CF222" s="5">
        <v>43035</v>
      </c>
      <c r="CG222" s="2"/>
      <c r="CH222" s="2"/>
      <c r="CI222" s="2">
        <v>2</v>
      </c>
      <c r="CJ222" s="2">
        <v>2</v>
      </c>
      <c r="CK222" s="2" t="s">
        <v>90</v>
      </c>
      <c r="CL222" s="2" t="s">
        <v>85</v>
      </c>
      <c r="CM222" s="2"/>
    </row>
    <row r="223" spans="1:91">
      <c r="A223" s="2" t="s">
        <v>71</v>
      </c>
      <c r="B223" s="2" t="s">
        <v>72</v>
      </c>
      <c r="C223" s="2" t="s">
        <v>73</v>
      </c>
      <c r="D223" s="2"/>
      <c r="E223" s="2" t="str">
        <f>"009936670385"</f>
        <v>009936670385</v>
      </c>
      <c r="F223" s="3">
        <v>43031</v>
      </c>
      <c r="G223" s="2">
        <v>201804</v>
      </c>
      <c r="H223" s="2" t="s">
        <v>105</v>
      </c>
      <c r="I223" s="2" t="s">
        <v>106</v>
      </c>
      <c r="J223" s="2" t="s">
        <v>286</v>
      </c>
      <c r="K223" s="2" t="s">
        <v>77</v>
      </c>
      <c r="L223" s="2" t="s">
        <v>149</v>
      </c>
      <c r="M223" s="2" t="s">
        <v>150</v>
      </c>
      <c r="N223" s="2" t="s">
        <v>1010</v>
      </c>
      <c r="O223" s="2" t="s">
        <v>278</v>
      </c>
      <c r="P223" s="2" t="str">
        <f>"                              "</f>
        <v xml:space="preserve">             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38.97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1</v>
      </c>
      <c r="BI223" s="2">
        <v>8.9</v>
      </c>
      <c r="BJ223" s="2">
        <v>17.899999999999999</v>
      </c>
      <c r="BK223" s="2">
        <v>18</v>
      </c>
      <c r="BL223" s="2">
        <v>326.97000000000003</v>
      </c>
      <c r="BM223" s="2">
        <v>45.78</v>
      </c>
      <c r="BN223" s="2">
        <v>372.75</v>
      </c>
      <c r="BO223" s="2">
        <v>372.75</v>
      </c>
      <c r="BP223" s="2"/>
      <c r="BQ223" s="2" t="s">
        <v>1011</v>
      </c>
      <c r="BR223" s="2" t="s">
        <v>1012</v>
      </c>
      <c r="BS223" s="3">
        <v>43032</v>
      </c>
      <c r="BT223" s="4">
        <v>0.51388888888888895</v>
      </c>
      <c r="BU223" s="2" t="s">
        <v>1013</v>
      </c>
      <c r="BV223" s="2" t="s">
        <v>85</v>
      </c>
      <c r="BW223" s="2" t="s">
        <v>86</v>
      </c>
      <c r="BX223" s="2" t="s">
        <v>1014</v>
      </c>
      <c r="BY223" s="2">
        <v>89486.46</v>
      </c>
      <c r="BZ223" s="2" t="s">
        <v>27</v>
      </c>
      <c r="CA223" s="2" t="s">
        <v>1015</v>
      </c>
      <c r="CB223" s="2"/>
      <c r="CC223" s="2" t="s">
        <v>150</v>
      </c>
      <c r="CD223" s="2">
        <v>7800</v>
      </c>
      <c r="CE223" s="2" t="s">
        <v>283</v>
      </c>
      <c r="CF223" s="5">
        <v>43033</v>
      </c>
      <c r="CG223" s="2"/>
      <c r="CH223" s="2"/>
      <c r="CI223" s="2">
        <v>1</v>
      </c>
      <c r="CJ223" s="2">
        <v>1</v>
      </c>
      <c r="CK223" s="2">
        <v>21</v>
      </c>
      <c r="CL223" s="2" t="s">
        <v>85</v>
      </c>
      <c r="CM223" s="2"/>
    </row>
    <row r="224" spans="1:91">
      <c r="A224" s="2" t="s">
        <v>71</v>
      </c>
      <c r="B224" s="2" t="s">
        <v>72</v>
      </c>
      <c r="C224" s="2" t="s">
        <v>73</v>
      </c>
      <c r="D224" s="2"/>
      <c r="E224" s="2" t="str">
        <f>"LCR000458"</f>
        <v>LCR000458</v>
      </c>
      <c r="F224" s="3">
        <v>43032</v>
      </c>
      <c r="G224" s="2">
        <v>201804</v>
      </c>
      <c r="H224" s="2" t="s">
        <v>74</v>
      </c>
      <c r="I224" s="2" t="s">
        <v>75</v>
      </c>
      <c r="J224" s="2" t="s">
        <v>76</v>
      </c>
      <c r="K224" s="2" t="s">
        <v>77</v>
      </c>
      <c r="L224" s="2" t="s">
        <v>228</v>
      </c>
      <c r="M224" s="2" t="s">
        <v>229</v>
      </c>
      <c r="N224" s="2" t="s">
        <v>1016</v>
      </c>
      <c r="O224" s="2" t="s">
        <v>81</v>
      </c>
      <c r="P224" s="2" t="str">
        <f>"144953                        "</f>
        <v xml:space="preserve">144953    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6.09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1</v>
      </c>
      <c r="BI224" s="2">
        <v>4.4000000000000004</v>
      </c>
      <c r="BJ224" s="2">
        <v>3.8</v>
      </c>
      <c r="BK224" s="2">
        <v>5</v>
      </c>
      <c r="BL224" s="2">
        <v>56.09</v>
      </c>
      <c r="BM224" s="2">
        <v>7.85</v>
      </c>
      <c r="BN224" s="2">
        <v>63.94</v>
      </c>
      <c r="BO224" s="2">
        <v>63.94</v>
      </c>
      <c r="BP224" s="2"/>
      <c r="BQ224" s="2" t="s">
        <v>1017</v>
      </c>
      <c r="BR224" s="2" t="s">
        <v>83</v>
      </c>
      <c r="BS224" s="3">
        <v>43034</v>
      </c>
      <c r="BT224" s="4">
        <v>0.5625</v>
      </c>
      <c r="BU224" s="2" t="s">
        <v>1018</v>
      </c>
      <c r="BV224" s="2" t="s">
        <v>85</v>
      </c>
      <c r="BW224" s="2" t="s">
        <v>86</v>
      </c>
      <c r="BX224" s="2" t="s">
        <v>1019</v>
      </c>
      <c r="BY224" s="2">
        <v>19226.48</v>
      </c>
      <c r="BZ224" s="2"/>
      <c r="CA224" s="2"/>
      <c r="CB224" s="2"/>
      <c r="CC224" s="2" t="s">
        <v>229</v>
      </c>
      <c r="CD224" s="2">
        <v>6571</v>
      </c>
      <c r="CE224" s="2" t="s">
        <v>89</v>
      </c>
      <c r="CF224" s="5">
        <v>43035</v>
      </c>
      <c r="CG224" s="2"/>
      <c r="CH224" s="2"/>
      <c r="CI224" s="2">
        <v>1</v>
      </c>
      <c r="CJ224" s="2">
        <v>2</v>
      </c>
      <c r="CK224" s="2" t="s">
        <v>233</v>
      </c>
      <c r="CL224" s="2" t="s">
        <v>85</v>
      </c>
      <c r="CM224" s="2"/>
    </row>
    <row r="225" spans="1:91">
      <c r="A225" s="2" t="s">
        <v>71</v>
      </c>
      <c r="B225" s="2" t="s">
        <v>72</v>
      </c>
      <c r="C225" s="2" t="s">
        <v>73</v>
      </c>
      <c r="D225" s="2"/>
      <c r="E225" s="2" t="str">
        <f>"LCR000457"</f>
        <v>LCR000457</v>
      </c>
      <c r="F225" s="3">
        <v>43032</v>
      </c>
      <c r="G225" s="2">
        <v>201804</v>
      </c>
      <c r="H225" s="2" t="s">
        <v>74</v>
      </c>
      <c r="I225" s="2" t="s">
        <v>75</v>
      </c>
      <c r="J225" s="2" t="s">
        <v>76</v>
      </c>
      <c r="K225" s="2" t="s">
        <v>77</v>
      </c>
      <c r="L225" s="2" t="s">
        <v>1020</v>
      </c>
      <c r="M225" s="2" t="s">
        <v>1021</v>
      </c>
      <c r="N225" s="2" t="s">
        <v>1022</v>
      </c>
      <c r="O225" s="2" t="s">
        <v>293</v>
      </c>
      <c r="P225" s="2" t="str">
        <f>"144924                        "</f>
        <v xml:space="preserve">144924    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8.39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1</v>
      </c>
      <c r="BI225" s="2">
        <v>2</v>
      </c>
      <c r="BJ225" s="2">
        <v>1.9</v>
      </c>
      <c r="BK225" s="2">
        <v>2</v>
      </c>
      <c r="BL225" s="2">
        <v>70.39</v>
      </c>
      <c r="BM225" s="2">
        <v>9.85</v>
      </c>
      <c r="BN225" s="2">
        <v>80.239999999999995</v>
      </c>
      <c r="BO225" s="2">
        <v>80.239999999999995</v>
      </c>
      <c r="BP225" s="2"/>
      <c r="BQ225" s="2" t="s">
        <v>1023</v>
      </c>
      <c r="BR225" s="2" t="s">
        <v>83</v>
      </c>
      <c r="BS225" s="3">
        <v>43034</v>
      </c>
      <c r="BT225" s="4">
        <v>0.65347222222222223</v>
      </c>
      <c r="BU225" s="2" t="s">
        <v>1024</v>
      </c>
      <c r="BV225" s="2" t="s">
        <v>85</v>
      </c>
      <c r="BW225" s="2"/>
      <c r="BX225" s="2"/>
      <c r="BY225" s="2">
        <v>9277.3799999999992</v>
      </c>
      <c r="BZ225" s="2"/>
      <c r="CA225" s="2" t="s">
        <v>1025</v>
      </c>
      <c r="CB225" s="2"/>
      <c r="CC225" s="2" t="s">
        <v>1021</v>
      </c>
      <c r="CD225" s="2">
        <v>1120</v>
      </c>
      <c r="CE225" s="2" t="s">
        <v>939</v>
      </c>
      <c r="CF225" s="5">
        <v>43035</v>
      </c>
      <c r="CG225" s="2"/>
      <c r="CH225" s="2"/>
      <c r="CI225" s="2">
        <v>1</v>
      </c>
      <c r="CJ225" s="2">
        <v>2</v>
      </c>
      <c r="CK225" s="2">
        <v>33</v>
      </c>
      <c r="CL225" s="2" t="s">
        <v>85</v>
      </c>
      <c r="CM225" s="2"/>
    </row>
    <row r="226" spans="1:91">
      <c r="A226" s="2" t="s">
        <v>71</v>
      </c>
      <c r="B226" s="2" t="s">
        <v>72</v>
      </c>
      <c r="C226" s="2" t="s">
        <v>73</v>
      </c>
      <c r="D226" s="2"/>
      <c r="E226" s="2" t="str">
        <f>"LCR000459"</f>
        <v>LCR000459</v>
      </c>
      <c r="F226" s="3">
        <v>43033</v>
      </c>
      <c r="G226" s="2">
        <v>201804</v>
      </c>
      <c r="H226" s="2" t="s">
        <v>74</v>
      </c>
      <c r="I226" s="2" t="s">
        <v>75</v>
      </c>
      <c r="J226" s="2" t="s">
        <v>76</v>
      </c>
      <c r="K226" s="2" t="s">
        <v>77</v>
      </c>
      <c r="L226" s="2" t="s">
        <v>1026</v>
      </c>
      <c r="M226" s="2" t="s">
        <v>1027</v>
      </c>
      <c r="N226" s="2" t="s">
        <v>1028</v>
      </c>
      <c r="O226" s="2" t="s">
        <v>81</v>
      </c>
      <c r="P226" s="2" t="str">
        <f>"144984                        "</f>
        <v xml:space="preserve">144984    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9.1300000000000008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1</v>
      </c>
      <c r="BI226" s="2">
        <v>6.2</v>
      </c>
      <c r="BJ226" s="2">
        <v>12.3</v>
      </c>
      <c r="BK226" s="2">
        <v>13</v>
      </c>
      <c r="BL226" s="2">
        <v>81.63</v>
      </c>
      <c r="BM226" s="2">
        <v>11.43</v>
      </c>
      <c r="BN226" s="2">
        <v>93.06</v>
      </c>
      <c r="BO226" s="2">
        <v>93.06</v>
      </c>
      <c r="BP226" s="2"/>
      <c r="BQ226" s="2" t="s">
        <v>1029</v>
      </c>
      <c r="BR226" s="2" t="s">
        <v>83</v>
      </c>
      <c r="BS226" s="3">
        <v>43035</v>
      </c>
      <c r="BT226" s="4">
        <v>0.89513888888888893</v>
      </c>
      <c r="BU226" s="2" t="s">
        <v>1030</v>
      </c>
      <c r="BV226" s="2" t="s">
        <v>85</v>
      </c>
      <c r="BW226" s="2"/>
      <c r="BX226" s="2"/>
      <c r="BY226" s="2">
        <v>61509</v>
      </c>
      <c r="BZ226" s="2"/>
      <c r="CA226" s="2" t="s">
        <v>1031</v>
      </c>
      <c r="CB226" s="2"/>
      <c r="CC226" s="2" t="s">
        <v>1027</v>
      </c>
      <c r="CD226" s="2">
        <v>1559</v>
      </c>
      <c r="CE226" s="2" t="s">
        <v>244</v>
      </c>
      <c r="CF226" s="5">
        <v>43038</v>
      </c>
      <c r="CG226" s="2"/>
      <c r="CH226" s="2"/>
      <c r="CI226" s="2">
        <v>2</v>
      </c>
      <c r="CJ226" s="2">
        <v>2</v>
      </c>
      <c r="CK226" s="2" t="s">
        <v>90</v>
      </c>
      <c r="CL226" s="2" t="s">
        <v>85</v>
      </c>
      <c r="CM226" s="2"/>
    </row>
    <row r="227" spans="1:91">
      <c r="A227" s="2" t="s">
        <v>71</v>
      </c>
      <c r="B227" s="2" t="s">
        <v>72</v>
      </c>
      <c r="C227" s="2" t="s">
        <v>73</v>
      </c>
      <c r="D227" s="2"/>
      <c r="E227" s="2" t="str">
        <f>"039902652234"</f>
        <v>039902652234</v>
      </c>
      <c r="F227" s="3">
        <v>43033</v>
      </c>
      <c r="G227" s="2">
        <v>201804</v>
      </c>
      <c r="H227" s="2" t="s">
        <v>122</v>
      </c>
      <c r="I227" s="2" t="s">
        <v>123</v>
      </c>
      <c r="J227" s="2" t="s">
        <v>276</v>
      </c>
      <c r="K227" s="2" t="s">
        <v>77</v>
      </c>
      <c r="L227" s="2" t="s">
        <v>116</v>
      </c>
      <c r="M227" s="2" t="s">
        <v>117</v>
      </c>
      <c r="N227" s="2" t="s">
        <v>1032</v>
      </c>
      <c r="O227" s="2" t="s">
        <v>278</v>
      </c>
      <c r="P227" s="2" t="str">
        <f>"11912270 FM                   "</f>
        <v xml:space="preserve">11912270 FM  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4.33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1</v>
      </c>
      <c r="BI227" s="2">
        <v>1</v>
      </c>
      <c r="BJ227" s="2">
        <v>0.2</v>
      </c>
      <c r="BK227" s="2">
        <v>1</v>
      </c>
      <c r="BL227" s="2">
        <v>36.33</v>
      </c>
      <c r="BM227" s="2">
        <v>5.09</v>
      </c>
      <c r="BN227" s="2">
        <v>41.42</v>
      </c>
      <c r="BO227" s="2">
        <v>41.42</v>
      </c>
      <c r="BP227" s="2"/>
      <c r="BQ227" s="2" t="s">
        <v>1033</v>
      </c>
      <c r="BR227" s="2" t="s">
        <v>633</v>
      </c>
      <c r="BS227" s="3">
        <v>43034</v>
      </c>
      <c r="BT227" s="4">
        <v>0.46527777777777773</v>
      </c>
      <c r="BU227" s="2" t="s">
        <v>1034</v>
      </c>
      <c r="BV227" s="2" t="s">
        <v>85</v>
      </c>
      <c r="BW227" s="2" t="s">
        <v>219</v>
      </c>
      <c r="BX227" s="2" t="s">
        <v>527</v>
      </c>
      <c r="BY227" s="2">
        <v>1200</v>
      </c>
      <c r="BZ227" s="2" t="s">
        <v>27</v>
      </c>
      <c r="CA227" s="2" t="s">
        <v>1035</v>
      </c>
      <c r="CB227" s="2"/>
      <c r="CC227" s="2" t="s">
        <v>117</v>
      </c>
      <c r="CD227" s="2">
        <v>140</v>
      </c>
      <c r="CE227" s="2" t="s">
        <v>283</v>
      </c>
      <c r="CF227" s="5">
        <v>43034</v>
      </c>
      <c r="CG227" s="2"/>
      <c r="CH227" s="2"/>
      <c r="CI227" s="2">
        <v>1</v>
      </c>
      <c r="CJ227" s="2">
        <v>1</v>
      </c>
      <c r="CK227" s="2">
        <v>21</v>
      </c>
      <c r="CL227" s="2" t="s">
        <v>85</v>
      </c>
      <c r="CM227" s="2"/>
    </row>
    <row r="228" spans="1:91">
      <c r="A228" s="2" t="s">
        <v>71</v>
      </c>
      <c r="B228" s="2" t="s">
        <v>72</v>
      </c>
      <c r="C228" s="2" t="s">
        <v>73</v>
      </c>
      <c r="D228" s="2"/>
      <c r="E228" s="2" t="str">
        <f>"029907801053"</f>
        <v>029907801053</v>
      </c>
      <c r="F228" s="3">
        <v>43033</v>
      </c>
      <c r="G228" s="2">
        <v>201804</v>
      </c>
      <c r="H228" s="2" t="s">
        <v>234</v>
      </c>
      <c r="I228" s="2" t="s">
        <v>235</v>
      </c>
      <c r="J228" s="2" t="s">
        <v>276</v>
      </c>
      <c r="K228" s="2" t="s">
        <v>77</v>
      </c>
      <c r="L228" s="2" t="s">
        <v>122</v>
      </c>
      <c r="M228" s="2" t="s">
        <v>123</v>
      </c>
      <c r="N228" s="2" t="s">
        <v>462</v>
      </c>
      <c r="O228" s="2" t="s">
        <v>278</v>
      </c>
      <c r="P228" s="2" t="str">
        <f>"119 122 70FM                  "</f>
        <v xml:space="preserve">119 122 70FM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51.96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1</v>
      </c>
      <c r="BI228" s="2">
        <v>24</v>
      </c>
      <c r="BJ228" s="2">
        <v>5</v>
      </c>
      <c r="BK228" s="2">
        <v>24</v>
      </c>
      <c r="BL228" s="2">
        <v>435.96</v>
      </c>
      <c r="BM228" s="2">
        <v>61.03</v>
      </c>
      <c r="BN228" s="2">
        <v>496.99</v>
      </c>
      <c r="BO228" s="2">
        <v>496.99</v>
      </c>
      <c r="BP228" s="2"/>
      <c r="BQ228" s="2" t="s">
        <v>926</v>
      </c>
      <c r="BR228" s="2" t="s">
        <v>1036</v>
      </c>
      <c r="BS228" s="3">
        <v>43034</v>
      </c>
      <c r="BT228" s="4">
        <v>0.3444444444444445</v>
      </c>
      <c r="BU228" s="2" t="s">
        <v>455</v>
      </c>
      <c r="BV228" s="2" t="s">
        <v>96</v>
      </c>
      <c r="BW228" s="2"/>
      <c r="BX228" s="2"/>
      <c r="BY228" s="2">
        <v>25200</v>
      </c>
      <c r="BZ228" s="2" t="s">
        <v>27</v>
      </c>
      <c r="CA228" s="2" t="s">
        <v>788</v>
      </c>
      <c r="CB228" s="2"/>
      <c r="CC228" s="2" t="s">
        <v>123</v>
      </c>
      <c r="CD228" s="2">
        <v>6000</v>
      </c>
      <c r="CE228" s="2" t="s">
        <v>283</v>
      </c>
      <c r="CF228" s="5">
        <v>43038</v>
      </c>
      <c r="CG228" s="2"/>
      <c r="CH228" s="2"/>
      <c r="CI228" s="2">
        <v>1</v>
      </c>
      <c r="CJ228" s="2">
        <v>1</v>
      </c>
      <c r="CK228" s="2">
        <v>21</v>
      </c>
      <c r="CL228" s="2" t="s">
        <v>85</v>
      </c>
      <c r="CM228" s="2"/>
    </row>
    <row r="229" spans="1:91">
      <c r="A229" s="2" t="s">
        <v>71</v>
      </c>
      <c r="B229" s="2" t="s">
        <v>72</v>
      </c>
      <c r="C229" s="2" t="s">
        <v>73</v>
      </c>
      <c r="D229" s="2"/>
      <c r="E229" s="2" t="str">
        <f>"009936176259"</f>
        <v>009936176259</v>
      </c>
      <c r="F229" s="3">
        <v>43026</v>
      </c>
      <c r="G229" s="2">
        <v>201804</v>
      </c>
      <c r="H229" s="2" t="s">
        <v>105</v>
      </c>
      <c r="I229" s="2" t="s">
        <v>106</v>
      </c>
      <c r="J229" s="2" t="s">
        <v>711</v>
      </c>
      <c r="K229" s="2" t="s">
        <v>77</v>
      </c>
      <c r="L229" s="2" t="s">
        <v>234</v>
      </c>
      <c r="M229" s="2" t="s">
        <v>235</v>
      </c>
      <c r="N229" s="2" t="s">
        <v>850</v>
      </c>
      <c r="O229" s="2" t="s">
        <v>81</v>
      </c>
      <c r="P229" s="2" t="str">
        <f>"11012514DI                    "</f>
        <v xml:space="preserve">11012514DI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72.930000000000007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9</v>
      </c>
      <c r="BI229" s="2">
        <v>52</v>
      </c>
      <c r="BJ229" s="2">
        <v>274.3</v>
      </c>
      <c r="BK229" s="2">
        <v>275</v>
      </c>
      <c r="BL229" s="2">
        <v>616.92999999999995</v>
      </c>
      <c r="BM229" s="2">
        <v>86.37</v>
      </c>
      <c r="BN229" s="2">
        <v>703.3</v>
      </c>
      <c r="BO229" s="2">
        <v>703.3</v>
      </c>
      <c r="BP229" s="2"/>
      <c r="BQ229" s="2" t="s">
        <v>1037</v>
      </c>
      <c r="BR229" s="2" t="s">
        <v>1038</v>
      </c>
      <c r="BS229" s="3">
        <v>43027</v>
      </c>
      <c r="BT229" s="4">
        <v>0.4145833333333333</v>
      </c>
      <c r="BU229" s="2" t="s">
        <v>1039</v>
      </c>
      <c r="BV229" s="2" t="s">
        <v>96</v>
      </c>
      <c r="BW229" s="2"/>
      <c r="BX229" s="2"/>
      <c r="BY229" s="2">
        <v>1371295.8</v>
      </c>
      <c r="BZ229" s="2"/>
      <c r="CA229" s="2" t="s">
        <v>1040</v>
      </c>
      <c r="CB229" s="2"/>
      <c r="CC229" s="2" t="s">
        <v>235</v>
      </c>
      <c r="CD229" s="2">
        <v>4000</v>
      </c>
      <c r="CE229" s="2" t="s">
        <v>283</v>
      </c>
      <c r="CF229" s="5">
        <v>43028</v>
      </c>
      <c r="CG229" s="2"/>
      <c r="CH229" s="2"/>
      <c r="CI229" s="2">
        <v>1</v>
      </c>
      <c r="CJ229" s="2">
        <v>1</v>
      </c>
      <c r="CK229" s="2" t="s">
        <v>1041</v>
      </c>
      <c r="CL229" s="2" t="s">
        <v>85</v>
      </c>
      <c r="CM229" s="2"/>
    </row>
    <row r="230" spans="1:91">
      <c r="A230" s="2" t="s">
        <v>71</v>
      </c>
      <c r="B230" s="2" t="s">
        <v>72</v>
      </c>
      <c r="C230" s="2" t="s">
        <v>73</v>
      </c>
      <c r="D230" s="2"/>
      <c r="E230" s="2" t="str">
        <f>"LCR000328"</f>
        <v>LCR000328</v>
      </c>
      <c r="F230" s="3">
        <v>43010</v>
      </c>
      <c r="G230" s="2">
        <v>201804</v>
      </c>
      <c r="H230" s="2" t="s">
        <v>74</v>
      </c>
      <c r="I230" s="2" t="s">
        <v>75</v>
      </c>
      <c r="J230" s="2" t="s">
        <v>694</v>
      </c>
      <c r="K230" s="2" t="s">
        <v>77</v>
      </c>
      <c r="L230" s="2" t="s">
        <v>335</v>
      </c>
      <c r="M230" s="2" t="s">
        <v>336</v>
      </c>
      <c r="N230" s="2" t="s">
        <v>1042</v>
      </c>
      <c r="O230" s="2" t="s">
        <v>81</v>
      </c>
      <c r="P230" s="2" t="str">
        <f>"143907 2OA23046               "</f>
        <v xml:space="preserve">143907 2OA23046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27.57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4</v>
      </c>
      <c r="BI230" s="2">
        <v>72</v>
      </c>
      <c r="BJ230" s="2">
        <v>58.7</v>
      </c>
      <c r="BK230" s="2">
        <v>72</v>
      </c>
      <c r="BL230" s="2">
        <v>259.67</v>
      </c>
      <c r="BM230" s="2">
        <v>36.35</v>
      </c>
      <c r="BN230" s="2">
        <v>296.02</v>
      </c>
      <c r="BO230" s="2">
        <v>296.02</v>
      </c>
      <c r="BP230" s="2"/>
      <c r="BQ230" s="2" t="s">
        <v>1043</v>
      </c>
      <c r="BR230" s="2" t="s">
        <v>697</v>
      </c>
      <c r="BS230" s="3">
        <v>43012</v>
      </c>
      <c r="BT230" s="4">
        <v>0.51736111111111105</v>
      </c>
      <c r="BU230" s="2" t="s">
        <v>1044</v>
      </c>
      <c r="BV230" s="2" t="s">
        <v>85</v>
      </c>
      <c r="BW230" s="2" t="s">
        <v>497</v>
      </c>
      <c r="BX230" s="2" t="s">
        <v>1045</v>
      </c>
      <c r="BY230" s="2">
        <v>293539</v>
      </c>
      <c r="BZ230" s="2"/>
      <c r="CA230" s="2" t="s">
        <v>1046</v>
      </c>
      <c r="CB230" s="2"/>
      <c r="CC230" s="2" t="s">
        <v>336</v>
      </c>
      <c r="CD230" s="2">
        <v>2146</v>
      </c>
      <c r="CE230" s="2" t="s">
        <v>1047</v>
      </c>
      <c r="CF230" s="5">
        <v>43013</v>
      </c>
      <c r="CG230" s="2"/>
      <c r="CH230" s="2"/>
      <c r="CI230" s="2">
        <v>2</v>
      </c>
      <c r="CJ230" s="2">
        <v>2</v>
      </c>
      <c r="CK230" s="2" t="s">
        <v>90</v>
      </c>
      <c r="CL230" s="2" t="s">
        <v>85</v>
      </c>
      <c r="CM230" s="2"/>
    </row>
    <row r="231" spans="1:91">
      <c r="A231" s="2" t="s">
        <v>71</v>
      </c>
      <c r="B231" s="2" t="s">
        <v>72</v>
      </c>
      <c r="C231" s="2" t="s">
        <v>73</v>
      </c>
      <c r="D231" s="2"/>
      <c r="E231" s="2" t="str">
        <f>"019911010006"</f>
        <v>019911010006</v>
      </c>
      <c r="F231" s="3">
        <v>43035</v>
      </c>
      <c r="G231" s="2">
        <v>201804</v>
      </c>
      <c r="H231" s="2" t="s">
        <v>250</v>
      </c>
      <c r="I231" s="2" t="s">
        <v>251</v>
      </c>
      <c r="J231" s="2" t="s">
        <v>1048</v>
      </c>
      <c r="K231" s="2" t="s">
        <v>77</v>
      </c>
      <c r="L231" s="2" t="s">
        <v>129</v>
      </c>
      <c r="M231" s="2" t="s">
        <v>130</v>
      </c>
      <c r="N231" s="2" t="s">
        <v>1049</v>
      </c>
      <c r="O231" s="2" t="s">
        <v>278</v>
      </c>
      <c r="P231" s="2" t="str">
        <f>"                              "</f>
        <v xml:space="preserve">          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7.58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1</v>
      </c>
      <c r="BI231" s="2">
        <v>1.7</v>
      </c>
      <c r="BJ231" s="2">
        <v>3.3</v>
      </c>
      <c r="BK231" s="2">
        <v>3.5</v>
      </c>
      <c r="BL231" s="2">
        <v>63.58</v>
      </c>
      <c r="BM231" s="2">
        <v>8.9</v>
      </c>
      <c r="BN231" s="2">
        <v>72.48</v>
      </c>
      <c r="BO231" s="2">
        <v>72.48</v>
      </c>
      <c r="BP231" s="2"/>
      <c r="BQ231" s="2" t="s">
        <v>1050</v>
      </c>
      <c r="BR231" s="2" t="s">
        <v>1051</v>
      </c>
      <c r="BS231" s="3">
        <v>43038</v>
      </c>
      <c r="BT231" s="4">
        <v>0.4375</v>
      </c>
      <c r="BU231" s="2" t="s">
        <v>1052</v>
      </c>
      <c r="BV231" s="2" t="s">
        <v>96</v>
      </c>
      <c r="BW231" s="2"/>
      <c r="BX231" s="2"/>
      <c r="BY231" s="2">
        <v>16651.32</v>
      </c>
      <c r="BZ231" s="2" t="s">
        <v>27</v>
      </c>
      <c r="CA231" s="2" t="s">
        <v>705</v>
      </c>
      <c r="CB231" s="2"/>
      <c r="CC231" s="2" t="s">
        <v>130</v>
      </c>
      <c r="CD231" s="2">
        <v>1683</v>
      </c>
      <c r="CE231" s="2" t="s">
        <v>283</v>
      </c>
      <c r="CF231" s="5">
        <v>43039</v>
      </c>
      <c r="CG231" s="2"/>
      <c r="CH231" s="2"/>
      <c r="CI231" s="2">
        <v>1</v>
      </c>
      <c r="CJ231" s="2">
        <v>1</v>
      </c>
      <c r="CK231" s="2">
        <v>21</v>
      </c>
      <c r="CL231" s="2" t="s">
        <v>85</v>
      </c>
      <c r="CM231" s="2"/>
    </row>
    <row r="232" spans="1:91">
      <c r="A232" s="2" t="s">
        <v>71</v>
      </c>
      <c r="B232" s="2" t="s">
        <v>72</v>
      </c>
      <c r="C232" s="2" t="s">
        <v>73</v>
      </c>
      <c r="D232" s="2"/>
      <c r="E232" s="2" t="str">
        <f>"039902652273"</f>
        <v>039902652273</v>
      </c>
      <c r="F232" s="3">
        <v>43035</v>
      </c>
      <c r="G232" s="2">
        <v>201804</v>
      </c>
      <c r="H232" s="2" t="s">
        <v>122</v>
      </c>
      <c r="I232" s="2" t="s">
        <v>123</v>
      </c>
      <c r="J232" s="2" t="s">
        <v>276</v>
      </c>
      <c r="K232" s="2" t="s">
        <v>77</v>
      </c>
      <c r="L232" s="2" t="s">
        <v>149</v>
      </c>
      <c r="M232" s="2" t="s">
        <v>150</v>
      </c>
      <c r="N232" s="2" t="s">
        <v>631</v>
      </c>
      <c r="O232" s="2" t="s">
        <v>278</v>
      </c>
      <c r="P232" s="2" t="str">
        <f>"11912270 FM                   "</f>
        <v xml:space="preserve">11912270 FM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4.33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1</v>
      </c>
      <c r="BI232" s="2">
        <v>1</v>
      </c>
      <c r="BJ232" s="2">
        <v>0.2</v>
      </c>
      <c r="BK232" s="2">
        <v>1</v>
      </c>
      <c r="BL232" s="2">
        <v>36.33</v>
      </c>
      <c r="BM232" s="2">
        <v>5.09</v>
      </c>
      <c r="BN232" s="2">
        <v>41.42</v>
      </c>
      <c r="BO232" s="2">
        <v>41.42</v>
      </c>
      <c r="BP232" s="2"/>
      <c r="BQ232" s="2" t="s">
        <v>632</v>
      </c>
      <c r="BR232" s="2" t="s">
        <v>633</v>
      </c>
      <c r="BS232" s="3">
        <v>43038</v>
      </c>
      <c r="BT232" s="4">
        <v>0.38819444444444445</v>
      </c>
      <c r="BU232" s="2" t="s">
        <v>1053</v>
      </c>
      <c r="BV232" s="2" t="s">
        <v>96</v>
      </c>
      <c r="BW232" s="2"/>
      <c r="BX232" s="2"/>
      <c r="BY232" s="2">
        <v>1200</v>
      </c>
      <c r="BZ232" s="2" t="s">
        <v>27</v>
      </c>
      <c r="CA232" s="2" t="s">
        <v>282</v>
      </c>
      <c r="CB232" s="2"/>
      <c r="CC232" s="2" t="s">
        <v>150</v>
      </c>
      <c r="CD232" s="2">
        <v>8000</v>
      </c>
      <c r="CE232" s="2" t="s">
        <v>283</v>
      </c>
      <c r="CF232" s="5">
        <v>43039</v>
      </c>
      <c r="CG232" s="2"/>
      <c r="CH232" s="2"/>
      <c r="CI232" s="2">
        <v>1</v>
      </c>
      <c r="CJ232" s="2">
        <v>1</v>
      </c>
      <c r="CK232" s="2">
        <v>21</v>
      </c>
      <c r="CL232" s="2" t="s">
        <v>85</v>
      </c>
      <c r="CM232" s="2"/>
    </row>
    <row r="233" spans="1:91">
      <c r="A233" s="2" t="s">
        <v>71</v>
      </c>
      <c r="B233" s="2" t="s">
        <v>72</v>
      </c>
      <c r="C233" s="2" t="s">
        <v>73</v>
      </c>
      <c r="D233" s="2"/>
      <c r="E233" s="2" t="str">
        <f>"039902652235"</f>
        <v>039902652235</v>
      </c>
      <c r="F233" s="3">
        <v>43035</v>
      </c>
      <c r="G233" s="2">
        <v>201804</v>
      </c>
      <c r="H233" s="2" t="s">
        <v>122</v>
      </c>
      <c r="I233" s="2" t="s">
        <v>123</v>
      </c>
      <c r="J233" s="2" t="s">
        <v>276</v>
      </c>
      <c r="K233" s="2" t="s">
        <v>77</v>
      </c>
      <c r="L233" s="2" t="s">
        <v>1002</v>
      </c>
      <c r="M233" s="2" t="s">
        <v>1003</v>
      </c>
      <c r="N233" s="2" t="s">
        <v>77</v>
      </c>
      <c r="O233" s="2" t="s">
        <v>278</v>
      </c>
      <c r="P233" s="2" t="str">
        <f>"11912270 FM                   "</f>
        <v xml:space="preserve">11912270 FM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19.75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1</v>
      </c>
      <c r="BI233" s="2">
        <v>5</v>
      </c>
      <c r="BJ233" s="2">
        <v>1.2</v>
      </c>
      <c r="BK233" s="2">
        <v>5</v>
      </c>
      <c r="BL233" s="2">
        <v>165.75</v>
      </c>
      <c r="BM233" s="2">
        <v>23.21</v>
      </c>
      <c r="BN233" s="2">
        <v>188.96</v>
      </c>
      <c r="BO233" s="2">
        <v>188.96</v>
      </c>
      <c r="BP233" s="2"/>
      <c r="BQ233" s="2" t="s">
        <v>1054</v>
      </c>
      <c r="BR233" s="2" t="s">
        <v>633</v>
      </c>
      <c r="BS233" s="1" t="s">
        <v>972</v>
      </c>
      <c r="BT233" s="2"/>
      <c r="BU233" s="2"/>
      <c r="BV233" s="2"/>
      <c r="BW233" s="2"/>
      <c r="BX233" s="2"/>
      <c r="BY233" s="2">
        <v>6000</v>
      </c>
      <c r="BZ233" s="2" t="s">
        <v>27</v>
      </c>
      <c r="CA233" s="2"/>
      <c r="CB233" s="2"/>
      <c r="CC233" s="2" t="s">
        <v>1003</v>
      </c>
      <c r="CD233" s="2">
        <v>5320</v>
      </c>
      <c r="CE233" s="2" t="s">
        <v>283</v>
      </c>
      <c r="CF233" s="2"/>
      <c r="CG233" s="2"/>
      <c r="CH233" s="2"/>
      <c r="CI233" s="2">
        <v>4</v>
      </c>
      <c r="CJ233" s="2" t="s">
        <v>972</v>
      </c>
      <c r="CK233" s="2">
        <v>23</v>
      </c>
      <c r="CL233" s="2" t="s">
        <v>85</v>
      </c>
      <c r="CM233" s="2"/>
    </row>
    <row r="234" spans="1:91">
      <c r="A234" s="2" t="s">
        <v>71</v>
      </c>
      <c r="B234" s="2" t="s">
        <v>72</v>
      </c>
      <c r="C234" s="2" t="s">
        <v>73</v>
      </c>
      <c r="D234" s="2"/>
      <c r="E234" s="2" t="str">
        <f>"LCR000461"</f>
        <v>LCR000461</v>
      </c>
      <c r="F234" s="3">
        <v>43035</v>
      </c>
      <c r="G234" s="2">
        <v>201804</v>
      </c>
      <c r="H234" s="2" t="s">
        <v>74</v>
      </c>
      <c r="I234" s="2" t="s">
        <v>75</v>
      </c>
      <c r="J234" s="2" t="s">
        <v>76</v>
      </c>
      <c r="K234" s="2" t="s">
        <v>77</v>
      </c>
      <c r="L234" s="2" t="s">
        <v>1055</v>
      </c>
      <c r="M234" s="2" t="s">
        <v>1056</v>
      </c>
      <c r="N234" s="2" t="s">
        <v>1057</v>
      </c>
      <c r="O234" s="2" t="s">
        <v>81</v>
      </c>
      <c r="P234" s="2" t="str">
        <f>"145103                        "</f>
        <v xml:space="preserve">145103       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14.61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1</v>
      </c>
      <c r="BI234" s="2">
        <v>3.3</v>
      </c>
      <c r="BJ234" s="2">
        <v>7.9</v>
      </c>
      <c r="BK234" s="2">
        <v>8</v>
      </c>
      <c r="BL234" s="2">
        <v>127.61</v>
      </c>
      <c r="BM234" s="2">
        <v>17.87</v>
      </c>
      <c r="BN234" s="2">
        <v>145.47999999999999</v>
      </c>
      <c r="BO234" s="2">
        <v>145.47999999999999</v>
      </c>
      <c r="BP234" s="2"/>
      <c r="BQ234" s="2" t="s">
        <v>1058</v>
      </c>
      <c r="BR234" s="2" t="s">
        <v>83</v>
      </c>
      <c r="BS234" s="3">
        <v>43039</v>
      </c>
      <c r="BT234" s="4">
        <v>0.41666666666666669</v>
      </c>
      <c r="BU234" s="2" t="s">
        <v>1059</v>
      </c>
      <c r="BV234" s="2" t="s">
        <v>96</v>
      </c>
      <c r="BW234" s="2"/>
      <c r="BX234" s="2"/>
      <c r="BY234" s="2">
        <v>39312</v>
      </c>
      <c r="BZ234" s="2"/>
      <c r="CA234" s="2" t="s">
        <v>815</v>
      </c>
      <c r="CB234" s="2"/>
      <c r="CC234" s="2" t="s">
        <v>1056</v>
      </c>
      <c r="CD234" s="2">
        <v>7070</v>
      </c>
      <c r="CE234" s="2" t="s">
        <v>134</v>
      </c>
      <c r="CF234" s="5">
        <v>43039</v>
      </c>
      <c r="CG234" s="2"/>
      <c r="CH234" s="2"/>
      <c r="CI234" s="2">
        <v>5</v>
      </c>
      <c r="CJ234" s="2">
        <v>2</v>
      </c>
      <c r="CK234" s="2" t="s">
        <v>181</v>
      </c>
      <c r="CL234" s="2" t="s">
        <v>85</v>
      </c>
      <c r="CM234" s="2"/>
    </row>
    <row r="235" spans="1:91">
      <c r="A235" s="2" t="s">
        <v>71</v>
      </c>
      <c r="B235" s="2" t="s">
        <v>72</v>
      </c>
      <c r="C235" s="2" t="s">
        <v>73</v>
      </c>
      <c r="D235" s="2"/>
      <c r="E235" s="2" t="str">
        <f>"009935272416"</f>
        <v>009935272416</v>
      </c>
      <c r="F235" s="3">
        <v>43035</v>
      </c>
      <c r="G235" s="2">
        <v>201804</v>
      </c>
      <c r="H235" s="2" t="s">
        <v>284</v>
      </c>
      <c r="I235" s="2" t="s">
        <v>285</v>
      </c>
      <c r="J235" s="2" t="s">
        <v>439</v>
      </c>
      <c r="K235" s="2" t="s">
        <v>77</v>
      </c>
      <c r="L235" s="2" t="s">
        <v>149</v>
      </c>
      <c r="M235" s="2" t="s">
        <v>150</v>
      </c>
      <c r="N235" s="2" t="s">
        <v>1060</v>
      </c>
      <c r="O235" s="2" t="s">
        <v>278</v>
      </c>
      <c r="P235" s="2" t="str">
        <f>"...                           "</f>
        <v xml:space="preserve">...       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4.33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1</v>
      </c>
      <c r="BI235" s="2">
        <v>0.5</v>
      </c>
      <c r="BJ235" s="2">
        <v>0.2</v>
      </c>
      <c r="BK235" s="2">
        <v>0.5</v>
      </c>
      <c r="BL235" s="2">
        <v>36.33</v>
      </c>
      <c r="BM235" s="2">
        <v>5.09</v>
      </c>
      <c r="BN235" s="2">
        <v>41.42</v>
      </c>
      <c r="BO235" s="2">
        <v>41.42</v>
      </c>
      <c r="BP235" s="2"/>
      <c r="BQ235" s="2"/>
      <c r="BR235" s="2" t="s">
        <v>996</v>
      </c>
      <c r="BS235" s="3">
        <v>43038</v>
      </c>
      <c r="BT235" s="4">
        <v>0.38819444444444445</v>
      </c>
      <c r="BU235" s="2" t="s">
        <v>1053</v>
      </c>
      <c r="BV235" s="2" t="s">
        <v>96</v>
      </c>
      <c r="BW235" s="2"/>
      <c r="BX235" s="2"/>
      <c r="BY235" s="2">
        <v>1200</v>
      </c>
      <c r="BZ235" s="2" t="s">
        <v>27</v>
      </c>
      <c r="CA235" s="2" t="s">
        <v>282</v>
      </c>
      <c r="CB235" s="2"/>
      <c r="CC235" s="2" t="s">
        <v>150</v>
      </c>
      <c r="CD235" s="2">
        <v>8000</v>
      </c>
      <c r="CE235" s="2" t="s">
        <v>283</v>
      </c>
      <c r="CF235" s="5">
        <v>43039</v>
      </c>
      <c r="CG235" s="2"/>
      <c r="CH235" s="2"/>
      <c r="CI235" s="2">
        <v>1</v>
      </c>
      <c r="CJ235" s="2">
        <v>1</v>
      </c>
      <c r="CK235" s="2">
        <v>21</v>
      </c>
      <c r="CL235" s="2" t="s">
        <v>85</v>
      </c>
      <c r="CM235" s="2"/>
    </row>
    <row r="236" spans="1:91">
      <c r="A236" s="2" t="s">
        <v>71</v>
      </c>
      <c r="B236" s="2" t="s">
        <v>72</v>
      </c>
      <c r="C236" s="2" t="s">
        <v>73</v>
      </c>
      <c r="D236" s="2"/>
      <c r="E236" s="2" t="str">
        <f>"LCR000460"</f>
        <v>LCR000460</v>
      </c>
      <c r="F236" s="3">
        <v>43035</v>
      </c>
      <c r="G236" s="2">
        <v>201804</v>
      </c>
      <c r="H236" s="2" t="s">
        <v>74</v>
      </c>
      <c r="I236" s="2" t="s">
        <v>75</v>
      </c>
      <c r="J236" s="2" t="s">
        <v>76</v>
      </c>
      <c r="K236" s="2" t="s">
        <v>77</v>
      </c>
      <c r="L236" s="2" t="s">
        <v>228</v>
      </c>
      <c r="M236" s="2" t="s">
        <v>229</v>
      </c>
      <c r="N236" s="2" t="s">
        <v>1016</v>
      </c>
      <c r="O236" s="2" t="s">
        <v>293</v>
      </c>
      <c r="P236" s="2" t="str">
        <f>"144953                        "</f>
        <v xml:space="preserve">144953       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8.39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1</v>
      </c>
      <c r="BI236" s="2">
        <v>0.8</v>
      </c>
      <c r="BJ236" s="2">
        <v>1.9</v>
      </c>
      <c r="BK236" s="2">
        <v>2</v>
      </c>
      <c r="BL236" s="2">
        <v>70.39</v>
      </c>
      <c r="BM236" s="2">
        <v>9.85</v>
      </c>
      <c r="BN236" s="2">
        <v>80.239999999999995</v>
      </c>
      <c r="BO236" s="2">
        <v>80.239999999999995</v>
      </c>
      <c r="BP236" s="2"/>
      <c r="BQ236" s="2" t="s">
        <v>1017</v>
      </c>
      <c r="BR236" s="2" t="s">
        <v>83</v>
      </c>
      <c r="BS236" s="3">
        <v>43038</v>
      </c>
      <c r="BT236" s="4">
        <v>0.59375</v>
      </c>
      <c r="BU236" s="2" t="s">
        <v>1061</v>
      </c>
      <c r="BV236" s="2" t="s">
        <v>96</v>
      </c>
      <c r="BW236" s="2"/>
      <c r="BX236" s="2"/>
      <c r="BY236" s="2">
        <v>9450.09</v>
      </c>
      <c r="BZ236" s="2"/>
      <c r="CA236" s="2"/>
      <c r="CB236" s="2"/>
      <c r="CC236" s="2" t="s">
        <v>229</v>
      </c>
      <c r="CD236" s="2">
        <v>6571</v>
      </c>
      <c r="CE236" s="2" t="s">
        <v>939</v>
      </c>
      <c r="CF236" s="5">
        <v>43039</v>
      </c>
      <c r="CG236" s="2"/>
      <c r="CH236" s="2"/>
      <c r="CI236" s="2">
        <v>1</v>
      </c>
      <c r="CJ236" s="2">
        <v>1</v>
      </c>
      <c r="CK236" s="2">
        <v>33</v>
      </c>
      <c r="CL236" s="2" t="s">
        <v>85</v>
      </c>
      <c r="CM236" s="2"/>
    </row>
    <row r="237" spans="1:91">
      <c r="A237" s="2" t="s">
        <v>275</v>
      </c>
      <c r="B237" s="2" t="s">
        <v>72</v>
      </c>
      <c r="C237" s="2" t="s">
        <v>73</v>
      </c>
      <c r="D237" s="2"/>
      <c r="E237" s="2" t="str">
        <f>"089901384284"</f>
        <v>089901384284</v>
      </c>
      <c r="F237" s="3">
        <v>43035</v>
      </c>
      <c r="G237" s="2">
        <v>201804</v>
      </c>
      <c r="H237" s="2" t="s">
        <v>155</v>
      </c>
      <c r="I237" s="2" t="s">
        <v>156</v>
      </c>
      <c r="J237" s="2" t="s">
        <v>621</v>
      </c>
      <c r="K237" s="2" t="s">
        <v>77</v>
      </c>
      <c r="L237" s="2" t="s">
        <v>105</v>
      </c>
      <c r="M237" s="2" t="s">
        <v>106</v>
      </c>
      <c r="N237" s="2" t="s">
        <v>711</v>
      </c>
      <c r="O237" s="2" t="s">
        <v>278</v>
      </c>
      <c r="P237" s="2" t="str">
        <f>"                              "</f>
        <v xml:space="preserve">             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4.33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1</v>
      </c>
      <c r="BI237" s="2">
        <v>1</v>
      </c>
      <c r="BJ237" s="2">
        <v>0.2</v>
      </c>
      <c r="BK237" s="2">
        <v>1</v>
      </c>
      <c r="BL237" s="2">
        <v>36.33</v>
      </c>
      <c r="BM237" s="2">
        <v>5.09</v>
      </c>
      <c r="BN237" s="2">
        <v>41.42</v>
      </c>
      <c r="BO237" s="2">
        <v>41.42</v>
      </c>
      <c r="BP237" s="2"/>
      <c r="BQ237" s="2"/>
      <c r="BR237" s="2" t="s">
        <v>1062</v>
      </c>
      <c r="BS237" s="3">
        <v>43038</v>
      </c>
      <c r="BT237" s="4">
        <v>0.33194444444444443</v>
      </c>
      <c r="BU237" s="2" t="s">
        <v>899</v>
      </c>
      <c r="BV237" s="2" t="s">
        <v>96</v>
      </c>
      <c r="BW237" s="2"/>
      <c r="BX237" s="2"/>
      <c r="BY237" s="2">
        <v>1200</v>
      </c>
      <c r="BZ237" s="2" t="s">
        <v>27</v>
      </c>
      <c r="CA237" s="2" t="s">
        <v>900</v>
      </c>
      <c r="CB237" s="2"/>
      <c r="CC237" s="2" t="s">
        <v>106</v>
      </c>
      <c r="CD237" s="2">
        <v>2000</v>
      </c>
      <c r="CE237" s="2" t="s">
        <v>283</v>
      </c>
      <c r="CF237" s="5">
        <v>43039</v>
      </c>
      <c r="CG237" s="2"/>
      <c r="CH237" s="2"/>
      <c r="CI237" s="2">
        <v>1</v>
      </c>
      <c r="CJ237" s="2">
        <v>1</v>
      </c>
      <c r="CK237" s="2">
        <v>21</v>
      </c>
      <c r="CL237" s="2" t="s">
        <v>85</v>
      </c>
      <c r="CM237" s="2"/>
    </row>
    <row r="238" spans="1:91">
      <c r="A238" s="2" t="s">
        <v>71</v>
      </c>
      <c r="B238" s="2" t="s">
        <v>72</v>
      </c>
      <c r="C238" s="2" t="s">
        <v>73</v>
      </c>
      <c r="D238" s="2"/>
      <c r="E238" s="2" t="str">
        <f>"LCR000462"</f>
        <v>LCR000462</v>
      </c>
      <c r="F238" s="3">
        <v>43038</v>
      </c>
      <c r="G238" s="2">
        <v>201804</v>
      </c>
      <c r="H238" s="2" t="s">
        <v>74</v>
      </c>
      <c r="I238" s="2" t="s">
        <v>75</v>
      </c>
      <c r="J238" s="2" t="s">
        <v>76</v>
      </c>
      <c r="K238" s="2" t="s">
        <v>77</v>
      </c>
      <c r="L238" s="2" t="s">
        <v>78</v>
      </c>
      <c r="M238" s="2" t="s">
        <v>79</v>
      </c>
      <c r="N238" s="2" t="s">
        <v>1063</v>
      </c>
      <c r="O238" s="2" t="s">
        <v>81</v>
      </c>
      <c r="P238" s="2" t="str">
        <f>"                              "</f>
        <v xml:space="preserve">          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9.1300000000000008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1</v>
      </c>
      <c r="BI238" s="2">
        <v>2</v>
      </c>
      <c r="BJ238" s="2">
        <v>4.3</v>
      </c>
      <c r="BK238" s="2">
        <v>5</v>
      </c>
      <c r="BL238" s="2">
        <v>81.63</v>
      </c>
      <c r="BM238" s="2">
        <v>11.43</v>
      </c>
      <c r="BN238" s="2">
        <v>93.06</v>
      </c>
      <c r="BO238" s="2">
        <v>93.06</v>
      </c>
      <c r="BP238" s="2"/>
      <c r="BQ238" s="2" t="s">
        <v>1064</v>
      </c>
      <c r="BR238" s="2" t="s">
        <v>83</v>
      </c>
      <c r="BS238" s="1" t="s">
        <v>972</v>
      </c>
      <c r="BT238" s="2"/>
      <c r="BU238" s="2"/>
      <c r="BV238" s="2"/>
      <c r="BW238" s="2"/>
      <c r="BX238" s="2"/>
      <c r="BY238" s="2">
        <v>21452.75</v>
      </c>
      <c r="BZ238" s="2"/>
      <c r="CA238" s="2"/>
      <c r="CB238" s="2"/>
      <c r="CC238" s="2" t="s">
        <v>79</v>
      </c>
      <c r="CD238" s="2">
        <v>4710</v>
      </c>
      <c r="CE238" s="2" t="s">
        <v>89</v>
      </c>
      <c r="CF238" s="2"/>
      <c r="CG238" s="2"/>
      <c r="CH238" s="2"/>
      <c r="CI238" s="2">
        <v>0</v>
      </c>
      <c r="CJ238" s="2">
        <v>0</v>
      </c>
      <c r="CK238" s="2" t="s">
        <v>90</v>
      </c>
      <c r="CL238" s="2" t="s">
        <v>85</v>
      </c>
      <c r="CM238" s="2"/>
    </row>
    <row r="239" spans="1:91">
      <c r="A239" s="2" t="s">
        <v>275</v>
      </c>
      <c r="B239" s="2" t="s">
        <v>72</v>
      </c>
      <c r="C239" s="2" t="s">
        <v>73</v>
      </c>
      <c r="D239" s="2"/>
      <c r="E239" s="2" t="str">
        <f>"089901384845"</f>
        <v>089901384845</v>
      </c>
      <c r="F239" s="3">
        <v>43038</v>
      </c>
      <c r="G239" s="2">
        <v>201804</v>
      </c>
      <c r="H239" s="2" t="s">
        <v>155</v>
      </c>
      <c r="I239" s="2" t="s">
        <v>156</v>
      </c>
      <c r="J239" s="2" t="s">
        <v>621</v>
      </c>
      <c r="K239" s="2" t="s">
        <v>77</v>
      </c>
      <c r="L239" s="2" t="s">
        <v>105</v>
      </c>
      <c r="M239" s="2" t="s">
        <v>106</v>
      </c>
      <c r="N239" s="2" t="s">
        <v>1065</v>
      </c>
      <c r="O239" s="2" t="s">
        <v>278</v>
      </c>
      <c r="P239" s="2" t="str">
        <f>"                              "</f>
        <v xml:space="preserve">              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4.33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1</v>
      </c>
      <c r="BI239" s="2">
        <v>1</v>
      </c>
      <c r="BJ239" s="2">
        <v>0.2</v>
      </c>
      <c r="BK239" s="2">
        <v>1</v>
      </c>
      <c r="BL239" s="2">
        <v>36.33</v>
      </c>
      <c r="BM239" s="2">
        <v>5.09</v>
      </c>
      <c r="BN239" s="2">
        <v>41.42</v>
      </c>
      <c r="BO239" s="2">
        <v>41.42</v>
      </c>
      <c r="BP239" s="2"/>
      <c r="BQ239" s="2" t="s">
        <v>1066</v>
      </c>
      <c r="BR239" s="2" t="s">
        <v>1067</v>
      </c>
      <c r="BS239" s="3">
        <v>43039</v>
      </c>
      <c r="BT239" s="4">
        <v>0.3833333333333333</v>
      </c>
      <c r="BU239" s="2" t="s">
        <v>1068</v>
      </c>
      <c r="BV239" s="2" t="s">
        <v>96</v>
      </c>
      <c r="BW239" s="2"/>
      <c r="BX239" s="2"/>
      <c r="BY239" s="2">
        <v>1200</v>
      </c>
      <c r="BZ239" s="2" t="s">
        <v>27</v>
      </c>
      <c r="CA239" s="2" t="s">
        <v>900</v>
      </c>
      <c r="CB239" s="2"/>
      <c r="CC239" s="2" t="s">
        <v>106</v>
      </c>
      <c r="CD239" s="2">
        <v>2000</v>
      </c>
      <c r="CE239" s="2" t="s">
        <v>283</v>
      </c>
      <c r="CF239" s="2"/>
      <c r="CG239" s="2"/>
      <c r="CH239" s="2"/>
      <c r="CI239" s="2">
        <v>1</v>
      </c>
      <c r="CJ239" s="2">
        <v>1</v>
      </c>
      <c r="CK239" s="2">
        <v>21</v>
      </c>
      <c r="CL239" s="2" t="s">
        <v>85</v>
      </c>
      <c r="CM239" s="2"/>
    </row>
    <row r="240" spans="1:91">
      <c r="A240" s="2" t="s">
        <v>71</v>
      </c>
      <c r="B240" s="2" t="s">
        <v>72</v>
      </c>
      <c r="C240" s="2" t="s">
        <v>73</v>
      </c>
      <c r="D240" s="2"/>
      <c r="E240" s="2" t="str">
        <f>"069907978964"</f>
        <v>069907978964</v>
      </c>
      <c r="F240" s="3">
        <v>43039</v>
      </c>
      <c r="G240" s="2">
        <v>201804</v>
      </c>
      <c r="H240" s="2" t="s">
        <v>116</v>
      </c>
      <c r="I240" s="2" t="s">
        <v>117</v>
      </c>
      <c r="J240" s="2" t="s">
        <v>276</v>
      </c>
      <c r="K240" s="2" t="s">
        <v>77</v>
      </c>
      <c r="L240" s="2" t="s">
        <v>149</v>
      </c>
      <c r="M240" s="2" t="s">
        <v>150</v>
      </c>
      <c r="N240" s="2" t="s">
        <v>463</v>
      </c>
      <c r="O240" s="2" t="s">
        <v>278</v>
      </c>
      <c r="P240" s="2" t="str">
        <f>"NA                            "</f>
        <v xml:space="preserve">NA        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200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4.33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1</v>
      </c>
      <c r="BI240" s="2">
        <v>1</v>
      </c>
      <c r="BJ240" s="2">
        <v>0.2</v>
      </c>
      <c r="BK240" s="2">
        <v>1</v>
      </c>
      <c r="BL240" s="2">
        <v>236.33</v>
      </c>
      <c r="BM240" s="2">
        <v>33.090000000000003</v>
      </c>
      <c r="BN240" s="2">
        <v>269.42</v>
      </c>
      <c r="BO240" s="2">
        <v>269.42</v>
      </c>
      <c r="BP240" s="2"/>
      <c r="BQ240" s="2" t="s">
        <v>1069</v>
      </c>
      <c r="BR240" s="2" t="s">
        <v>713</v>
      </c>
      <c r="BS240" s="1" t="s">
        <v>972</v>
      </c>
      <c r="BT240" s="2"/>
      <c r="BU240" s="2"/>
      <c r="BV240" s="2"/>
      <c r="BW240" s="2"/>
      <c r="BX240" s="2"/>
      <c r="BY240" s="2">
        <v>1200</v>
      </c>
      <c r="BZ240" s="2" t="s">
        <v>421</v>
      </c>
      <c r="CA240" s="2"/>
      <c r="CB240" s="2"/>
      <c r="CC240" s="2" t="s">
        <v>150</v>
      </c>
      <c r="CD240" s="2">
        <v>8000</v>
      </c>
      <c r="CE240" s="2" t="s">
        <v>283</v>
      </c>
      <c r="CF240" s="2"/>
      <c r="CG240" s="2"/>
      <c r="CH240" s="2"/>
      <c r="CI240" s="2">
        <v>1</v>
      </c>
      <c r="CJ240" s="2" t="s">
        <v>972</v>
      </c>
      <c r="CK240" s="2">
        <v>21</v>
      </c>
      <c r="CL240" s="2" t="s">
        <v>96</v>
      </c>
      <c r="CM240" s="2"/>
    </row>
    <row r="241" spans="1:91">
      <c r="A241" s="2" t="s">
        <v>71</v>
      </c>
      <c r="B241" s="2" t="s">
        <v>72</v>
      </c>
      <c r="C241" s="2" t="s">
        <v>73</v>
      </c>
      <c r="D241" s="2"/>
      <c r="E241" s="2" t="str">
        <f>"LCR000463"</f>
        <v>LCR000463</v>
      </c>
      <c r="F241" s="3">
        <v>43039</v>
      </c>
      <c r="G241" s="2">
        <v>201804</v>
      </c>
      <c r="H241" s="2" t="s">
        <v>74</v>
      </c>
      <c r="I241" s="2" t="s">
        <v>75</v>
      </c>
      <c r="J241" s="2" t="s">
        <v>76</v>
      </c>
      <c r="K241" s="2" t="s">
        <v>77</v>
      </c>
      <c r="L241" s="2" t="s">
        <v>191</v>
      </c>
      <c r="M241" s="2" t="s">
        <v>192</v>
      </c>
      <c r="N241" s="2" t="s">
        <v>1070</v>
      </c>
      <c r="O241" s="2" t="s">
        <v>293</v>
      </c>
      <c r="P241" s="2" t="str">
        <f>"jarred randall  replacement   "</f>
        <v xml:space="preserve">jarred randall  replacement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8.39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1</v>
      </c>
      <c r="BI241" s="2">
        <v>1</v>
      </c>
      <c r="BJ241" s="2">
        <v>1.4</v>
      </c>
      <c r="BK241" s="2">
        <v>2</v>
      </c>
      <c r="BL241" s="2">
        <v>70.39</v>
      </c>
      <c r="BM241" s="2">
        <v>9.85</v>
      </c>
      <c r="BN241" s="2">
        <v>80.239999999999995</v>
      </c>
      <c r="BO241" s="2">
        <v>80.239999999999995</v>
      </c>
      <c r="BP241" s="2"/>
      <c r="BQ241" s="2" t="s">
        <v>1071</v>
      </c>
      <c r="BR241" s="2" t="s">
        <v>83</v>
      </c>
      <c r="BS241" s="1" t="s">
        <v>972</v>
      </c>
      <c r="BT241" s="2"/>
      <c r="BU241" s="2"/>
      <c r="BV241" s="2"/>
      <c r="BW241" s="2"/>
      <c r="BX241" s="2"/>
      <c r="BY241" s="2">
        <v>6800</v>
      </c>
      <c r="BZ241" s="2"/>
      <c r="CA241" s="2"/>
      <c r="CB241" s="2"/>
      <c r="CC241" s="2" t="s">
        <v>192</v>
      </c>
      <c r="CD241" s="2">
        <v>5247</v>
      </c>
      <c r="CE241" s="2" t="s">
        <v>939</v>
      </c>
      <c r="CF241" s="2"/>
      <c r="CG241" s="2"/>
      <c r="CH241" s="2"/>
      <c r="CI241" s="2">
        <v>1</v>
      </c>
      <c r="CJ241" s="2" t="s">
        <v>972</v>
      </c>
      <c r="CK241" s="2">
        <v>33</v>
      </c>
      <c r="CL241" s="2" t="s">
        <v>85</v>
      </c>
      <c r="CM241" s="2"/>
    </row>
    <row r="242" spans="1:91">
      <c r="A242" s="2" t="s">
        <v>275</v>
      </c>
      <c r="B242" s="2" t="s">
        <v>72</v>
      </c>
      <c r="C242" s="2" t="s">
        <v>73</v>
      </c>
      <c r="D242" s="2"/>
      <c r="E242" s="2" t="str">
        <f>"029907801055"</f>
        <v>029907801055</v>
      </c>
      <c r="F242" s="3">
        <v>43038</v>
      </c>
      <c r="G242" s="2">
        <v>201804</v>
      </c>
      <c r="H242" s="2" t="s">
        <v>234</v>
      </c>
      <c r="I242" s="2" t="s">
        <v>235</v>
      </c>
      <c r="J242" s="2" t="s">
        <v>276</v>
      </c>
      <c r="K242" s="2" t="s">
        <v>77</v>
      </c>
      <c r="L242" s="2" t="s">
        <v>105</v>
      </c>
      <c r="M242" s="2" t="s">
        <v>106</v>
      </c>
      <c r="N242" s="2" t="s">
        <v>850</v>
      </c>
      <c r="O242" s="2" t="s">
        <v>278</v>
      </c>
      <c r="P242" s="2" t="str">
        <f>"11942270FM                    "</f>
        <v xml:space="preserve">11942270FM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4.33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1</v>
      </c>
      <c r="BI242" s="2">
        <v>1</v>
      </c>
      <c r="BJ242" s="2">
        <v>0.2</v>
      </c>
      <c r="BK242" s="2">
        <v>1</v>
      </c>
      <c r="BL242" s="2">
        <v>36.33</v>
      </c>
      <c r="BM242" s="2">
        <v>5.09</v>
      </c>
      <c r="BN242" s="2">
        <v>41.42</v>
      </c>
      <c r="BO242" s="2">
        <v>41.42</v>
      </c>
      <c r="BP242" s="2"/>
      <c r="BQ242" s="2" t="s">
        <v>928</v>
      </c>
      <c r="BR242" s="2" t="s">
        <v>280</v>
      </c>
      <c r="BS242" s="3">
        <v>43039</v>
      </c>
      <c r="BT242" s="4">
        <v>0.3833333333333333</v>
      </c>
      <c r="BU242" s="2" t="s">
        <v>1068</v>
      </c>
      <c r="BV242" s="2" t="s">
        <v>96</v>
      </c>
      <c r="BW242" s="2"/>
      <c r="BX242" s="2"/>
      <c r="BY242" s="2">
        <v>1200</v>
      </c>
      <c r="BZ242" s="2" t="s">
        <v>27</v>
      </c>
      <c r="CA242" s="2" t="s">
        <v>900</v>
      </c>
      <c r="CB242" s="2"/>
      <c r="CC242" s="2" t="s">
        <v>106</v>
      </c>
      <c r="CD242" s="2">
        <v>2021</v>
      </c>
      <c r="CE242" s="2" t="s">
        <v>283</v>
      </c>
      <c r="CF242" s="2"/>
      <c r="CG242" s="2"/>
      <c r="CH242" s="2"/>
      <c r="CI242" s="2">
        <v>1</v>
      </c>
      <c r="CJ242" s="2">
        <v>1</v>
      </c>
      <c r="CK242" s="2">
        <v>21</v>
      </c>
      <c r="CL242" s="2" t="s">
        <v>85</v>
      </c>
      <c r="CM242" s="2"/>
    </row>
    <row r="243" spans="1:91">
      <c r="A243" s="2" t="s">
        <v>275</v>
      </c>
      <c r="B243" s="2" t="s">
        <v>72</v>
      </c>
      <c r="C243" s="2" t="s">
        <v>73</v>
      </c>
      <c r="D243" s="2"/>
      <c r="E243" s="2" t="str">
        <f>"029907801054"</f>
        <v>029907801054</v>
      </c>
      <c r="F243" s="3">
        <v>43038</v>
      </c>
      <c r="G243" s="2">
        <v>201804</v>
      </c>
      <c r="H243" s="2" t="s">
        <v>234</v>
      </c>
      <c r="I243" s="2" t="s">
        <v>235</v>
      </c>
      <c r="J243" s="2" t="s">
        <v>276</v>
      </c>
      <c r="K243" s="2" t="s">
        <v>77</v>
      </c>
      <c r="L243" s="2" t="s">
        <v>149</v>
      </c>
      <c r="M243" s="2" t="s">
        <v>150</v>
      </c>
      <c r="N243" s="2" t="s">
        <v>463</v>
      </c>
      <c r="O243" s="2" t="s">
        <v>278</v>
      </c>
      <c r="P243" s="2" t="str">
        <f>"1194 2270FM                   "</f>
        <v xml:space="preserve">1194 2270FM  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4.33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1</v>
      </c>
      <c r="BI243" s="2">
        <v>1</v>
      </c>
      <c r="BJ243" s="2">
        <v>0.2</v>
      </c>
      <c r="BK243" s="2">
        <v>1</v>
      </c>
      <c r="BL243" s="2">
        <v>36.33</v>
      </c>
      <c r="BM243" s="2">
        <v>5.09</v>
      </c>
      <c r="BN243" s="2">
        <v>41.42</v>
      </c>
      <c r="BO243" s="2">
        <v>41.42</v>
      </c>
      <c r="BP243" s="2"/>
      <c r="BQ243" s="2" t="s">
        <v>974</v>
      </c>
      <c r="BR243" s="2" t="s">
        <v>280</v>
      </c>
      <c r="BS243" s="3">
        <v>43039</v>
      </c>
      <c r="BT243" s="4">
        <v>0.39166666666666666</v>
      </c>
      <c r="BU243" s="2" t="s">
        <v>1072</v>
      </c>
      <c r="BV243" s="2" t="s">
        <v>96</v>
      </c>
      <c r="BW243" s="2"/>
      <c r="BX243" s="2"/>
      <c r="BY243" s="2">
        <v>1200</v>
      </c>
      <c r="BZ243" s="2" t="s">
        <v>27</v>
      </c>
      <c r="CA243" s="2" t="s">
        <v>282</v>
      </c>
      <c r="CB243" s="2"/>
      <c r="CC243" s="2" t="s">
        <v>150</v>
      </c>
      <c r="CD243" s="2">
        <v>8000</v>
      </c>
      <c r="CE243" s="2" t="s">
        <v>283</v>
      </c>
      <c r="CF243" s="5">
        <v>43039</v>
      </c>
      <c r="CG243" s="2"/>
      <c r="CH243" s="2"/>
      <c r="CI243" s="2">
        <v>1</v>
      </c>
      <c r="CJ243" s="2">
        <v>1</v>
      </c>
      <c r="CK243" s="2">
        <v>21</v>
      </c>
      <c r="CL243" s="2" t="s">
        <v>85</v>
      </c>
      <c r="CM243" s="2"/>
    </row>
    <row r="244" spans="1:91">
      <c r="A244" s="2" t="s">
        <v>71</v>
      </c>
      <c r="B244" s="2" t="s">
        <v>72</v>
      </c>
      <c r="C244" s="2" t="s">
        <v>73</v>
      </c>
      <c r="D244" s="2"/>
      <c r="E244" s="2" t="str">
        <f>"019910941471"</f>
        <v>019910941471</v>
      </c>
      <c r="F244" s="3">
        <v>43039</v>
      </c>
      <c r="G244" s="2">
        <v>201804</v>
      </c>
      <c r="H244" s="2" t="s">
        <v>74</v>
      </c>
      <c r="I244" s="2" t="s">
        <v>75</v>
      </c>
      <c r="J244" s="2" t="s">
        <v>1073</v>
      </c>
      <c r="K244" s="2" t="s">
        <v>77</v>
      </c>
      <c r="L244" s="2" t="s">
        <v>347</v>
      </c>
      <c r="M244" s="2" t="s">
        <v>348</v>
      </c>
      <c r="N244" s="2" t="s">
        <v>701</v>
      </c>
      <c r="O244" s="2" t="s">
        <v>81</v>
      </c>
      <c r="P244" s="2" t="str">
        <f>"145250                        "</f>
        <v xml:space="preserve">145250    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10.96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1</v>
      </c>
      <c r="BI244" s="2">
        <v>2.5</v>
      </c>
      <c r="BJ244" s="2">
        <v>8</v>
      </c>
      <c r="BK244" s="2">
        <v>8</v>
      </c>
      <c r="BL244" s="2">
        <v>96.96</v>
      </c>
      <c r="BM244" s="2">
        <v>13.57</v>
      </c>
      <c r="BN244" s="2">
        <v>110.53</v>
      </c>
      <c r="BO244" s="2">
        <v>110.53</v>
      </c>
      <c r="BP244" s="2"/>
      <c r="BQ244" s="2" t="s">
        <v>1074</v>
      </c>
      <c r="BR244" s="2" t="s">
        <v>947</v>
      </c>
      <c r="BS244" s="1" t="s">
        <v>972</v>
      </c>
      <c r="BT244" s="2"/>
      <c r="BU244" s="2"/>
      <c r="BV244" s="2"/>
      <c r="BW244" s="2"/>
      <c r="BX244" s="2"/>
      <c r="BY244" s="2">
        <v>39830.559999999998</v>
      </c>
      <c r="BZ244" s="2"/>
      <c r="CA244" s="2"/>
      <c r="CB244" s="2"/>
      <c r="CC244" s="2" t="s">
        <v>348</v>
      </c>
      <c r="CD244" s="2">
        <v>3867</v>
      </c>
      <c r="CE244" s="2" t="s">
        <v>283</v>
      </c>
      <c r="CF244" s="2"/>
      <c r="CG244" s="2"/>
      <c r="CH244" s="2"/>
      <c r="CI244" s="2">
        <v>5</v>
      </c>
      <c r="CJ244" s="2" t="s">
        <v>972</v>
      </c>
      <c r="CK244" s="2" t="s">
        <v>174</v>
      </c>
      <c r="CL244" s="2" t="s">
        <v>85</v>
      </c>
      <c r="CM244" s="2"/>
    </row>
    <row r="245" spans="1:91">
      <c r="A245" s="2"/>
      <c r="B245" s="2"/>
      <c r="C245" s="2"/>
      <c r="D245" s="2"/>
      <c r="E245" s="2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1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</row>
    <row r="246" spans="1:91">
      <c r="A246" s="1"/>
      <c r="B246" s="1"/>
      <c r="C246" s="1"/>
      <c r="D246" s="1"/>
      <c r="E246" s="1" t="s">
        <v>1075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300</v>
      </c>
      <c r="AF246" s="1">
        <v>0</v>
      </c>
      <c r="AG246" s="1">
        <v>800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4014.68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/>
      <c r="BI246" s="1">
        <v>6819.4</v>
      </c>
      <c r="BJ246" s="1">
        <v>4908.6000000000004</v>
      </c>
      <c r="BK246" s="1">
        <v>7737</v>
      </c>
      <c r="BL246" s="1">
        <v>37645.85</v>
      </c>
      <c r="BM246" s="1">
        <v>5270.49</v>
      </c>
      <c r="BN246" s="1">
        <v>42916.34</v>
      </c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</row>
    <row r="247" spans="1:91">
      <c r="A247" s="2"/>
      <c r="B247" s="2"/>
      <c r="C247" s="2"/>
      <c r="D247" s="2"/>
      <c r="E247" s="2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1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</row>
    <row r="248" spans="1:91">
      <c r="A248" s="2"/>
      <c r="B248" s="2"/>
      <c r="C248" s="2"/>
      <c r="D248" s="2"/>
      <c r="E248" s="2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1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</row>
    <row r="249" spans="1:91">
      <c r="A249" s="2"/>
      <c r="B249" s="2"/>
      <c r="C249" s="2"/>
      <c r="D249" s="2"/>
      <c r="E249" s="2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1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2017-11-01T07:11:44Z</dcterms:created>
  <dcterms:modified xsi:type="dcterms:W3CDTF">2017-11-01T07:12:00Z</dcterms:modified>
</cp:coreProperties>
</file>