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J19267" sheetId="1" r:id="rId1"/>
  </sheets>
  <calcPr calcId="145621"/>
</workbook>
</file>

<file path=xl/calcChain.xml><?xml version="1.0" encoding="utf-8"?>
<calcChain xmlns="http://schemas.openxmlformats.org/spreadsheetml/2006/main">
  <c r="P208" i="1" l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<sst xmlns="http://schemas.openxmlformats.org/spreadsheetml/2006/main" count="4221" uniqueCount="853">
  <si>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</si>
  <si>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</si>
  <si>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</si>
  <si>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</si>
  <si>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</si>
  <si>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</si>
  <si>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</si>
  <si>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</si>
  <si>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</si>
  <si>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</si>
  <si>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</si>
  <si>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</si>
  <si>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</si>
  <si>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</si>
  <si>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</si>
  <si>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</si>
  <si>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</si>
  <si>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</si>
  <si>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</si>
  <si>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</si>
  <si>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</si>
  <si>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BSP</t>
  </si>
  <si>
    <t>CSH</t>
  </si>
  <si>
    <t>CTL</t>
  </si>
  <si>
    <t>DOC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</si>
  <si>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</si>
  <si>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</si>
  <si>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</si>
  <si>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</si>
  <si>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</si>
  <si>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</si>
  <si>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</si>
  <si>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</si>
  <si>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</si>
  <si>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</si>
  <si>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</si>
  <si>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</si>
  <si>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</si>
  <si>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</si>
  <si>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</si>
  <si>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</si>
  <si>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</si>
  <si>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</si>
  <si>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</si>
  <si>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</si>
  <si>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</si>
  <si>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</si>
  <si>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</si>
  <si>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</si>
  <si>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</si>
  <si>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</si>
  <si>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</si>
  <si>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</si>
  <si>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</si>
  <si>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</si>
  <si>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</si>
  <si>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</si>
  <si>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</si>
  <si>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</si>
  <si>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</si>
  <si>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</si>
  <si>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</si>
  <si>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</si>
  <si>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</si>
  <si>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</si>
  <si>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</si>
  <si>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</si>
  <si>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</si>
  <si>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</si>
  <si>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</si>
  <si>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</si>
  <si>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</si>
  <si>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</si>
  <si>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</si>
  <si>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</si>
  <si>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PIET1</t>
  </si>
  <si>
    <t>PIETERMARITZBURG</t>
  </si>
  <si>
    <t xml:space="preserve">PVT                                </t>
  </si>
  <si>
    <t xml:space="preserve">                                   </t>
  </si>
  <si>
    <t>CAPET</t>
  </si>
  <si>
    <t>CAPE TOWN</t>
  </si>
  <si>
    <t xml:space="preserve">LUGGAGE WAREHOUSE                  </t>
  </si>
  <si>
    <t>ON1</t>
  </si>
  <si>
    <t>HAYLEY HERMAN</t>
  </si>
  <si>
    <t>reece</t>
  </si>
  <si>
    <t>no</t>
  </si>
  <si>
    <t>Late Linehaul Delayed Beyond Skynet Control</t>
  </si>
  <si>
    <t>jlc</t>
  </si>
  <si>
    <t>FUE / DOC</t>
  </si>
  <si>
    <t>POD received from cell 0736814363 M</t>
  </si>
  <si>
    <t>PARCEL</t>
  </si>
  <si>
    <t>SANDT</t>
  </si>
  <si>
    <t>SANDTON</t>
  </si>
  <si>
    <t xml:space="preserve">NA                                 </t>
  </si>
  <si>
    <t xml:space="preserve">LIGHTING REVOLUTION                </t>
  </si>
  <si>
    <t>DBC</t>
  </si>
  <si>
    <t>RENARDO NURAA</t>
  </si>
  <si>
    <t>IZA HARDY</t>
  </si>
  <si>
    <t>reele</t>
  </si>
  <si>
    <t>yes</t>
  </si>
  <si>
    <t>NELSP</t>
  </si>
  <si>
    <t>NELSPRUIT</t>
  </si>
  <si>
    <t xml:space="preserve">DIPLOMAT NELSPRUIT                 </t>
  </si>
  <si>
    <t>.</t>
  </si>
  <si>
    <t>Douglas</t>
  </si>
  <si>
    <t>doc</t>
  </si>
  <si>
    <t>POD received from cell 0825481173 M</t>
  </si>
  <si>
    <t>MIDRA</t>
  </si>
  <si>
    <t>MIDRAND</t>
  </si>
  <si>
    <t>ON2</t>
  </si>
  <si>
    <t>THULASIZWE MAHAYE</t>
  </si>
  <si>
    <t>refiloe</t>
  </si>
  <si>
    <t>KRUGE</t>
  </si>
  <si>
    <t>KRUGERSDORP</t>
  </si>
  <si>
    <t xml:space="preserve">SPEC SAVERS KEYWEST SHOPPING       </t>
  </si>
  <si>
    <t>CHANDRE VAN VUUREN</t>
  </si>
  <si>
    <t>patrlcia</t>
  </si>
  <si>
    <t>Appointment required</t>
  </si>
  <si>
    <t>amt</t>
  </si>
  <si>
    <t>POD received from cell 0727881903 M</t>
  </si>
  <si>
    <t>PRETO</t>
  </si>
  <si>
    <t>PRETORIA</t>
  </si>
  <si>
    <t>AMANDA STOVALL</t>
  </si>
  <si>
    <t>Bennet</t>
  </si>
  <si>
    <t>POD received from cell 0723940461 M</t>
  </si>
  <si>
    <t>JOHAN</t>
  </si>
  <si>
    <t>JOHANNESBURG</t>
  </si>
  <si>
    <t>LONDIWE SITHOLE</t>
  </si>
  <si>
    <t>Vusi</t>
  </si>
  <si>
    <t>HND / doc</t>
  </si>
  <si>
    <t>POD received from cell 0827078103 M</t>
  </si>
  <si>
    <t>GEORG</t>
  </si>
  <si>
    <t>GEORGE</t>
  </si>
  <si>
    <t xml:space="preserve">VAN RENSBURGS AUCTIONS             </t>
  </si>
  <si>
    <t>LIZE VAN RENSBURG</t>
  </si>
  <si>
    <t>signed</t>
  </si>
  <si>
    <t>j19267</t>
  </si>
  <si>
    <t>AGGEN</t>
  </si>
  <si>
    <t>AGGENEYS</t>
  </si>
  <si>
    <t xml:space="preserve">ANNE CLOETE                        </t>
  </si>
  <si>
    <t xml:space="preserve">LUGGAGE W HSE                      </t>
  </si>
  <si>
    <t>LUSANDA SNYMAN</t>
  </si>
  <si>
    <t>JACOB</t>
  </si>
  <si>
    <t>JACOBSDAL</t>
  </si>
  <si>
    <t>ALNA SMIT</t>
  </si>
  <si>
    <t>marietjie</t>
  </si>
  <si>
    <t>POD received from cell 0766619614 M</t>
  </si>
  <si>
    <t>VANDE</t>
  </si>
  <si>
    <t>VANDERBIJLPARK</t>
  </si>
  <si>
    <t xml:space="preserve">EXSELL-IT PTY LTD                  </t>
  </si>
  <si>
    <t>CORNE STEENKAMP</t>
  </si>
  <si>
    <t>sterky</t>
  </si>
  <si>
    <t>POD received from cell 0824468165 M</t>
  </si>
  <si>
    <t>KEMPT</t>
  </si>
  <si>
    <t>KEMPTON PARK</t>
  </si>
  <si>
    <t>ALFRED BUKA</t>
  </si>
  <si>
    <t>tshepo</t>
  </si>
  <si>
    <t>THEMBA KUBHEKA</t>
  </si>
  <si>
    <t>Themba</t>
  </si>
  <si>
    <t>POD received from cell 0849783185 M</t>
  </si>
  <si>
    <t>STEL2</t>
  </si>
  <si>
    <t>STELLENBOSCH</t>
  </si>
  <si>
    <t xml:space="preserve">THERON DU PLESSIS-REKENMEESTER     </t>
  </si>
  <si>
    <t>MONTE</t>
  </si>
  <si>
    <t xml:space="preserve">jana                          </t>
  </si>
  <si>
    <t xml:space="preserve">POD received from cell 0738726261 M     </t>
  </si>
  <si>
    <t>ONKGOPOTSE BOIKANYO</t>
  </si>
  <si>
    <t>OnkgopOTSE</t>
  </si>
  <si>
    <t>POD received from cell 0837323487 M</t>
  </si>
  <si>
    <t>CHARLES EDELSTEIN</t>
  </si>
  <si>
    <t xml:space="preserve">linda                         </t>
  </si>
  <si>
    <t xml:space="preserve">POD received from cell 0844041348 M     </t>
  </si>
  <si>
    <t>FARAH ESSOP</t>
  </si>
  <si>
    <t>Farah</t>
  </si>
  <si>
    <t>POD received from cell 0840830186 M</t>
  </si>
  <si>
    <t>GONUB</t>
  </si>
  <si>
    <t>GONUBIE</t>
  </si>
  <si>
    <t>KATHERINE BREWIS</t>
  </si>
  <si>
    <t>brews</t>
  </si>
  <si>
    <t xml:space="preserve">CELLINI THE GLEN                   </t>
  </si>
  <si>
    <t>SWAZI</t>
  </si>
  <si>
    <t>conny</t>
  </si>
  <si>
    <t>POD received from cell 0678134562 M</t>
  </si>
  <si>
    <t>EAST</t>
  </si>
  <si>
    <t>EAST LONDON</t>
  </si>
  <si>
    <t xml:space="preserve">JOHN WOODS PLACE                   </t>
  </si>
  <si>
    <t>SANDY HUGO</t>
  </si>
  <si>
    <t>S HUG</t>
  </si>
  <si>
    <t>CERES</t>
  </si>
  <si>
    <t>DUWALD HULL</t>
  </si>
  <si>
    <t>c fredricks</t>
  </si>
  <si>
    <t>POD received from cell 0718252724 M</t>
  </si>
  <si>
    <t xml:space="preserve">COIRTEX                            </t>
  </si>
  <si>
    <t>RIVER</t>
  </si>
  <si>
    <t>RIVERSDALE</t>
  </si>
  <si>
    <t xml:space="preserve">SSK RIVERSDAL                      </t>
  </si>
  <si>
    <t>JOB:11720</t>
  </si>
  <si>
    <t>RABIA</t>
  </si>
  <si>
    <t>janine</t>
  </si>
  <si>
    <t>CSH / doc</t>
  </si>
  <si>
    <t>KNYSN</t>
  </si>
  <si>
    <t>KNYSNA</t>
  </si>
  <si>
    <t xml:space="preserve">SSK KNYSNA                         </t>
  </si>
  <si>
    <t>JOB:11730</t>
  </si>
  <si>
    <t>Emma</t>
  </si>
  <si>
    <t>CALIT</t>
  </si>
  <si>
    <t>CALITZDORP</t>
  </si>
  <si>
    <t xml:space="preserve">KLEIN KAROO AGRI                   </t>
  </si>
  <si>
    <t>JOB:11733</t>
  </si>
  <si>
    <t>Maruwaan</t>
  </si>
  <si>
    <t xml:space="preserve">KLEIN KARRO AGRI                   </t>
  </si>
  <si>
    <t>JOB:11731</t>
  </si>
  <si>
    <t>HERMA</t>
  </si>
  <si>
    <t>HERMANUS</t>
  </si>
  <si>
    <t xml:space="preserve">TOP CARPET HERMANUS                </t>
  </si>
  <si>
    <t>JOB:11724</t>
  </si>
  <si>
    <t>TOP CARPET HERMANUS</t>
  </si>
  <si>
    <t>gustuv</t>
  </si>
  <si>
    <t>POD received from cell 0737748150 M</t>
  </si>
  <si>
    <t>POD received from cell 0678407293 M</t>
  </si>
  <si>
    <t xml:space="preserve">TRIMNE                             </t>
  </si>
  <si>
    <t xml:space="preserve">TIMBERBAY                          </t>
  </si>
  <si>
    <t>PAUL JABOUR</t>
  </si>
  <si>
    <t>RICARDO</t>
  </si>
  <si>
    <t>Paul</t>
  </si>
  <si>
    <t>Outlying delivery location</t>
  </si>
  <si>
    <t>jam</t>
  </si>
  <si>
    <t>POD received from cell 0729180214 M</t>
  </si>
  <si>
    <t>RANDB</t>
  </si>
  <si>
    <t>RANDBURG</t>
  </si>
  <si>
    <t>PETRO SPRENG</t>
  </si>
  <si>
    <t xml:space="preserve">petro                         </t>
  </si>
  <si>
    <t xml:space="preserve">POD received from cell 0769347056 M     </t>
  </si>
  <si>
    <t xml:space="preserve">P1 PARK PLAZA                      </t>
  </si>
  <si>
    <t>SANDRA SENATORE</t>
  </si>
  <si>
    <t>sandra</t>
  </si>
  <si>
    <t>Driver late</t>
  </si>
  <si>
    <t>TES</t>
  </si>
  <si>
    <t>POD received from cell 0606209324 M</t>
  </si>
  <si>
    <t>DEBORAH SENDIN</t>
  </si>
  <si>
    <t>Debbie</t>
  </si>
  <si>
    <t>POD received from cell 0626229785 M</t>
  </si>
  <si>
    <t>VILL2</t>
  </si>
  <si>
    <t>VILLIERSDORP</t>
  </si>
  <si>
    <t xml:space="preserve">THEE WATER SPORTS CLUB             </t>
  </si>
  <si>
    <t>JULIE LE ROUX</t>
  </si>
  <si>
    <t>willem</t>
  </si>
  <si>
    <t>POD received from cell 0659246600 M</t>
  </si>
  <si>
    <t>LEON BHIMA</t>
  </si>
  <si>
    <t>leon</t>
  </si>
  <si>
    <t>POD received from cell 0769347056 M</t>
  </si>
  <si>
    <t>STILF</t>
  </si>
  <si>
    <t>STILFONTEIN</t>
  </si>
  <si>
    <t xml:space="preserve">LEZANNE SWANEPOEL INC              </t>
  </si>
  <si>
    <t>ANE POTGIETER</t>
  </si>
  <si>
    <t>H Cripps</t>
  </si>
  <si>
    <t>POD received from cell 0836925391 M</t>
  </si>
  <si>
    <t xml:space="preserve">ELEGANCE JEWELLERS                 </t>
  </si>
  <si>
    <t>NICK ALTA</t>
  </si>
  <si>
    <t>Lizy</t>
  </si>
  <si>
    <t>POD received from cell 0818590343 M</t>
  </si>
  <si>
    <t xml:space="preserve">MICHALAH FRANCIS                   </t>
  </si>
  <si>
    <t>MICHALAH FRANCIS</t>
  </si>
  <si>
    <t>POD received from cell 0624916044 M</t>
  </si>
  <si>
    <t xml:space="preserve">HILLSIDE EST                       </t>
  </si>
  <si>
    <t>EBEN GREYVENSTEIN</t>
  </si>
  <si>
    <t>Eben</t>
  </si>
  <si>
    <t>POD received from cell 0665269457 M</t>
  </si>
  <si>
    <t xml:space="preserve">NEW ERA CHICKENS COLD STORAGE      </t>
  </si>
  <si>
    <t>NATALIE DE COCOO</t>
  </si>
  <si>
    <t>Ricardo</t>
  </si>
  <si>
    <t xml:space="preserve">GLENDOWER GOLF EST                 </t>
  </si>
  <si>
    <t>LUISA DA MATA</t>
  </si>
  <si>
    <t>damata</t>
  </si>
  <si>
    <t>POD received from cell 0673273755 M</t>
  </si>
  <si>
    <t xml:space="preserve">THE LUGGAGE CO                     </t>
  </si>
  <si>
    <t>LEIGH MACKIE</t>
  </si>
  <si>
    <t>Kevin</t>
  </si>
  <si>
    <t>marie</t>
  </si>
  <si>
    <t>RUSTE</t>
  </si>
  <si>
    <t>RUSTENBURG</t>
  </si>
  <si>
    <t xml:space="preserve">CHAHNE LEVY                        </t>
  </si>
  <si>
    <t>CHAHNE LEVY</t>
  </si>
  <si>
    <t>POD received from cell 0729194064 M</t>
  </si>
  <si>
    <t>ATLAN</t>
  </si>
  <si>
    <t>ATLANTIS</t>
  </si>
  <si>
    <t xml:space="preserve">ATLANTIS FOUNDARIES                </t>
  </si>
  <si>
    <t>GENERAL STORES</t>
  </si>
  <si>
    <t>stamp</t>
  </si>
  <si>
    <t>POD received from cell 0844549356 M</t>
  </si>
  <si>
    <t xml:space="preserve">INTERBRAND                         </t>
  </si>
  <si>
    <t>NA</t>
  </si>
  <si>
    <t>sara</t>
  </si>
  <si>
    <t>Bad address</t>
  </si>
  <si>
    <t>SYSTEM</t>
  </si>
  <si>
    <t>POD received from cell 0647909777 M</t>
  </si>
  <si>
    <t>SOME2</t>
  </si>
  <si>
    <t>SOMERSET WEST</t>
  </si>
  <si>
    <t xml:space="preserve">CELLINI                            </t>
  </si>
  <si>
    <t xml:space="preserve">LUSSE WAREHOSE                     </t>
  </si>
  <si>
    <t>GRAVE</t>
  </si>
  <si>
    <t>STRAN</t>
  </si>
  <si>
    <t>STRAND</t>
  </si>
  <si>
    <t xml:space="preserve">LUGGAGE STORE                      </t>
  </si>
  <si>
    <t>SDX</t>
  </si>
  <si>
    <t>ARRANGE BY ENRICO</t>
  </si>
  <si>
    <t>GRACE</t>
  </si>
  <si>
    <t>RECARDO</t>
  </si>
  <si>
    <t>DSD / doc</t>
  </si>
  <si>
    <t xml:space="preserve">reele                         </t>
  </si>
  <si>
    <t xml:space="preserve">POD received from cell 0736814363 M     </t>
  </si>
  <si>
    <t>UMHLA</t>
  </si>
  <si>
    <t>UMHLANGA ROCKS</t>
  </si>
  <si>
    <t xml:space="preserve">SUE DE LA PORTE                    </t>
  </si>
  <si>
    <t>SUE DE LA PORTE</t>
  </si>
  <si>
    <t>POD received from cell 0612584073 M</t>
  </si>
  <si>
    <t xml:space="preserve">C O MERRICK                        </t>
  </si>
  <si>
    <t>SABRINA JENRICH</t>
  </si>
  <si>
    <t>Cynthia</t>
  </si>
  <si>
    <t>Consignee not available)</t>
  </si>
  <si>
    <t>POD received from cell 0822621815 M</t>
  </si>
  <si>
    <t xml:space="preserve">MARKUS KARHONEN                    </t>
  </si>
  <si>
    <t>MARKUS KARHONEN</t>
  </si>
  <si>
    <t>don</t>
  </si>
  <si>
    <t>POD received from cell 0735999620 M</t>
  </si>
  <si>
    <t>ROODE</t>
  </si>
  <si>
    <t>ROODEPOORT</t>
  </si>
  <si>
    <t xml:space="preserve">DINAH MAC MANNEVELDT               </t>
  </si>
  <si>
    <t>Casper</t>
  </si>
  <si>
    <t>POD received from cell 0643226593 M</t>
  </si>
  <si>
    <t>LEEANNE GOLIATH</t>
  </si>
  <si>
    <t>poet</t>
  </si>
  <si>
    <t>BENON</t>
  </si>
  <si>
    <t>BENONI</t>
  </si>
  <si>
    <t xml:space="preserve">GLYNWOOD MEDICAL SUITES 102        </t>
  </si>
  <si>
    <t>ELIZE WETHMAN</t>
  </si>
  <si>
    <t>moll</t>
  </si>
  <si>
    <t>POD received from cell 0729630904 M</t>
  </si>
  <si>
    <t>hayley</t>
  </si>
  <si>
    <t>POD received from cell 0784468189 M</t>
  </si>
  <si>
    <t xml:space="preserve">SITARI COUNTRY ESTATE              </t>
  </si>
  <si>
    <t>PLEASE CALL MEGAN-0828553313 FOR ACCESS CODE TO THE ESTAE</t>
  </si>
  <si>
    <t>MEGAN TER HAAR</t>
  </si>
  <si>
    <t>Megan</t>
  </si>
  <si>
    <t>POD received from cell 0671592618 M</t>
  </si>
  <si>
    <t>ZAINAB BHAMJEE</t>
  </si>
  <si>
    <t>zanab</t>
  </si>
  <si>
    <t>POD received from cell 0720482210 M</t>
  </si>
  <si>
    <t>RONELL VAN STADEN</t>
  </si>
  <si>
    <t>Nel</t>
  </si>
  <si>
    <t>mmd</t>
  </si>
  <si>
    <t>POD received from cell 0797027751 M</t>
  </si>
  <si>
    <t>HOPET</t>
  </si>
  <si>
    <t>HOPETOWN</t>
  </si>
  <si>
    <t>PIETER MOLLER</t>
  </si>
  <si>
    <t>marie moller</t>
  </si>
  <si>
    <t xml:space="preserve">CANDICE BROPHY                     </t>
  </si>
  <si>
    <t>CANDICE BROPHY</t>
  </si>
  <si>
    <t>REECE</t>
  </si>
  <si>
    <t>TZANE</t>
  </si>
  <si>
    <t>TZANEEN</t>
  </si>
  <si>
    <t xml:space="preserve">VKB TZANEEN                        </t>
  </si>
  <si>
    <t>O NO:TZAH492567</t>
  </si>
  <si>
    <t>VKB TZANEEN</t>
  </si>
  <si>
    <t>goomern</t>
  </si>
  <si>
    <t>POD received from cell 0766992819 M</t>
  </si>
  <si>
    <t>GRABO</t>
  </si>
  <si>
    <t>GRABOUW</t>
  </si>
  <si>
    <t xml:space="preserve">ELGIN AGRIMARK                     </t>
  </si>
  <si>
    <t>O NO:VESAR00153185</t>
  </si>
  <si>
    <t>ELGIN AGRIMARK</t>
  </si>
  <si>
    <t>illeg</t>
  </si>
  <si>
    <t>CSH / doc / FUE</t>
  </si>
  <si>
    <t>UPING</t>
  </si>
  <si>
    <t>UPINGTON</t>
  </si>
  <si>
    <t xml:space="preserve">UPINGTON AGRIMARK                  </t>
  </si>
  <si>
    <t>O NO:OBSNR00128979</t>
  </si>
  <si>
    <t>UPINGTON AGRIMARK</t>
  </si>
  <si>
    <t>JHONNS</t>
  </si>
  <si>
    <t>POD received from cell 0611162104 M</t>
  </si>
  <si>
    <t>EMPAN</t>
  </si>
  <si>
    <t>EMPANGENI</t>
  </si>
  <si>
    <t>UDHIR HUNSRAJ</t>
  </si>
  <si>
    <t>CEBISILE</t>
  </si>
  <si>
    <t>POD received from cell 0723814514 M</t>
  </si>
  <si>
    <t>PARYS</t>
  </si>
  <si>
    <t>WILMA GERBER</t>
  </si>
  <si>
    <t>Samuel security</t>
  </si>
  <si>
    <t>POD received from cell 0630469527 M</t>
  </si>
  <si>
    <t>ALBE2</t>
  </si>
  <si>
    <t>ALBERTON</t>
  </si>
  <si>
    <t>JONATHAN VAN DER MESCHT</t>
  </si>
  <si>
    <t xml:space="preserve">Jonathan                      </t>
  </si>
  <si>
    <t xml:space="preserve">POD received from cell 0782023821 M     </t>
  </si>
  <si>
    <t xml:space="preserve">COIRTEX W HSE                      </t>
  </si>
  <si>
    <t>PORT3</t>
  </si>
  <si>
    <t>PORT ELIZABETH</t>
  </si>
  <si>
    <t xml:space="preserve">UPTONS                             </t>
  </si>
  <si>
    <t>mark</t>
  </si>
  <si>
    <t>CSH / FUE / doc</t>
  </si>
  <si>
    <t>POD received from cell 0659756866 M</t>
  </si>
  <si>
    <t xml:space="preserve">CAROLINE CASTELAN                  </t>
  </si>
  <si>
    <t>CAROLINE CASTELAN</t>
  </si>
  <si>
    <t>POD received from cell 0738726261 M</t>
  </si>
  <si>
    <t>VERWO</t>
  </si>
  <si>
    <t>CENTURION</t>
  </si>
  <si>
    <t>LISA VENTER</t>
  </si>
  <si>
    <t>John</t>
  </si>
  <si>
    <t>FUE / doc</t>
  </si>
  <si>
    <t>POD received from cell 0725230163 M</t>
  </si>
  <si>
    <t>DAVID KOVARSKY</t>
  </si>
  <si>
    <t>david</t>
  </si>
  <si>
    <t xml:space="preserve">MODA KUGGAGE   LEATHER             </t>
  </si>
  <si>
    <t>MODA LUGGAGE FABIO</t>
  </si>
  <si>
    <t>Fabio</t>
  </si>
  <si>
    <t>POD received from cell 0761265903 M</t>
  </si>
  <si>
    <t xml:space="preserve">CELLINI SOMERSET WEST              </t>
  </si>
  <si>
    <t>STORE MANAGER</t>
  </si>
  <si>
    <t>werner</t>
  </si>
  <si>
    <t>BARRY MAYMAN</t>
  </si>
  <si>
    <t>mayvis</t>
  </si>
  <si>
    <t>PAARL</t>
  </si>
  <si>
    <t>RUQAYAH JASSIEM</t>
  </si>
  <si>
    <t>Vehicle breakdown</t>
  </si>
  <si>
    <t>DOC / FUE</t>
  </si>
  <si>
    <t xml:space="preserve">PAUL                               </t>
  </si>
  <si>
    <t>?</t>
  </si>
  <si>
    <t>PAUL</t>
  </si>
  <si>
    <t>SHANE</t>
  </si>
  <si>
    <t>BOX</t>
  </si>
  <si>
    <t xml:space="preserve">MARSH BLOCK A                      </t>
  </si>
  <si>
    <t>NATASHA WYBORN</t>
  </si>
  <si>
    <t>dawood</t>
  </si>
  <si>
    <t>POD received from cell 0672990214 M</t>
  </si>
  <si>
    <t>JUSTINE JOWELL</t>
  </si>
  <si>
    <t>Justin</t>
  </si>
  <si>
    <t>HENNI DE KOCK</t>
  </si>
  <si>
    <t>henni</t>
  </si>
  <si>
    <t>POD received from cell 0782023821 M</t>
  </si>
  <si>
    <t>UMKOM</t>
  </si>
  <si>
    <t>UMKOMAAS</t>
  </si>
  <si>
    <t xml:space="preserve">GJ CROOKES HOSPITAL                </t>
  </si>
  <si>
    <t>ANNE NGETICH</t>
  </si>
  <si>
    <t>ANNE</t>
  </si>
  <si>
    <t>BRIT1</t>
  </si>
  <si>
    <t>BRITS</t>
  </si>
  <si>
    <t xml:space="preserve">KIA MOTORS                         </t>
  </si>
  <si>
    <t>CORNELIA VAN DER MERWE</t>
  </si>
  <si>
    <t>xander</t>
  </si>
  <si>
    <t>POD received from cell 0732673410 M</t>
  </si>
  <si>
    <t>BRAKP</t>
  </si>
  <si>
    <t>BRAKPAN</t>
  </si>
  <si>
    <t xml:space="preserve">GP ANAETHETIC PRACTICE             </t>
  </si>
  <si>
    <t>GOTHYANG MAKUYA</t>
  </si>
  <si>
    <t>gothyang makuya</t>
  </si>
  <si>
    <t>POD received from cell 0734137793 M</t>
  </si>
  <si>
    <t>ALICIA NAIDOO</t>
  </si>
  <si>
    <t>precious</t>
  </si>
  <si>
    <t>POD received from cell 0794449365 M</t>
  </si>
  <si>
    <t>RAYMOND GRIEGER</t>
  </si>
  <si>
    <t>Martin</t>
  </si>
  <si>
    <t>POD received from cell 0810248653 M</t>
  </si>
  <si>
    <t>ESTELLE VAN DER MERWE</t>
  </si>
  <si>
    <t>Estelle</t>
  </si>
  <si>
    <t xml:space="preserve">JUNTO COMPLEX                      </t>
  </si>
  <si>
    <t>GLORIA NOGAHTA</t>
  </si>
  <si>
    <t>Returned to sender on waybill number R00</t>
  </si>
  <si>
    <t xml:space="preserve">REDRICK CONSULTING                 </t>
  </si>
  <si>
    <t>FARGHANA PECK</t>
  </si>
  <si>
    <t>Ellen</t>
  </si>
  <si>
    <t>POD received from cell 0729564722 M</t>
  </si>
  <si>
    <t xml:space="preserve">LELOKO ESTATE                      </t>
  </si>
  <si>
    <t>DESERE ORNELES</t>
  </si>
  <si>
    <t xml:space="preserve">D ONELAS                      </t>
  </si>
  <si>
    <t>HND / FUE / doc</t>
  </si>
  <si>
    <t xml:space="preserve">POD received from cell 0717569233 M     </t>
  </si>
  <si>
    <t xml:space="preserve">ADA LIGTING LAVA                   </t>
  </si>
  <si>
    <t>BLOE1</t>
  </si>
  <si>
    <t>BLOEMFONTEIN</t>
  </si>
  <si>
    <t xml:space="preserve">TRADEZONE COURIERS                 </t>
  </si>
  <si>
    <t>FRANK</t>
  </si>
  <si>
    <t>COLLEEN</t>
  </si>
  <si>
    <t>TRADEZONE COURIERS</t>
  </si>
  <si>
    <t>POD received from cell 0738269435 M</t>
  </si>
  <si>
    <t>PINET</t>
  </si>
  <si>
    <t>PINETOWN</t>
  </si>
  <si>
    <t>LILISHIA GOVENDER</t>
  </si>
  <si>
    <t>ntokozo</t>
  </si>
  <si>
    <t>POD received from cell 0658407544 M</t>
  </si>
  <si>
    <t>KERRY NEL</t>
  </si>
  <si>
    <t>kerry</t>
  </si>
  <si>
    <t>POD received from cell 0844041348 M</t>
  </si>
  <si>
    <t>PIET2</t>
  </si>
  <si>
    <t>PIETERSBURG</t>
  </si>
  <si>
    <t>HENK STANDER</t>
  </si>
  <si>
    <t>Nathasha</t>
  </si>
  <si>
    <t>POD received from cell 0785331999 M</t>
  </si>
  <si>
    <t xml:space="preserve">GODDARD STUDY CENTRE               </t>
  </si>
  <si>
    <t>HEIDN GODDARD</t>
  </si>
  <si>
    <t>goddod</t>
  </si>
  <si>
    <t>cch</t>
  </si>
  <si>
    <t>POD received from cell 0721761312 M</t>
  </si>
  <si>
    <t>MARITZA KRUGER</t>
  </si>
  <si>
    <t>maritza</t>
  </si>
  <si>
    <t>POD received from cell 0833616148 M</t>
  </si>
  <si>
    <t>DEDOO</t>
  </si>
  <si>
    <t>DE DOORNS</t>
  </si>
  <si>
    <t>JESSICA MICHAELS</t>
  </si>
  <si>
    <t>Amore</t>
  </si>
  <si>
    <t>Late linehaul</t>
  </si>
  <si>
    <t>NGF</t>
  </si>
  <si>
    <t>POD received from cell 0825245661 M</t>
  </si>
  <si>
    <t xml:space="preserve">WEAVIND   WEAVIND INC              </t>
  </si>
  <si>
    <t>INGE-MARI JANSE VAN RENSBURG</t>
  </si>
  <si>
    <t>chanry</t>
  </si>
  <si>
    <t xml:space="preserve">IMPALA PLATINUM MINE               </t>
  </si>
  <si>
    <t>PHUMEZA MAGOPENI</t>
  </si>
  <si>
    <t>DEWALD GELDENHUYS</t>
  </si>
  <si>
    <t>Dewald</t>
  </si>
  <si>
    <t xml:space="preserve">YORKSHIRE ESTATE                   </t>
  </si>
  <si>
    <t>NADIEMA JACOBS</t>
  </si>
  <si>
    <t>N Jacobs</t>
  </si>
  <si>
    <t>POD received from cell 0747997508 M</t>
  </si>
  <si>
    <t xml:space="preserve">TIMBERBAY SERVICES                 </t>
  </si>
  <si>
    <t xml:space="preserve">GEORGE CATTERICK                   </t>
  </si>
  <si>
    <t xml:space="preserve">GEORGE CATTERICK </t>
  </si>
  <si>
    <t xml:space="preserve">TRAVERSE </t>
  </si>
  <si>
    <t>THOMAS</t>
  </si>
  <si>
    <t>POD received from cell 0783892929 M</t>
  </si>
  <si>
    <t xml:space="preserve">BOX </t>
  </si>
  <si>
    <t>CITRU</t>
  </si>
  <si>
    <t>CITRUSDAL</t>
  </si>
  <si>
    <t xml:space="preserve">CITRUSDAL AGRIMARK                 </t>
  </si>
  <si>
    <t>LOOP STRAAT 18</t>
  </si>
  <si>
    <t>JULIAN</t>
  </si>
  <si>
    <t xml:space="preserve">HERMANUS AGRIMARK                  </t>
  </si>
  <si>
    <t>Colen</t>
  </si>
  <si>
    <t>PIKET</t>
  </si>
  <si>
    <t>PIKETBERG</t>
  </si>
  <si>
    <t xml:space="preserve">PIKETBERG AGRIMARK                 </t>
  </si>
  <si>
    <t>LANG STRAAT</t>
  </si>
  <si>
    <t>RUDI</t>
  </si>
  <si>
    <t>SIMON</t>
  </si>
  <si>
    <t>SIMONDIUM</t>
  </si>
  <si>
    <t xml:space="preserve">SIMONDIUM AGRIMARK                 </t>
  </si>
  <si>
    <t>Allston</t>
  </si>
  <si>
    <t>POD received from cell 0732547403 M</t>
  </si>
  <si>
    <t>SWELL</t>
  </si>
  <si>
    <t>SWELLENDAM</t>
  </si>
  <si>
    <t xml:space="preserve">FARM-DIE OUDEPONT                  </t>
  </si>
  <si>
    <t>MARGOT DU PREEZ</t>
  </si>
  <si>
    <t>ESSIE</t>
  </si>
  <si>
    <t xml:space="preserve">SSK-SWELLENDAM                     </t>
  </si>
  <si>
    <t>ANEEDA ABRAHAMS</t>
  </si>
  <si>
    <t>Envir</t>
  </si>
  <si>
    <t xml:space="preserve">CELE RESIDENCE                     </t>
  </si>
  <si>
    <t>JENNIFER CELE</t>
  </si>
  <si>
    <t>SFISO</t>
  </si>
  <si>
    <t>PRUDENCE MOLOTO</t>
  </si>
  <si>
    <t>prudence</t>
  </si>
  <si>
    <t>POD received from cell 0651028395 M</t>
  </si>
  <si>
    <t>MPHO KGOMONGOE</t>
  </si>
  <si>
    <t>kele</t>
  </si>
  <si>
    <t>POD received from cell 0761602823 M</t>
  </si>
  <si>
    <t xml:space="preserve">THE LUGGAGE CO-BEDFORD SQUARE      </t>
  </si>
  <si>
    <t>KEVIN</t>
  </si>
  <si>
    <t>Kelvin</t>
  </si>
  <si>
    <t xml:space="preserve">LEEANNE GOLIATH                    </t>
  </si>
  <si>
    <t xml:space="preserve">DECOFURN                           </t>
  </si>
  <si>
    <t>HANOV</t>
  </si>
  <si>
    <t>HANOVER</t>
  </si>
  <si>
    <t>LINMARIE VAN SCHALKWYK</t>
  </si>
  <si>
    <t>Harriet</t>
  </si>
  <si>
    <t>GIAN ISAACS</t>
  </si>
  <si>
    <t>TAZ</t>
  </si>
  <si>
    <t>Returned to sender on waybill</t>
  </si>
  <si>
    <t xml:space="preserve">PRIMEDIA PLACE                     </t>
  </si>
  <si>
    <t>NICOLA SCOTT</t>
  </si>
  <si>
    <t xml:space="preserve">Tondani                       </t>
  </si>
  <si>
    <t xml:space="preserve">POD received from cell 0822272106 M     </t>
  </si>
  <si>
    <t>THOBEKA KHATHI</t>
  </si>
  <si>
    <t>thobela</t>
  </si>
  <si>
    <t>POD received from cell 0724566231 M</t>
  </si>
  <si>
    <t>ALICE</t>
  </si>
  <si>
    <t xml:space="preserve">VICTORIA HOSPITAL                  </t>
  </si>
  <si>
    <t>NOBULALI MANELI</t>
  </si>
  <si>
    <t>CHADNESS</t>
  </si>
  <si>
    <t>POTGI</t>
  </si>
  <si>
    <t>POTGIETERSRUS</t>
  </si>
  <si>
    <t>MELANIE CLAASEEN</t>
  </si>
  <si>
    <t>ELSIE</t>
  </si>
  <si>
    <t>POD received from cell 0736189978 M</t>
  </si>
  <si>
    <t xml:space="preserve">THE LUGGAGE CO-NEDFORD SQUARE      </t>
  </si>
  <si>
    <t xml:space="preserve">NURAA                              </t>
  </si>
  <si>
    <t xml:space="preserve">GLORIA NOGANTA                     </t>
  </si>
  <si>
    <t>GLORIA NOGANTA</t>
  </si>
  <si>
    <t>Doctor</t>
  </si>
  <si>
    <t>POD received from cell 0769790129 M</t>
  </si>
  <si>
    <t>JOUBERT</t>
  </si>
  <si>
    <t>INNUS JONKER</t>
  </si>
  <si>
    <t>Jameson</t>
  </si>
  <si>
    <t>POD received from cell 0730260841 M</t>
  </si>
  <si>
    <t>CARIN PRINGLE</t>
  </si>
  <si>
    <t>ILLEG</t>
  </si>
  <si>
    <t>AT GATE PRESS 21   STAY ON THE LINE</t>
  </si>
  <si>
    <t>DELIA BOTHA</t>
  </si>
  <si>
    <t>Botha</t>
  </si>
  <si>
    <t>POD received from cell 0790428675 M</t>
  </si>
  <si>
    <t>ALAN SILVERMAN</t>
  </si>
  <si>
    <t>Alan</t>
  </si>
  <si>
    <t>POD received from cell 0616034769 M</t>
  </si>
  <si>
    <t>WILDE</t>
  </si>
  <si>
    <t>WILDERNESS</t>
  </si>
  <si>
    <t xml:space="preserve">PORTER   CRAFT                     </t>
  </si>
  <si>
    <t>PORTER   CRAFT</t>
  </si>
  <si>
    <t>POD received from cell 0659814186 M</t>
  </si>
  <si>
    <t>JOSEPHINE ALLAIS</t>
  </si>
  <si>
    <t>Khaya</t>
  </si>
  <si>
    <t>BOKSB</t>
  </si>
  <si>
    <t>BOKSBURG</t>
  </si>
  <si>
    <t xml:space="preserve">DAWOOD FROZEN FOODS                </t>
  </si>
  <si>
    <t>IRFAAN FAKI</t>
  </si>
  <si>
    <t>MOHAMMED</t>
  </si>
  <si>
    <t>POD received from cell 0839573774 M</t>
  </si>
  <si>
    <t xml:space="preserve">CEDAR CREEK ESTATE                 </t>
  </si>
  <si>
    <t>UNINE VAN ROOYEN</t>
  </si>
  <si>
    <t>Valerie</t>
  </si>
  <si>
    <t>POD received from cell 0733622001 M</t>
  </si>
  <si>
    <t>GERMI</t>
  </si>
  <si>
    <t>GERMISTON</t>
  </si>
  <si>
    <t xml:space="preserve">AIRCRAFT GENERAL SPARES            </t>
  </si>
  <si>
    <t>HAYLEY MEYER</t>
  </si>
  <si>
    <t>Dean</t>
  </si>
  <si>
    <t>POD received from cell 0728883541 M</t>
  </si>
  <si>
    <t xml:space="preserve">FABULOSITY                         </t>
  </si>
  <si>
    <t xml:space="preserve">CEDAR SQUARE 35                    </t>
  </si>
  <si>
    <t>TIGERSMILK</t>
  </si>
  <si>
    <t>MULLER</t>
  </si>
  <si>
    <t>zatros</t>
  </si>
  <si>
    <t>POD received from cell 0749143480 M</t>
  </si>
  <si>
    <t xml:space="preserve">ADA LIGHTNING                      </t>
  </si>
  <si>
    <t xml:space="preserve">ANGIE ROBINSON                     </t>
  </si>
  <si>
    <t>ANGIE</t>
  </si>
  <si>
    <t>Elvis</t>
  </si>
  <si>
    <t>POD received from cell 0730059234 M</t>
  </si>
  <si>
    <t>DURBA</t>
  </si>
  <si>
    <t>DURBAN</t>
  </si>
  <si>
    <t xml:space="preserve">MAHENDRA                           </t>
  </si>
  <si>
    <t>MAHENDRA</t>
  </si>
  <si>
    <t xml:space="preserve">PAUL KALIL                         </t>
  </si>
  <si>
    <t>POD received from cell 0633458174 M</t>
  </si>
  <si>
    <t>K BOTHA</t>
  </si>
  <si>
    <t>Sibanda</t>
  </si>
  <si>
    <t>ELMARIE LATEGAN</t>
  </si>
  <si>
    <t>Lupedzi  Security</t>
  </si>
  <si>
    <t>Michael</t>
  </si>
  <si>
    <t>VRYBU</t>
  </si>
  <si>
    <t>VRYBURG</t>
  </si>
  <si>
    <t>RIANZA COETZEE</t>
  </si>
  <si>
    <t>Rianza</t>
  </si>
  <si>
    <t>POD received from cell 0787450977 M</t>
  </si>
  <si>
    <t>DEZZI VAN NIEUWENHUIZEN</t>
  </si>
  <si>
    <t>Florance</t>
  </si>
  <si>
    <t>ZORKA DUVAL</t>
  </si>
  <si>
    <t>shanta</t>
  </si>
  <si>
    <t>POD received from cell 0848255037 M</t>
  </si>
  <si>
    <t>NTEBALENG ADARIVIA HLOHLOLO</t>
  </si>
  <si>
    <t>Alvino</t>
  </si>
  <si>
    <t>POD received from cell 0795886601 M</t>
  </si>
  <si>
    <t>DARRYL HUBER</t>
  </si>
  <si>
    <t>Joyce</t>
  </si>
  <si>
    <t>POD received from cell 0725460326 M</t>
  </si>
  <si>
    <t>NIKKI BENFIELD</t>
  </si>
  <si>
    <t>Sible</t>
  </si>
  <si>
    <t>POD received from cell 0635553328 M</t>
  </si>
  <si>
    <t>KAREN DE GRIJS</t>
  </si>
  <si>
    <t>karen</t>
  </si>
  <si>
    <t>POD received from cell 0645503437 M</t>
  </si>
  <si>
    <t>PETRO BURDEN</t>
  </si>
  <si>
    <t>Francois</t>
  </si>
  <si>
    <t>POD received from cell 0663884967 M</t>
  </si>
  <si>
    <t>MOSSE</t>
  </si>
  <si>
    <t>MOSSEL BAY</t>
  </si>
  <si>
    <t xml:space="preserve">MOSSELBAY GOLF ESTATE              </t>
  </si>
  <si>
    <t>SHARON VAN ZYL</t>
  </si>
  <si>
    <t>MOSSELBAY GOLF ESTATE</t>
  </si>
  <si>
    <t>POD received from cell 0797717591 M</t>
  </si>
  <si>
    <t>Alna Smit</t>
  </si>
  <si>
    <t>MICHKA PILLAY</t>
  </si>
  <si>
    <t>nikta</t>
  </si>
  <si>
    <t>POD received from cell 0744435413 M</t>
  </si>
  <si>
    <t xml:space="preserve">DRAGOUFLY AEROSPACE PTY LTD        </t>
  </si>
  <si>
    <t>DALE OKKERS</t>
  </si>
  <si>
    <t>POD received from cell 0681920801 M</t>
  </si>
  <si>
    <t>LANGE</t>
  </si>
  <si>
    <t>LANGEBAAN</t>
  </si>
  <si>
    <t>ANNA-MARIE MULLER</t>
  </si>
  <si>
    <t>anna marie</t>
  </si>
  <si>
    <t>POD received from cell 0641131537 M</t>
  </si>
  <si>
    <t xml:space="preserve">NATIONAL BIOPRODUCTS INSTIUTE      </t>
  </si>
  <si>
    <t>BONGIWE LYDIA MSIMANGO</t>
  </si>
  <si>
    <t>Bongiwe</t>
  </si>
  <si>
    <t>POD received from cell 0693513712 M</t>
  </si>
  <si>
    <t>CAPE</t>
  </si>
  <si>
    <t>CAPE ST FRANCIS</t>
  </si>
  <si>
    <t>JOHN E SMIT</t>
  </si>
  <si>
    <t>john</t>
  </si>
  <si>
    <t>POD received from cell 0799780879 M</t>
  </si>
  <si>
    <t xml:space="preserve">DUNKELD MAUSIONS 30                </t>
  </si>
  <si>
    <t>AXEL SMEULDERS</t>
  </si>
  <si>
    <t>axel</t>
  </si>
  <si>
    <t>POD received from cell 0813088358 M</t>
  </si>
  <si>
    <t xml:space="preserve">EDEN ELECTRONICS                   </t>
  </si>
  <si>
    <t>BREUT THOMPSON</t>
  </si>
  <si>
    <t>Brent</t>
  </si>
  <si>
    <t>POD received from cell 0746644640 M</t>
  </si>
  <si>
    <t xml:space="preserve">RESQ PROPS                         </t>
  </si>
  <si>
    <t>SHANNON ROSENBERG</t>
  </si>
  <si>
    <t>Brandon</t>
  </si>
  <si>
    <t>POD received from cell 0649858858 M</t>
  </si>
  <si>
    <t>THAB1</t>
  </si>
  <si>
    <t>THABAZIMBI</t>
  </si>
  <si>
    <t xml:space="preserve">ALLIED FOODS BUILDING              </t>
  </si>
  <si>
    <t>ROLAND VAN TONDER</t>
  </si>
  <si>
    <t>Debora</t>
  </si>
  <si>
    <t>POD received from cell 0737555543 M</t>
  </si>
  <si>
    <t>JDF SCHARNECK</t>
  </si>
  <si>
    <t>scharneck</t>
  </si>
  <si>
    <t xml:space="preserve">A CLASS TUTOTRS                    </t>
  </si>
  <si>
    <t>MARRIN NAAIDO</t>
  </si>
  <si>
    <t>Anderson</t>
  </si>
  <si>
    <t>POD received from cell 0765515095 M</t>
  </si>
  <si>
    <t>ATTILA BERNARIUSZ</t>
  </si>
  <si>
    <t>tila</t>
  </si>
  <si>
    <t>POD received from cell 0738058187 M</t>
  </si>
  <si>
    <t xml:space="preserve">FYNBOS LIFESTYLE VILLAGE           </t>
  </si>
  <si>
    <t>HEILET PIENAAR</t>
  </si>
  <si>
    <t>FYNBOS LIFESTYLE VILLAGE</t>
  </si>
  <si>
    <t>POD received from cell 0847800788 M</t>
  </si>
  <si>
    <t>HEID2</t>
  </si>
  <si>
    <t>HEIDELBERG (TVL)</t>
  </si>
  <si>
    <t>MONIQUE LUUS</t>
  </si>
  <si>
    <t>monique</t>
  </si>
  <si>
    <t>POD received from cell 0815199139 M</t>
  </si>
  <si>
    <t>KGAUGELO M</t>
  </si>
  <si>
    <t>kgomotso</t>
  </si>
  <si>
    <t>MATSHIDISO MOGOERA</t>
  </si>
  <si>
    <t>MATSHIDISO</t>
  </si>
  <si>
    <t>MARIUS FISCHER</t>
  </si>
  <si>
    <t>christian</t>
  </si>
  <si>
    <t>DEBBIE KRUGER</t>
  </si>
  <si>
    <t>POD received from cell 0631352676 M</t>
  </si>
  <si>
    <t>MONTA</t>
  </si>
  <si>
    <t>MONTAGU</t>
  </si>
  <si>
    <t xml:space="preserve">MONTAGU AGRIMARK                   </t>
  </si>
  <si>
    <t>POD received from cell 0781654157 M</t>
  </si>
  <si>
    <t xml:space="preserve">GRIMBEEKS                          </t>
  </si>
  <si>
    <t>LINDA BERGH</t>
  </si>
  <si>
    <t>MALME</t>
  </si>
  <si>
    <t>MALMESBURY</t>
  </si>
  <si>
    <t xml:space="preserve">RIEBEEK-WES KAAPAGRI               </t>
  </si>
  <si>
    <t>FRANSWAA</t>
  </si>
  <si>
    <t>WORCE</t>
  </si>
  <si>
    <t>WORCESTER</t>
  </si>
  <si>
    <t xml:space="preserve">MARETHA DENAU                      </t>
  </si>
  <si>
    <t>MARETHA</t>
  </si>
  <si>
    <t xml:space="preserve">TENCTCO CC                         </t>
  </si>
  <si>
    <t xml:space="preserve">PIETER                             </t>
  </si>
  <si>
    <t>URGENT DELIVERY ON TUESDAY 23RD AUGUST 2022 BEFORE 11.00AM</t>
  </si>
  <si>
    <t>PIETER</t>
  </si>
  <si>
    <t>THEUNS</t>
  </si>
  <si>
    <t xml:space="preserve">nitha                         </t>
  </si>
  <si>
    <t xml:space="preserve">                                        </t>
  </si>
  <si>
    <t>PORT1</t>
  </si>
  <si>
    <t>PORT ALFRED</t>
  </si>
  <si>
    <t xml:space="preserve">FIONA CHARLTON                     </t>
  </si>
  <si>
    <t>fiona</t>
  </si>
  <si>
    <t>MOORR</t>
  </si>
  <si>
    <t>MOORREESBURG</t>
  </si>
  <si>
    <t xml:space="preserve">TM   HL HANDELAARS                 </t>
  </si>
  <si>
    <t>MARTENS</t>
  </si>
  <si>
    <t>Petro</t>
  </si>
  <si>
    <t>KIM GALLINOTTI</t>
  </si>
  <si>
    <t>gathel</t>
  </si>
  <si>
    <t>POD received from cell 0742059629 M</t>
  </si>
  <si>
    <t>LOUIS DABROUSKI</t>
  </si>
  <si>
    <t>P Dubvouski</t>
  </si>
  <si>
    <t>POD received from cell 0794763095 M</t>
  </si>
  <si>
    <t>ISLA MADDOWFLOOD</t>
  </si>
  <si>
    <t>isla</t>
  </si>
  <si>
    <t>BELINDA SCHWARTZ</t>
  </si>
  <si>
    <t>Belinda Scholrtz</t>
  </si>
  <si>
    <t>POD received from cell 0658000152 M</t>
  </si>
  <si>
    <t>JAUTA ENGELBRECHT</t>
  </si>
  <si>
    <t>Janta Engelbracht</t>
  </si>
  <si>
    <t>POD received from cell 0835292772 M</t>
  </si>
  <si>
    <t>LISE BESTER</t>
  </si>
  <si>
    <t>RAVI</t>
  </si>
  <si>
    <t>M Fisher</t>
  </si>
  <si>
    <t>KAY BOSCH</t>
  </si>
  <si>
    <t>eunice</t>
  </si>
  <si>
    <t xml:space="preserve">CRESCENT WOOD COUNTRY ESTATE       </t>
  </si>
  <si>
    <t>FRANCOIS THERON</t>
  </si>
  <si>
    <t>POD received from cell 0607554553 M</t>
  </si>
  <si>
    <t>HELEN DA FONSECA</t>
  </si>
  <si>
    <t>Helen</t>
  </si>
  <si>
    <t>POD received from cell 0766412100 M</t>
  </si>
  <si>
    <t>PLEASE DO NOT DRAG BALE CARPET</t>
  </si>
  <si>
    <t>NARETHA BEKKER</t>
  </si>
  <si>
    <t>j  bekker</t>
  </si>
  <si>
    <t>CSH / DOC / FUE</t>
  </si>
  <si>
    <t>WILLEM PEROLD</t>
  </si>
  <si>
    <t>HERMINE PISTORIUS</t>
  </si>
  <si>
    <t>hermine pistorius</t>
  </si>
  <si>
    <t>NICOLE ROUX</t>
  </si>
  <si>
    <t>Nicole</t>
  </si>
  <si>
    <t>POD received from cell 0725795427 M</t>
  </si>
  <si>
    <t>lance</t>
  </si>
  <si>
    <t xml:space="preserve">MIKKA CC                           </t>
  </si>
  <si>
    <t>NABEELAH CARRIM</t>
  </si>
  <si>
    <t>Satiah</t>
  </si>
  <si>
    <t xml:space="preserve">THORNWOOD PLACE                    </t>
  </si>
  <si>
    <t>LINDA SOCISHE</t>
  </si>
  <si>
    <t>Linda</t>
  </si>
  <si>
    <t>PHALA</t>
  </si>
  <si>
    <t>PHALABORWA</t>
  </si>
  <si>
    <t>MUNYAI VUTONI</t>
  </si>
  <si>
    <t xml:space="preserve">LT GER DU TOIT CRESCENT 17         </t>
  </si>
  <si>
    <t>HUNTER SCHOEMAN</t>
  </si>
  <si>
    <t>RA EESAH FAZLUDDIN</t>
  </si>
  <si>
    <t>FATHIMA PEER</t>
  </si>
  <si>
    <t>tshengi</t>
  </si>
  <si>
    <t>MEGAN SPARROW</t>
  </si>
  <si>
    <t>caroline</t>
  </si>
  <si>
    <t>PLEASE CALL 0834906757 UPON ARRIVAL TO GET ACCESS TO COMPLEX</t>
  </si>
  <si>
    <t>VEVA JACKSON</t>
  </si>
  <si>
    <t xml:space="preserve">TULBAGH AGRIMARK                   </t>
  </si>
  <si>
    <t>EON E BIGGS</t>
  </si>
  <si>
    <t>RUAN DIEDERICKS</t>
  </si>
  <si>
    <t>LEILA STEIN</t>
  </si>
  <si>
    <t xml:space="preserve">DORP HOTEL                         </t>
  </si>
  <si>
    <t>DANIE DIENER</t>
  </si>
  <si>
    <t>SASOL</t>
  </si>
  <si>
    <t>SASOLBURG</t>
  </si>
  <si>
    <t>JULIAN MOKOENA</t>
  </si>
  <si>
    <t>SECUN</t>
  </si>
  <si>
    <t>SECUNDA</t>
  </si>
  <si>
    <t>FALLON FOURIE</t>
  </si>
  <si>
    <t>CHRISTINE VAN ROOYEN</t>
  </si>
  <si>
    <t xml:space="preserve">PLANETWORLD                        </t>
  </si>
  <si>
    <t>QUINTIN ERASMUS</t>
  </si>
  <si>
    <t>JONATHAN HURUITZ</t>
  </si>
  <si>
    <t xml:space="preserve">PVT RES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</si>
</sst>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20" fontId="0" fillId="0" borderId="1" xfId="0" applyNumberFormat="1" applyBorder="1"/>
    <xf numFmtId="6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/>
    <xf numFmtId="2" fontId="0" fillId="0" borderId="1" xfId="0" applyNumberFormat="1" applyBorder="1"/>
    <xf numFmtId="2" fontId="0" fillId="0" borderId="1" xfId="0" quotePrefix="1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08"/>
  <sheetViews>
    <sheetView tabSelected="1" workbookViewId="0"/>
  </sheetViews>
  <sheetFormatPr defaultRowHeight="14.4" x14ac:dyDescent="0.3"/>
  <cols>
    <col min="4" max="4" width="9.77734375" bestFit="1" customWidth="1"/>
    <col min="5" max="5" width="14.21875" style="13" bestFit="1" customWidth="1"/>
    <col min="87" max="89" width="8.88671875" style="9"/>
  </cols>
  <sheetData>
    <row r="1" spans="1:92" s="1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17</v>
      </c>
      <c r="U1" s="2" t="s">
        <v>19</v>
      </c>
      <c r="V1" s="2" t="s">
        <v>17</v>
      </c>
      <c r="W1" s="2" t="s">
        <v>20</v>
      </c>
      <c r="X1" s="2" t="s">
        <v>17</v>
      </c>
      <c r="Y1" s="2" t="s">
        <v>21</v>
      </c>
      <c r="Z1" s="2" t="s">
        <v>17</v>
      </c>
      <c r="AA1" s="2" t="s">
        <v>22</v>
      </c>
      <c r="AB1" s="2" t="s">
        <v>17</v>
      </c>
      <c r="AC1" s="2" t="s">
        <v>23</v>
      </c>
      <c r="AD1" s="2" t="s">
        <v>17</v>
      </c>
      <c r="AE1" s="2" t="s">
        <v>24</v>
      </c>
      <c r="AF1" s="2" t="s">
        <v>17</v>
      </c>
      <c r="AG1" s="2" t="s">
        <v>25</v>
      </c>
      <c r="AH1" s="2" t="s">
        <v>17</v>
      </c>
      <c r="AI1" s="2" t="s">
        <v>26</v>
      </c>
      <c r="AJ1" s="2" t="s">
        <v>17</v>
      </c>
      <c r="AK1" s="2" t="s">
        <v>27</v>
      </c>
      <c r="AL1" s="2" t="s">
        <v>17</v>
      </c>
      <c r="AM1" s="2" t="s">
        <v>28</v>
      </c>
      <c r="AN1" s="2" t="s">
        <v>17</v>
      </c>
      <c r="AO1" s="2" t="s">
        <v>29</v>
      </c>
      <c r="AP1" s="2" t="s">
        <v>17</v>
      </c>
      <c r="AQ1" s="2" t="s">
        <v>30</v>
      </c>
      <c r="AR1" s="2" t="s">
        <v>17</v>
      </c>
      <c r="AS1" s="2" t="s">
        <v>31</v>
      </c>
      <c r="AT1" s="2" t="s">
        <v>17</v>
      </c>
      <c r="AU1" s="2" t="s">
        <v>32</v>
      </c>
      <c r="AV1" s="2" t="s">
        <v>17</v>
      </c>
      <c r="AW1" s="2" t="s">
        <v>33</v>
      </c>
      <c r="AX1" s="2" t="s">
        <v>17</v>
      </c>
      <c r="AY1" s="2" t="s">
        <v>34</v>
      </c>
      <c r="AZ1" s="2" t="s">
        <v>17</v>
      </c>
      <c r="BA1" s="2" t="s">
        <v>35</v>
      </c>
      <c r="BB1" s="2" t="s">
        <v>17</v>
      </c>
      <c r="BC1" s="2" t="s">
        <v>36</v>
      </c>
      <c r="BD1" s="2" t="s">
        <v>17</v>
      </c>
      <c r="BE1" s="2" t="s">
        <v>37</v>
      </c>
      <c r="BF1" s="2" t="s">
        <v>17</v>
      </c>
      <c r="BG1" s="2" t="s">
        <v>38</v>
      </c>
      <c r="BH1" s="2" t="s">
        <v>39</v>
      </c>
      <c r="BI1" s="2" t="s">
        <v>40</v>
      </c>
      <c r="BJ1" s="2" t="s">
        <v>41</v>
      </c>
      <c r="BK1" s="2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2" t="s">
        <v>47</v>
      </c>
      <c r="BQ1" s="2" t="s">
        <v>48</v>
      </c>
      <c r="BR1" s="2" t="s">
        <v>49</v>
      </c>
      <c r="BS1" s="2" t="s">
        <v>50</v>
      </c>
      <c r="BT1" s="2" t="s">
        <v>51</v>
      </c>
      <c r="BU1" s="2" t="s">
        <v>52</v>
      </c>
      <c r="BV1" s="2" t="s">
        <v>53</v>
      </c>
      <c r="BW1" s="2" t="s">
        <v>54</v>
      </c>
      <c r="BX1" s="2" t="s">
        <v>55</v>
      </c>
      <c r="BY1" s="2" t="s">
        <v>56</v>
      </c>
      <c r="BZ1" s="2" t="s">
        <v>57</v>
      </c>
      <c r="CA1" s="2" t="s">
        <v>58</v>
      </c>
      <c r="CB1" s="2" t="s">
        <v>59</v>
      </c>
      <c r="CC1" s="2" t="s">
        <v>60</v>
      </c>
      <c r="CD1" s="2" t="s">
        <v>61</v>
      </c>
      <c r="CE1" s="2" t="s">
        <v>62</v>
      </c>
      <c r="CF1" s="2" t="s">
        <v>63</v>
      </c>
      <c r="CG1" s="2" t="s">
        <v>64</v>
      </c>
      <c r="CH1" s="2" t="s">
        <v>65</v>
      </c>
      <c r="CI1" s="7" t="s">
        <v>66</v>
      </c>
      <c r="CJ1" s="7" t="s">
        <v>67</v>
      </c>
      <c r="CK1" s="7" t="s">
        <v>68</v>
      </c>
      <c r="CL1" s="2" t="s">
        <v>69</v>
      </c>
      <c r="CM1" s="2" t="s">
        <v>70</v>
      </c>
      <c r="CN1" s="3" t="s">
        <v>71</v>
      </c>
    </row>
    <row r="2" spans="1:92" x14ac:dyDescent="0.3">
      <c r="A2" s="3" t="s">
        <v>72</v>
      </c>
      <c r="B2" s="3" t="s">
        <v>73</v>
      </c>
      <c r="C2" s="3" t="s">
        <v>74</v>
      </c>
      <c r="D2" s="3"/>
      <c r="E2" s="11" t="str">
        <f>"009942340919"</f>
        <v>009942340919</v>
      </c>
      <c r="F2" s="4">
        <v>44790</v>
      </c>
      <c r="G2" s="3">
        <v>202305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>"                              "</f>
        <v xml:space="preserve">            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31.13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1</v>
      </c>
      <c r="BJ2" s="3">
        <v>0.8</v>
      </c>
      <c r="BK2" s="3">
        <v>1</v>
      </c>
      <c r="BL2" s="3">
        <v>74.67</v>
      </c>
      <c r="BM2" s="3">
        <v>11.2</v>
      </c>
      <c r="BN2" s="3">
        <v>85.87</v>
      </c>
      <c r="BO2" s="3">
        <v>85.87</v>
      </c>
      <c r="BP2" s="3"/>
      <c r="BQ2" s="3"/>
      <c r="BR2" s="3" t="s">
        <v>83</v>
      </c>
      <c r="BS2" s="4">
        <v>44792</v>
      </c>
      <c r="BT2" s="5">
        <v>0.4152777777777778</v>
      </c>
      <c r="BU2" s="3" t="s">
        <v>84</v>
      </c>
      <c r="BV2" s="3" t="s">
        <v>85</v>
      </c>
      <c r="BW2" s="3" t="s">
        <v>86</v>
      </c>
      <c r="BX2" s="3" t="s">
        <v>87</v>
      </c>
      <c r="BY2" s="3">
        <v>4125</v>
      </c>
      <c r="BZ2" s="3" t="s">
        <v>88</v>
      </c>
      <c r="CA2" s="3" t="s">
        <v>89</v>
      </c>
      <c r="CB2" s="3"/>
      <c r="CC2" s="3" t="s">
        <v>80</v>
      </c>
      <c r="CD2" s="3">
        <v>7945</v>
      </c>
      <c r="CE2" s="3" t="s">
        <v>90</v>
      </c>
      <c r="CF2" s="4">
        <v>44795</v>
      </c>
      <c r="CG2" s="3"/>
      <c r="CH2" s="3"/>
      <c r="CI2" s="8">
        <v>1</v>
      </c>
      <c r="CJ2" s="8">
        <v>2</v>
      </c>
      <c r="CK2" s="8">
        <v>21</v>
      </c>
      <c r="CL2" s="3" t="s">
        <v>85</v>
      </c>
      <c r="CM2" s="3"/>
      <c r="CN2" s="3"/>
    </row>
    <row r="3" spans="1:92" x14ac:dyDescent="0.3">
      <c r="A3" s="3" t="s">
        <v>72</v>
      </c>
      <c r="B3" s="3" t="s">
        <v>73</v>
      </c>
      <c r="C3" s="3" t="s">
        <v>74</v>
      </c>
      <c r="D3" s="3"/>
      <c r="E3" s="11" t="str">
        <f>"R009942558740"</f>
        <v>R009942558740</v>
      </c>
      <c r="F3" s="4">
        <v>44791</v>
      </c>
      <c r="G3" s="3">
        <v>202305</v>
      </c>
      <c r="H3" s="3" t="s">
        <v>91</v>
      </c>
      <c r="I3" s="3" t="s">
        <v>92</v>
      </c>
      <c r="J3" s="3" t="s">
        <v>93</v>
      </c>
      <c r="K3" s="3" t="s">
        <v>78</v>
      </c>
      <c r="L3" s="3" t="s">
        <v>79</v>
      </c>
      <c r="M3" s="3" t="s">
        <v>80</v>
      </c>
      <c r="N3" s="3" t="s">
        <v>94</v>
      </c>
      <c r="O3" s="3" t="s">
        <v>95</v>
      </c>
      <c r="P3" s="3" t="str">
        <f>"RETURN                        "</f>
        <v xml:space="preserve">RETURN      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5.25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60.2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1</v>
      </c>
      <c r="BI3" s="3">
        <v>0.1</v>
      </c>
      <c r="BJ3" s="3">
        <v>2.1</v>
      </c>
      <c r="BK3" s="3">
        <v>3</v>
      </c>
      <c r="BL3" s="3">
        <v>149.65</v>
      </c>
      <c r="BM3" s="3">
        <v>22.45</v>
      </c>
      <c r="BN3" s="3">
        <v>172.1</v>
      </c>
      <c r="BO3" s="3">
        <v>172.1</v>
      </c>
      <c r="BP3" s="3"/>
      <c r="BQ3" s="3" t="s">
        <v>96</v>
      </c>
      <c r="BR3" s="3" t="s">
        <v>97</v>
      </c>
      <c r="BS3" s="4">
        <v>44795</v>
      </c>
      <c r="BT3" s="5">
        <v>0.52083333333333337</v>
      </c>
      <c r="BU3" s="3" t="s">
        <v>98</v>
      </c>
      <c r="BV3" s="3" t="s">
        <v>99</v>
      </c>
      <c r="BW3" s="3"/>
      <c r="BX3" s="3"/>
      <c r="BY3" s="3">
        <v>10557</v>
      </c>
      <c r="BZ3" s="3"/>
      <c r="CA3" s="3" t="s">
        <v>89</v>
      </c>
      <c r="CB3" s="3"/>
      <c r="CC3" s="3" t="s">
        <v>80</v>
      </c>
      <c r="CD3" s="3">
        <v>7945</v>
      </c>
      <c r="CE3" s="3" t="s">
        <v>90</v>
      </c>
      <c r="CF3" s="4">
        <v>44796</v>
      </c>
      <c r="CG3" s="3"/>
      <c r="CH3" s="3"/>
      <c r="CI3" s="8">
        <v>2</v>
      </c>
      <c r="CJ3" s="8">
        <v>2</v>
      </c>
      <c r="CK3" s="8">
        <v>41</v>
      </c>
      <c r="CL3" s="3" t="s">
        <v>85</v>
      </c>
      <c r="CM3" s="3"/>
      <c r="CN3" s="3"/>
    </row>
    <row r="4" spans="1:92" x14ac:dyDescent="0.3">
      <c r="A4" s="3" t="s">
        <v>72</v>
      </c>
      <c r="B4" s="3" t="s">
        <v>73</v>
      </c>
      <c r="C4" s="3" t="s">
        <v>74</v>
      </c>
      <c r="D4" s="3"/>
      <c r="E4" s="11" t="str">
        <f>"009942558694"</f>
        <v>009942558694</v>
      </c>
      <c r="F4" s="4">
        <v>44774</v>
      </c>
      <c r="G4" s="3">
        <v>202305</v>
      </c>
      <c r="H4" s="3" t="s">
        <v>79</v>
      </c>
      <c r="I4" s="3" t="s">
        <v>80</v>
      </c>
      <c r="J4" s="3" t="s">
        <v>94</v>
      </c>
      <c r="K4" s="3" t="s">
        <v>78</v>
      </c>
      <c r="L4" s="3" t="s">
        <v>100</v>
      </c>
      <c r="M4" s="3" t="s">
        <v>101</v>
      </c>
      <c r="N4" s="3" t="s">
        <v>102</v>
      </c>
      <c r="O4" s="3" t="s">
        <v>95</v>
      </c>
      <c r="P4" s="3" t="str">
        <f>"                              "</f>
        <v xml:space="preserve">            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5.25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59.78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1</v>
      </c>
      <c r="BI4" s="3">
        <v>4.2</v>
      </c>
      <c r="BJ4" s="3">
        <v>13.8</v>
      </c>
      <c r="BK4" s="3">
        <v>14</v>
      </c>
      <c r="BL4" s="3">
        <v>149.22999999999999</v>
      </c>
      <c r="BM4" s="3">
        <v>22.38</v>
      </c>
      <c r="BN4" s="3">
        <v>171.61</v>
      </c>
      <c r="BO4" s="3">
        <v>171.61</v>
      </c>
      <c r="BP4" s="3"/>
      <c r="BQ4" s="3" t="s">
        <v>103</v>
      </c>
      <c r="BR4" s="3" t="s">
        <v>96</v>
      </c>
      <c r="BS4" s="4">
        <v>44776</v>
      </c>
      <c r="BT4" s="5">
        <v>0.55138888888888882</v>
      </c>
      <c r="BU4" s="3" t="s">
        <v>104</v>
      </c>
      <c r="BV4" s="3" t="s">
        <v>99</v>
      </c>
      <c r="BW4" s="3"/>
      <c r="BX4" s="3"/>
      <c r="BY4" s="3">
        <v>68817</v>
      </c>
      <c r="BZ4" s="3" t="s">
        <v>105</v>
      </c>
      <c r="CA4" s="3" t="s">
        <v>106</v>
      </c>
      <c r="CB4" s="3"/>
      <c r="CC4" s="3" t="s">
        <v>101</v>
      </c>
      <c r="CD4" s="3">
        <v>1201</v>
      </c>
      <c r="CE4" s="3" t="s">
        <v>90</v>
      </c>
      <c r="CF4" s="4">
        <v>44776</v>
      </c>
      <c r="CG4" s="3"/>
      <c r="CH4" s="3"/>
      <c r="CI4" s="8">
        <v>3</v>
      </c>
      <c r="CJ4" s="8">
        <v>2</v>
      </c>
      <c r="CK4" s="8">
        <v>41</v>
      </c>
      <c r="CL4" s="3" t="s">
        <v>85</v>
      </c>
      <c r="CM4" s="3"/>
      <c r="CN4" s="3"/>
    </row>
    <row r="5" spans="1:92" x14ac:dyDescent="0.3">
      <c r="A5" s="3" t="s">
        <v>72</v>
      </c>
      <c r="B5" s="3" t="s">
        <v>73</v>
      </c>
      <c r="C5" s="3" t="s">
        <v>74</v>
      </c>
      <c r="D5" s="3"/>
      <c r="E5" s="11" t="str">
        <f>"009942558693"</f>
        <v>009942558693</v>
      </c>
      <c r="F5" s="4">
        <v>44774</v>
      </c>
      <c r="G5" s="3">
        <v>202305</v>
      </c>
      <c r="H5" s="3" t="s">
        <v>79</v>
      </c>
      <c r="I5" s="3" t="s">
        <v>80</v>
      </c>
      <c r="J5" s="3" t="s">
        <v>94</v>
      </c>
      <c r="K5" s="3" t="s">
        <v>78</v>
      </c>
      <c r="L5" s="3" t="s">
        <v>107</v>
      </c>
      <c r="M5" s="3" t="s">
        <v>108</v>
      </c>
      <c r="N5" s="3" t="s">
        <v>93</v>
      </c>
      <c r="O5" s="3" t="s">
        <v>109</v>
      </c>
      <c r="P5" s="3" t="str">
        <f>"INV184484                     "</f>
        <v xml:space="preserve">INV184484   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57.96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1</v>
      </c>
      <c r="BI5" s="3">
        <v>0.1</v>
      </c>
      <c r="BJ5" s="3">
        <v>1.8</v>
      </c>
      <c r="BK5" s="3">
        <v>2</v>
      </c>
      <c r="BL5" s="3">
        <v>139.6</v>
      </c>
      <c r="BM5" s="3">
        <v>20.94</v>
      </c>
      <c r="BN5" s="3">
        <v>160.54</v>
      </c>
      <c r="BO5" s="3">
        <v>160.54</v>
      </c>
      <c r="BP5" s="3"/>
      <c r="BQ5" s="3" t="s">
        <v>110</v>
      </c>
      <c r="BR5" s="3" t="s">
        <v>96</v>
      </c>
      <c r="BS5" s="4">
        <v>44775</v>
      </c>
      <c r="BT5" s="5">
        <v>0.4375</v>
      </c>
      <c r="BU5" s="3" t="s">
        <v>111</v>
      </c>
      <c r="BV5" s="3" t="s">
        <v>99</v>
      </c>
      <c r="BW5" s="3"/>
      <c r="BX5" s="3"/>
      <c r="BY5" s="3">
        <v>8952.08</v>
      </c>
      <c r="BZ5" s="3" t="s">
        <v>105</v>
      </c>
      <c r="CA5" s="3"/>
      <c r="CB5" s="3"/>
      <c r="CC5" s="3" t="s">
        <v>108</v>
      </c>
      <c r="CD5" s="3">
        <v>1682</v>
      </c>
      <c r="CE5" s="3" t="s">
        <v>90</v>
      </c>
      <c r="CF5" s="4">
        <v>44776</v>
      </c>
      <c r="CG5" s="3"/>
      <c r="CH5" s="3"/>
      <c r="CI5" s="8">
        <v>1</v>
      </c>
      <c r="CJ5" s="8">
        <v>1</v>
      </c>
      <c r="CK5" s="8">
        <v>31</v>
      </c>
      <c r="CL5" s="3" t="s">
        <v>85</v>
      </c>
      <c r="CM5" s="3"/>
      <c r="CN5" s="3"/>
    </row>
    <row r="6" spans="1:92" x14ac:dyDescent="0.3">
      <c r="A6" s="3" t="s">
        <v>72</v>
      </c>
      <c r="B6" s="3" t="s">
        <v>73</v>
      </c>
      <c r="C6" s="3" t="s">
        <v>74</v>
      </c>
      <c r="D6" s="3"/>
      <c r="E6" s="11" t="str">
        <f>"009942558691"</f>
        <v>009942558691</v>
      </c>
      <c r="F6" s="4">
        <v>44774</v>
      </c>
      <c r="G6" s="3">
        <v>202305</v>
      </c>
      <c r="H6" s="3" t="s">
        <v>79</v>
      </c>
      <c r="I6" s="3" t="s">
        <v>80</v>
      </c>
      <c r="J6" s="3" t="s">
        <v>94</v>
      </c>
      <c r="K6" s="3" t="s">
        <v>78</v>
      </c>
      <c r="L6" s="3" t="s">
        <v>112</v>
      </c>
      <c r="M6" s="3" t="s">
        <v>113</v>
      </c>
      <c r="N6" s="3" t="s">
        <v>114</v>
      </c>
      <c r="O6" s="3" t="s">
        <v>109</v>
      </c>
      <c r="P6" s="3" t="str">
        <f>"INV184486                     "</f>
        <v xml:space="preserve">INV184486 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59.9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1</v>
      </c>
      <c r="BI6" s="3">
        <v>0.1</v>
      </c>
      <c r="BJ6" s="3">
        <v>1.8</v>
      </c>
      <c r="BK6" s="3">
        <v>2</v>
      </c>
      <c r="BL6" s="3">
        <v>144.26</v>
      </c>
      <c r="BM6" s="3">
        <v>21.64</v>
      </c>
      <c r="BN6" s="3">
        <v>165.9</v>
      </c>
      <c r="BO6" s="3">
        <v>165.9</v>
      </c>
      <c r="BP6" s="3"/>
      <c r="BQ6" s="3" t="s">
        <v>115</v>
      </c>
      <c r="BR6" s="3" t="s">
        <v>96</v>
      </c>
      <c r="BS6" s="4">
        <v>44775</v>
      </c>
      <c r="BT6" s="5">
        <v>0.60833333333333328</v>
      </c>
      <c r="BU6" s="3" t="s">
        <v>116</v>
      </c>
      <c r="BV6" s="3" t="s">
        <v>85</v>
      </c>
      <c r="BW6" s="3" t="s">
        <v>117</v>
      </c>
      <c r="BX6" s="3" t="s">
        <v>118</v>
      </c>
      <c r="BY6" s="3">
        <v>9171.5</v>
      </c>
      <c r="BZ6" s="3" t="s">
        <v>105</v>
      </c>
      <c r="CA6" s="3" t="s">
        <v>119</v>
      </c>
      <c r="CB6" s="3"/>
      <c r="CC6" s="3" t="s">
        <v>113</v>
      </c>
      <c r="CD6" s="3">
        <v>1739</v>
      </c>
      <c r="CE6" s="3" t="s">
        <v>90</v>
      </c>
      <c r="CF6" s="4">
        <v>44776</v>
      </c>
      <c r="CG6" s="3"/>
      <c r="CH6" s="3"/>
      <c r="CI6" s="8">
        <v>1</v>
      </c>
      <c r="CJ6" s="8">
        <v>1</v>
      </c>
      <c r="CK6" s="8">
        <v>33</v>
      </c>
      <c r="CL6" s="3" t="s">
        <v>85</v>
      </c>
      <c r="CM6" s="3"/>
      <c r="CN6" s="3"/>
    </row>
    <row r="7" spans="1:92" x14ac:dyDescent="0.3">
      <c r="A7" s="3" t="s">
        <v>72</v>
      </c>
      <c r="B7" s="3" t="s">
        <v>73</v>
      </c>
      <c r="C7" s="3" t="s">
        <v>74</v>
      </c>
      <c r="D7" s="3"/>
      <c r="E7" s="11" t="str">
        <f>"009942558692"</f>
        <v>009942558692</v>
      </c>
      <c r="F7" s="4">
        <v>44774</v>
      </c>
      <c r="G7" s="3">
        <v>202305</v>
      </c>
      <c r="H7" s="3" t="s">
        <v>79</v>
      </c>
      <c r="I7" s="3" t="s">
        <v>80</v>
      </c>
      <c r="J7" s="3" t="s">
        <v>94</v>
      </c>
      <c r="K7" s="3" t="s">
        <v>78</v>
      </c>
      <c r="L7" s="3" t="s">
        <v>120</v>
      </c>
      <c r="M7" s="3" t="s">
        <v>121</v>
      </c>
      <c r="N7" s="3" t="s">
        <v>93</v>
      </c>
      <c r="O7" s="3" t="s">
        <v>109</v>
      </c>
      <c r="P7" s="3" t="str">
        <f>"INV184485                     "</f>
        <v xml:space="preserve">INV184485   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57.96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1</v>
      </c>
      <c r="BI7" s="3">
        <v>0.5</v>
      </c>
      <c r="BJ7" s="3">
        <v>2.2000000000000002</v>
      </c>
      <c r="BK7" s="3">
        <v>3</v>
      </c>
      <c r="BL7" s="3">
        <v>139.6</v>
      </c>
      <c r="BM7" s="3">
        <v>20.94</v>
      </c>
      <c r="BN7" s="3">
        <v>160.54</v>
      </c>
      <c r="BO7" s="3">
        <v>160.54</v>
      </c>
      <c r="BP7" s="3"/>
      <c r="BQ7" s="3" t="s">
        <v>122</v>
      </c>
      <c r="BR7" s="3" t="s">
        <v>96</v>
      </c>
      <c r="BS7" s="4">
        <v>44776</v>
      </c>
      <c r="BT7" s="5">
        <v>0.52083333333333337</v>
      </c>
      <c r="BU7" s="3" t="s">
        <v>123</v>
      </c>
      <c r="BV7" s="3" t="s">
        <v>85</v>
      </c>
      <c r="BW7" s="3"/>
      <c r="BX7" s="3"/>
      <c r="BY7" s="3">
        <v>11162.25</v>
      </c>
      <c r="BZ7" s="3" t="s">
        <v>105</v>
      </c>
      <c r="CA7" s="3" t="s">
        <v>124</v>
      </c>
      <c r="CB7" s="3"/>
      <c r="CC7" s="3" t="s">
        <v>121</v>
      </c>
      <c r="CD7" s="3">
        <v>181</v>
      </c>
      <c r="CE7" s="3" t="s">
        <v>90</v>
      </c>
      <c r="CF7" s="4">
        <v>44776</v>
      </c>
      <c r="CG7" s="3"/>
      <c r="CH7" s="3"/>
      <c r="CI7" s="8">
        <v>1</v>
      </c>
      <c r="CJ7" s="8">
        <v>2</v>
      </c>
      <c r="CK7" s="8">
        <v>31</v>
      </c>
      <c r="CL7" s="3" t="s">
        <v>85</v>
      </c>
      <c r="CM7" s="3"/>
      <c r="CN7" s="3"/>
    </row>
    <row r="8" spans="1:92" x14ac:dyDescent="0.3">
      <c r="A8" s="3" t="s">
        <v>72</v>
      </c>
      <c r="B8" s="3" t="s">
        <v>73</v>
      </c>
      <c r="C8" s="3" t="s">
        <v>74</v>
      </c>
      <c r="D8" s="3"/>
      <c r="E8" s="11" t="str">
        <f>"009942558696"</f>
        <v>009942558696</v>
      </c>
      <c r="F8" s="4">
        <v>44774</v>
      </c>
      <c r="G8" s="3">
        <v>202305</v>
      </c>
      <c r="H8" s="3" t="s">
        <v>79</v>
      </c>
      <c r="I8" s="3" t="s">
        <v>80</v>
      </c>
      <c r="J8" s="3" t="s">
        <v>94</v>
      </c>
      <c r="K8" s="3" t="s">
        <v>78</v>
      </c>
      <c r="L8" s="3" t="s">
        <v>125</v>
      </c>
      <c r="M8" s="3" t="s">
        <v>126</v>
      </c>
      <c r="N8" s="3" t="s">
        <v>93</v>
      </c>
      <c r="O8" s="3" t="s">
        <v>95</v>
      </c>
      <c r="P8" s="3" t="str">
        <f>"INV184481                     "</f>
        <v xml:space="preserve">INV184481           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5.25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72.099999999999994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15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3.5</v>
      </c>
      <c r="BJ8" s="3">
        <v>19.7</v>
      </c>
      <c r="BK8" s="3">
        <v>20</v>
      </c>
      <c r="BL8" s="3">
        <v>193.9</v>
      </c>
      <c r="BM8" s="3">
        <v>29.09</v>
      </c>
      <c r="BN8" s="3">
        <v>222.99</v>
      </c>
      <c r="BO8" s="3">
        <v>222.99</v>
      </c>
      <c r="BP8" s="3"/>
      <c r="BQ8" s="3" t="s">
        <v>127</v>
      </c>
      <c r="BR8" s="3" t="s">
        <v>96</v>
      </c>
      <c r="BS8" s="4">
        <v>44776</v>
      </c>
      <c r="BT8" s="5">
        <v>0.43472222222222223</v>
      </c>
      <c r="BU8" s="3" t="s">
        <v>128</v>
      </c>
      <c r="BV8" s="3" t="s">
        <v>99</v>
      </c>
      <c r="BW8" s="3"/>
      <c r="BX8" s="3"/>
      <c r="BY8" s="3">
        <v>98449.2</v>
      </c>
      <c r="BZ8" s="3" t="s">
        <v>129</v>
      </c>
      <c r="CA8" s="3" t="s">
        <v>130</v>
      </c>
      <c r="CB8" s="3"/>
      <c r="CC8" s="3" t="s">
        <v>126</v>
      </c>
      <c r="CD8" s="3">
        <v>1818</v>
      </c>
      <c r="CE8" s="3" t="s">
        <v>90</v>
      </c>
      <c r="CF8" s="4">
        <v>44803</v>
      </c>
      <c r="CG8" s="3"/>
      <c r="CH8" s="3"/>
      <c r="CI8" s="8">
        <v>2</v>
      </c>
      <c r="CJ8" s="8">
        <v>2</v>
      </c>
      <c r="CK8" s="8">
        <v>41</v>
      </c>
      <c r="CL8" s="3" t="s">
        <v>85</v>
      </c>
      <c r="CM8" s="3"/>
      <c r="CN8" s="3"/>
    </row>
    <row r="9" spans="1:92" x14ac:dyDescent="0.3">
      <c r="A9" s="3" t="s">
        <v>72</v>
      </c>
      <c r="B9" s="3" t="s">
        <v>73</v>
      </c>
      <c r="C9" s="3" t="s">
        <v>74</v>
      </c>
      <c r="D9" s="3"/>
      <c r="E9" s="11" t="str">
        <f>"009942558695"</f>
        <v>009942558695</v>
      </c>
      <c r="F9" s="4">
        <v>44774</v>
      </c>
      <c r="G9" s="3">
        <v>202305</v>
      </c>
      <c r="H9" s="3" t="s">
        <v>79</v>
      </c>
      <c r="I9" s="3" t="s">
        <v>80</v>
      </c>
      <c r="J9" s="3" t="s">
        <v>94</v>
      </c>
      <c r="K9" s="3" t="s">
        <v>78</v>
      </c>
      <c r="L9" s="3" t="s">
        <v>131</v>
      </c>
      <c r="M9" s="3" t="s">
        <v>132</v>
      </c>
      <c r="N9" s="3" t="s">
        <v>133</v>
      </c>
      <c r="O9" s="3" t="s">
        <v>95</v>
      </c>
      <c r="P9" s="3" t="str">
        <f>"INV184483                     "</f>
        <v xml:space="preserve">INV184483   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5.25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59.78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1</v>
      </c>
      <c r="BI9" s="3">
        <v>1.6</v>
      </c>
      <c r="BJ9" s="3">
        <v>8.3000000000000007</v>
      </c>
      <c r="BK9" s="3">
        <v>9</v>
      </c>
      <c r="BL9" s="3">
        <v>149.22999999999999</v>
      </c>
      <c r="BM9" s="3">
        <v>22.38</v>
      </c>
      <c r="BN9" s="3">
        <v>171.61</v>
      </c>
      <c r="BO9" s="3">
        <v>171.61</v>
      </c>
      <c r="BP9" s="3"/>
      <c r="BQ9" s="3" t="s">
        <v>134</v>
      </c>
      <c r="BR9" s="3" t="s">
        <v>96</v>
      </c>
      <c r="BS9" s="4">
        <v>44775</v>
      </c>
      <c r="BT9" s="5">
        <v>0.4513888888888889</v>
      </c>
      <c r="BU9" s="3" t="s">
        <v>135</v>
      </c>
      <c r="BV9" s="3" t="s">
        <v>99</v>
      </c>
      <c r="BW9" s="3"/>
      <c r="BX9" s="3"/>
      <c r="BY9" s="3">
        <v>41461.199999999997</v>
      </c>
      <c r="BZ9" s="3" t="s">
        <v>105</v>
      </c>
      <c r="CA9" s="3"/>
      <c r="CB9" s="3"/>
      <c r="CC9" s="3" t="s">
        <v>132</v>
      </c>
      <c r="CD9" s="3">
        <v>6530</v>
      </c>
      <c r="CE9" s="3" t="s">
        <v>90</v>
      </c>
      <c r="CF9" s="4">
        <v>44776</v>
      </c>
      <c r="CG9" s="3"/>
      <c r="CH9" s="3"/>
      <c r="CI9" s="8">
        <v>1</v>
      </c>
      <c r="CJ9" s="8">
        <v>1</v>
      </c>
      <c r="CK9" s="8">
        <v>41</v>
      </c>
      <c r="CL9" s="3" t="s">
        <v>85</v>
      </c>
      <c r="CM9" s="3"/>
      <c r="CN9" s="3"/>
    </row>
    <row r="10" spans="1:92" x14ac:dyDescent="0.3">
      <c r="A10" s="3" t="s">
        <v>136</v>
      </c>
      <c r="B10" s="3" t="s">
        <v>73</v>
      </c>
      <c r="C10" s="3" t="s">
        <v>74</v>
      </c>
      <c r="D10" s="3"/>
      <c r="E10" s="11" t="str">
        <f>"009942378862"</f>
        <v>009942378862</v>
      </c>
      <c r="F10" s="4">
        <v>44775</v>
      </c>
      <c r="G10" s="3">
        <v>202305</v>
      </c>
      <c r="H10" s="3" t="s">
        <v>137</v>
      </c>
      <c r="I10" s="3" t="s">
        <v>138</v>
      </c>
      <c r="J10" s="3" t="s">
        <v>139</v>
      </c>
      <c r="K10" s="3" t="s">
        <v>78</v>
      </c>
      <c r="L10" s="3" t="s">
        <v>79</v>
      </c>
      <c r="M10" s="3" t="s">
        <v>80</v>
      </c>
      <c r="N10" s="3" t="s">
        <v>140</v>
      </c>
      <c r="O10" s="3" t="s">
        <v>82</v>
      </c>
      <c r="P10" s="3" t="str">
        <f>"                              "</f>
        <v xml:space="preserve">            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308.13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2</v>
      </c>
      <c r="BJ10" s="3">
        <v>14.4</v>
      </c>
      <c r="BK10" s="3">
        <v>14.5</v>
      </c>
      <c r="BL10" s="3">
        <v>742.12</v>
      </c>
      <c r="BM10" s="3">
        <v>111.32</v>
      </c>
      <c r="BN10" s="3">
        <v>853.44</v>
      </c>
      <c r="BO10" s="3">
        <v>853.44</v>
      </c>
      <c r="BP10" s="3"/>
      <c r="BQ10" s="3" t="s">
        <v>141</v>
      </c>
      <c r="BR10" s="3" t="s">
        <v>103</v>
      </c>
      <c r="BS10" s="4">
        <v>44776</v>
      </c>
      <c r="BT10" s="5">
        <v>0.41666666666666669</v>
      </c>
      <c r="BU10" s="3" t="s">
        <v>98</v>
      </c>
      <c r="BV10" s="3" t="s">
        <v>99</v>
      </c>
      <c r="BW10" s="3"/>
      <c r="BX10" s="3"/>
      <c r="BY10" s="3">
        <v>72000</v>
      </c>
      <c r="BZ10" s="3" t="s">
        <v>24</v>
      </c>
      <c r="CA10" s="3"/>
      <c r="CB10" s="3"/>
      <c r="CC10" s="3" t="s">
        <v>80</v>
      </c>
      <c r="CD10" s="3">
        <v>7945</v>
      </c>
      <c r="CE10" s="3" t="s">
        <v>90</v>
      </c>
      <c r="CF10" s="4">
        <v>44777</v>
      </c>
      <c r="CG10" s="3"/>
      <c r="CH10" s="3"/>
      <c r="CI10" s="8">
        <v>1</v>
      </c>
      <c r="CJ10" s="8">
        <v>1</v>
      </c>
      <c r="CK10" s="8">
        <v>24</v>
      </c>
      <c r="CL10" s="3" t="s">
        <v>85</v>
      </c>
      <c r="CM10" s="3"/>
      <c r="CN10" s="3"/>
    </row>
    <row r="11" spans="1:92" x14ac:dyDescent="0.3">
      <c r="A11" s="3" t="s">
        <v>72</v>
      </c>
      <c r="B11" s="3" t="s">
        <v>73</v>
      </c>
      <c r="C11" s="3" t="s">
        <v>74</v>
      </c>
      <c r="D11" s="3"/>
      <c r="E11" s="11" t="str">
        <f>"009942558703"</f>
        <v>009942558703</v>
      </c>
      <c r="F11" s="4">
        <v>44775</v>
      </c>
      <c r="G11" s="3">
        <v>202305</v>
      </c>
      <c r="H11" s="3" t="s">
        <v>79</v>
      </c>
      <c r="I11" s="3" t="s">
        <v>80</v>
      </c>
      <c r="J11" s="3" t="s">
        <v>94</v>
      </c>
      <c r="K11" s="3" t="s">
        <v>78</v>
      </c>
      <c r="L11" s="3" t="s">
        <v>142</v>
      </c>
      <c r="M11" s="3" t="s">
        <v>143</v>
      </c>
      <c r="N11" s="3" t="s">
        <v>93</v>
      </c>
      <c r="O11" s="3" t="s">
        <v>109</v>
      </c>
      <c r="P11" s="3" t="str">
        <f>"INV184502                     "</f>
        <v xml:space="preserve">INV184502   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138.38999999999999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1.2</v>
      </c>
      <c r="BJ11" s="3">
        <v>8.1999999999999993</v>
      </c>
      <c r="BK11" s="3">
        <v>9</v>
      </c>
      <c r="BL11" s="3">
        <v>333.3</v>
      </c>
      <c r="BM11" s="3">
        <v>50</v>
      </c>
      <c r="BN11" s="3">
        <v>383.3</v>
      </c>
      <c r="BO11" s="3">
        <v>383.3</v>
      </c>
      <c r="BP11" s="3"/>
      <c r="BQ11" s="3" t="s">
        <v>144</v>
      </c>
      <c r="BR11" s="3" t="s">
        <v>96</v>
      </c>
      <c r="BS11" s="4">
        <v>44777</v>
      </c>
      <c r="BT11" s="5">
        <v>0.72569444444444453</v>
      </c>
      <c r="BU11" s="3" t="s">
        <v>145</v>
      </c>
      <c r="BV11" s="3" t="s">
        <v>99</v>
      </c>
      <c r="BW11" s="3"/>
      <c r="BX11" s="3"/>
      <c r="BY11" s="3">
        <v>41209.56</v>
      </c>
      <c r="BZ11" s="3" t="s">
        <v>105</v>
      </c>
      <c r="CA11" s="3" t="s">
        <v>146</v>
      </c>
      <c r="CB11" s="3"/>
      <c r="CC11" s="3" t="s">
        <v>143</v>
      </c>
      <c r="CD11" s="3">
        <v>8710</v>
      </c>
      <c r="CE11" s="3" t="s">
        <v>90</v>
      </c>
      <c r="CF11" s="4">
        <v>44779</v>
      </c>
      <c r="CG11" s="3"/>
      <c r="CH11" s="3"/>
      <c r="CI11" s="8">
        <v>6</v>
      </c>
      <c r="CJ11" s="8">
        <v>2</v>
      </c>
      <c r="CK11" s="8">
        <v>33</v>
      </c>
      <c r="CL11" s="3" t="s">
        <v>85</v>
      </c>
      <c r="CM11" s="3"/>
      <c r="CN11" s="3"/>
    </row>
    <row r="12" spans="1:92" x14ac:dyDescent="0.3">
      <c r="A12" s="3" t="s">
        <v>72</v>
      </c>
      <c r="B12" s="3" t="s">
        <v>73</v>
      </c>
      <c r="C12" s="3" t="s">
        <v>74</v>
      </c>
      <c r="D12" s="3"/>
      <c r="E12" s="11" t="str">
        <f>"009942558705"</f>
        <v>009942558705</v>
      </c>
      <c r="F12" s="4">
        <v>44775</v>
      </c>
      <c r="G12" s="3">
        <v>202305</v>
      </c>
      <c r="H12" s="3" t="s">
        <v>79</v>
      </c>
      <c r="I12" s="3" t="s">
        <v>80</v>
      </c>
      <c r="J12" s="3" t="s">
        <v>94</v>
      </c>
      <c r="K12" s="3" t="s">
        <v>78</v>
      </c>
      <c r="L12" s="3" t="s">
        <v>147</v>
      </c>
      <c r="M12" s="3" t="s">
        <v>148</v>
      </c>
      <c r="N12" s="3" t="s">
        <v>149</v>
      </c>
      <c r="O12" s="3" t="s">
        <v>109</v>
      </c>
      <c r="P12" s="3" t="str">
        <f>"INV184521                     "</f>
        <v xml:space="preserve">INV184521   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106.99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1.3</v>
      </c>
      <c r="BJ12" s="3">
        <v>6.9</v>
      </c>
      <c r="BK12" s="3">
        <v>7</v>
      </c>
      <c r="BL12" s="3">
        <v>257.68</v>
      </c>
      <c r="BM12" s="3">
        <v>38.65</v>
      </c>
      <c r="BN12" s="3">
        <v>296.33</v>
      </c>
      <c r="BO12" s="3">
        <v>296.33</v>
      </c>
      <c r="BP12" s="3"/>
      <c r="BQ12" s="3" t="s">
        <v>150</v>
      </c>
      <c r="BR12" s="3" t="s">
        <v>96</v>
      </c>
      <c r="BS12" s="4">
        <v>44776</v>
      </c>
      <c r="BT12" s="5">
        <v>0.4465277777777778</v>
      </c>
      <c r="BU12" s="3" t="s">
        <v>151</v>
      </c>
      <c r="BV12" s="3" t="s">
        <v>99</v>
      </c>
      <c r="BW12" s="3"/>
      <c r="BX12" s="3"/>
      <c r="BY12" s="3">
        <v>34465.050000000003</v>
      </c>
      <c r="BZ12" s="3" t="s">
        <v>105</v>
      </c>
      <c r="CA12" s="3" t="s">
        <v>152</v>
      </c>
      <c r="CB12" s="3"/>
      <c r="CC12" s="3" t="s">
        <v>148</v>
      </c>
      <c r="CD12" s="3">
        <v>1911</v>
      </c>
      <c r="CE12" s="3" t="s">
        <v>90</v>
      </c>
      <c r="CF12" s="4">
        <v>44777</v>
      </c>
      <c r="CG12" s="3"/>
      <c r="CH12" s="3"/>
      <c r="CI12" s="8">
        <v>1</v>
      </c>
      <c r="CJ12" s="8">
        <v>1</v>
      </c>
      <c r="CK12" s="8">
        <v>33</v>
      </c>
      <c r="CL12" s="3" t="s">
        <v>85</v>
      </c>
      <c r="CM12" s="3"/>
      <c r="CN12" s="3"/>
    </row>
    <row r="13" spans="1:92" x14ac:dyDescent="0.3">
      <c r="A13" s="3" t="s">
        <v>72</v>
      </c>
      <c r="B13" s="3" t="s">
        <v>73</v>
      </c>
      <c r="C13" s="3" t="s">
        <v>74</v>
      </c>
      <c r="D13" s="3"/>
      <c r="E13" s="11" t="str">
        <f>"009942558708"</f>
        <v>009942558708</v>
      </c>
      <c r="F13" s="4">
        <v>44775</v>
      </c>
      <c r="G13" s="3">
        <v>202305</v>
      </c>
      <c r="H13" s="3" t="s">
        <v>79</v>
      </c>
      <c r="I13" s="3" t="s">
        <v>80</v>
      </c>
      <c r="J13" s="3" t="s">
        <v>94</v>
      </c>
      <c r="K13" s="3" t="s">
        <v>78</v>
      </c>
      <c r="L13" s="3" t="s">
        <v>153</v>
      </c>
      <c r="M13" s="3" t="s">
        <v>154</v>
      </c>
      <c r="N13" s="3" t="s">
        <v>93</v>
      </c>
      <c r="O13" s="3" t="s">
        <v>95</v>
      </c>
      <c r="P13" s="3" t="str">
        <f>"INV18452                      "</f>
        <v xml:space="preserve">INV18452    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5.25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59.78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</v>
      </c>
      <c r="BI13" s="3">
        <v>4</v>
      </c>
      <c r="BJ13" s="3">
        <v>11.8</v>
      </c>
      <c r="BK13" s="3">
        <v>12</v>
      </c>
      <c r="BL13" s="3">
        <v>149.22999999999999</v>
      </c>
      <c r="BM13" s="3">
        <v>22.38</v>
      </c>
      <c r="BN13" s="3">
        <v>171.61</v>
      </c>
      <c r="BO13" s="3">
        <v>171.61</v>
      </c>
      <c r="BP13" s="3"/>
      <c r="BQ13" s="3" t="s">
        <v>155</v>
      </c>
      <c r="BR13" s="3" t="s">
        <v>96</v>
      </c>
      <c r="BS13" s="4">
        <v>44777</v>
      </c>
      <c r="BT13" s="5">
        <v>0.47986111111111113</v>
      </c>
      <c r="BU13" s="3" t="s">
        <v>156</v>
      </c>
      <c r="BV13" s="3" t="s">
        <v>99</v>
      </c>
      <c r="BW13" s="3"/>
      <c r="BX13" s="3"/>
      <c r="BY13" s="3">
        <v>59064.6</v>
      </c>
      <c r="BZ13" s="3" t="s">
        <v>105</v>
      </c>
      <c r="CA13" s="3"/>
      <c r="CB13" s="3"/>
      <c r="CC13" s="3" t="s">
        <v>154</v>
      </c>
      <c r="CD13" s="3">
        <v>1619</v>
      </c>
      <c r="CE13" s="3" t="s">
        <v>90</v>
      </c>
      <c r="CF13" s="4">
        <v>44778</v>
      </c>
      <c r="CG13" s="3"/>
      <c r="CH13" s="3"/>
      <c r="CI13" s="8">
        <v>2</v>
      </c>
      <c r="CJ13" s="8">
        <v>2</v>
      </c>
      <c r="CK13" s="8">
        <v>41</v>
      </c>
      <c r="CL13" s="3" t="s">
        <v>85</v>
      </c>
      <c r="CM13" s="3"/>
      <c r="CN13" s="3"/>
    </row>
    <row r="14" spans="1:92" x14ac:dyDescent="0.3">
      <c r="A14" s="3" t="s">
        <v>72</v>
      </c>
      <c r="B14" s="3" t="s">
        <v>73</v>
      </c>
      <c r="C14" s="3" t="s">
        <v>74</v>
      </c>
      <c r="D14" s="3"/>
      <c r="E14" s="11" t="str">
        <f>"009942558707"</f>
        <v>009942558707</v>
      </c>
      <c r="F14" s="4">
        <v>44775</v>
      </c>
      <c r="G14" s="3">
        <v>202305</v>
      </c>
      <c r="H14" s="3" t="s">
        <v>79</v>
      </c>
      <c r="I14" s="3" t="s">
        <v>80</v>
      </c>
      <c r="J14" s="3" t="s">
        <v>94</v>
      </c>
      <c r="K14" s="3" t="s">
        <v>78</v>
      </c>
      <c r="L14" s="3" t="s">
        <v>125</v>
      </c>
      <c r="M14" s="3" t="s">
        <v>126</v>
      </c>
      <c r="N14" s="3" t="s">
        <v>93</v>
      </c>
      <c r="O14" s="3" t="s">
        <v>109</v>
      </c>
      <c r="P14" s="3" t="str">
        <f>"INV184532                     "</f>
        <v xml:space="preserve">INV184532   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57.96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15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1</v>
      </c>
      <c r="BI14" s="3">
        <v>0.3</v>
      </c>
      <c r="BJ14" s="3">
        <v>0.9</v>
      </c>
      <c r="BK14" s="3">
        <v>1</v>
      </c>
      <c r="BL14" s="3">
        <v>154.6</v>
      </c>
      <c r="BM14" s="3">
        <v>23.19</v>
      </c>
      <c r="BN14" s="3">
        <v>177.79</v>
      </c>
      <c r="BO14" s="3">
        <v>177.79</v>
      </c>
      <c r="BP14" s="3"/>
      <c r="BQ14" s="3" t="s">
        <v>157</v>
      </c>
      <c r="BR14" s="3" t="s">
        <v>96</v>
      </c>
      <c r="BS14" s="4">
        <v>44776</v>
      </c>
      <c r="BT14" s="5">
        <v>0.43472222222222223</v>
      </c>
      <c r="BU14" s="3" t="s">
        <v>158</v>
      </c>
      <c r="BV14" s="3" t="s">
        <v>99</v>
      </c>
      <c r="BW14" s="3"/>
      <c r="BX14" s="3"/>
      <c r="BY14" s="3">
        <v>4509.04</v>
      </c>
      <c r="BZ14" s="3" t="s">
        <v>129</v>
      </c>
      <c r="CA14" s="3" t="s">
        <v>159</v>
      </c>
      <c r="CB14" s="3"/>
      <c r="CC14" s="3" t="s">
        <v>126</v>
      </c>
      <c r="CD14" s="3">
        <v>2090</v>
      </c>
      <c r="CE14" s="3" t="s">
        <v>90</v>
      </c>
      <c r="CF14" s="4">
        <v>44777</v>
      </c>
      <c r="CG14" s="3"/>
      <c r="CH14" s="3"/>
      <c r="CI14" s="8">
        <v>1</v>
      </c>
      <c r="CJ14" s="8">
        <v>1</v>
      </c>
      <c r="CK14" s="8">
        <v>31</v>
      </c>
      <c r="CL14" s="3" t="s">
        <v>85</v>
      </c>
      <c r="CM14" s="3"/>
      <c r="CN14" s="3"/>
    </row>
    <row r="15" spans="1:92" x14ac:dyDescent="0.3">
      <c r="A15" s="3" t="s">
        <v>72</v>
      </c>
      <c r="B15" s="3" t="s">
        <v>73</v>
      </c>
      <c r="C15" s="3" t="s">
        <v>74</v>
      </c>
      <c r="D15" s="3"/>
      <c r="E15" s="11" t="str">
        <f>"009942558721"</f>
        <v>009942558721</v>
      </c>
      <c r="F15" s="4">
        <v>44775</v>
      </c>
      <c r="G15" s="3">
        <v>202305</v>
      </c>
      <c r="H15" s="3" t="s">
        <v>79</v>
      </c>
      <c r="I15" s="3" t="s">
        <v>80</v>
      </c>
      <c r="J15" s="3" t="s">
        <v>94</v>
      </c>
      <c r="K15" s="3" t="s">
        <v>78</v>
      </c>
      <c r="L15" s="3" t="s">
        <v>160</v>
      </c>
      <c r="M15" s="3" t="s">
        <v>161</v>
      </c>
      <c r="N15" s="3" t="s">
        <v>162</v>
      </c>
      <c r="O15" s="3" t="s">
        <v>109</v>
      </c>
      <c r="P15" s="3" t="str">
        <f>"MARK MONTE                    "</f>
        <v xml:space="preserve">MARK MONTE       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24.15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1</v>
      </c>
      <c r="BI15" s="3">
        <v>0.2</v>
      </c>
      <c r="BJ15" s="3">
        <v>1.3</v>
      </c>
      <c r="BK15" s="3">
        <v>2</v>
      </c>
      <c r="BL15" s="3">
        <v>58.17</v>
      </c>
      <c r="BM15" s="3">
        <v>8.73</v>
      </c>
      <c r="BN15" s="3">
        <v>66.900000000000006</v>
      </c>
      <c r="BO15" s="3">
        <v>66.900000000000006</v>
      </c>
      <c r="BP15" s="3"/>
      <c r="BQ15" s="3" t="s">
        <v>163</v>
      </c>
      <c r="BR15" s="3" t="s">
        <v>96</v>
      </c>
      <c r="BS15" s="4">
        <v>44776</v>
      </c>
      <c r="BT15" s="5">
        <v>0.49236111111111108</v>
      </c>
      <c r="BU15" s="3" t="s">
        <v>164</v>
      </c>
      <c r="BV15" s="3" t="s">
        <v>99</v>
      </c>
      <c r="BW15" s="3"/>
      <c r="BX15" s="3"/>
      <c r="BY15" s="3">
        <v>6525</v>
      </c>
      <c r="BZ15" s="3" t="s">
        <v>105</v>
      </c>
      <c r="CA15" s="3" t="s">
        <v>165</v>
      </c>
      <c r="CB15" s="3"/>
      <c r="CC15" s="3" t="s">
        <v>161</v>
      </c>
      <c r="CD15" s="3">
        <v>7600</v>
      </c>
      <c r="CE15" s="3" t="s">
        <v>90</v>
      </c>
      <c r="CF15" s="4">
        <v>44777</v>
      </c>
      <c r="CG15" s="3"/>
      <c r="CH15" s="3"/>
      <c r="CI15" s="8">
        <v>1</v>
      </c>
      <c r="CJ15" s="8">
        <v>1</v>
      </c>
      <c r="CK15" s="8">
        <v>32</v>
      </c>
      <c r="CL15" s="3" t="s">
        <v>85</v>
      </c>
      <c r="CM15" s="3"/>
      <c r="CN15" s="3"/>
    </row>
    <row r="16" spans="1:92" x14ac:dyDescent="0.3">
      <c r="A16" s="3" t="s">
        <v>72</v>
      </c>
      <c r="B16" s="3" t="s">
        <v>73</v>
      </c>
      <c r="C16" s="3" t="s">
        <v>74</v>
      </c>
      <c r="D16" s="3"/>
      <c r="E16" s="11" t="str">
        <f>"009942558702"</f>
        <v>009942558702</v>
      </c>
      <c r="F16" s="4">
        <v>44775</v>
      </c>
      <c r="G16" s="3">
        <v>202305</v>
      </c>
      <c r="H16" s="3" t="s">
        <v>79</v>
      </c>
      <c r="I16" s="3" t="s">
        <v>80</v>
      </c>
      <c r="J16" s="3" t="s">
        <v>94</v>
      </c>
      <c r="K16" s="3" t="s">
        <v>78</v>
      </c>
      <c r="L16" s="3" t="s">
        <v>153</v>
      </c>
      <c r="M16" s="3" t="s">
        <v>154</v>
      </c>
      <c r="N16" s="3" t="s">
        <v>93</v>
      </c>
      <c r="O16" s="3" t="s">
        <v>109</v>
      </c>
      <c r="P16" s="3" t="str">
        <f>"INV184501                     "</f>
        <v xml:space="preserve">INV184501    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57.96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</v>
      </c>
      <c r="BI16" s="3">
        <v>0.2</v>
      </c>
      <c r="BJ16" s="3">
        <v>1.1000000000000001</v>
      </c>
      <c r="BK16" s="3">
        <v>2</v>
      </c>
      <c r="BL16" s="3">
        <v>139.6</v>
      </c>
      <c r="BM16" s="3">
        <v>20.94</v>
      </c>
      <c r="BN16" s="3">
        <v>160.54</v>
      </c>
      <c r="BO16" s="3">
        <v>160.54</v>
      </c>
      <c r="BP16" s="3"/>
      <c r="BQ16" s="3" t="s">
        <v>166</v>
      </c>
      <c r="BR16" s="3" t="s">
        <v>96</v>
      </c>
      <c r="BS16" s="4">
        <v>44776</v>
      </c>
      <c r="BT16" s="5">
        <v>0.45902777777777781</v>
      </c>
      <c r="BU16" s="3" t="s">
        <v>167</v>
      </c>
      <c r="BV16" s="3" t="s">
        <v>99</v>
      </c>
      <c r="BW16" s="3"/>
      <c r="BX16" s="3"/>
      <c r="BY16" s="3">
        <v>5457.75</v>
      </c>
      <c r="BZ16" s="3" t="s">
        <v>105</v>
      </c>
      <c r="CA16" s="3" t="s">
        <v>168</v>
      </c>
      <c r="CB16" s="3"/>
      <c r="CC16" s="3" t="s">
        <v>154</v>
      </c>
      <c r="CD16" s="3">
        <v>1619</v>
      </c>
      <c r="CE16" s="3" t="s">
        <v>90</v>
      </c>
      <c r="CF16" s="4">
        <v>44777</v>
      </c>
      <c r="CG16" s="3"/>
      <c r="CH16" s="3"/>
      <c r="CI16" s="8">
        <v>1</v>
      </c>
      <c r="CJ16" s="8">
        <v>1</v>
      </c>
      <c r="CK16" s="8">
        <v>31</v>
      </c>
      <c r="CL16" s="3" t="s">
        <v>85</v>
      </c>
      <c r="CM16" s="3"/>
      <c r="CN16" s="3"/>
    </row>
    <row r="17" spans="1:92" x14ac:dyDescent="0.3">
      <c r="A17" s="3" t="s">
        <v>72</v>
      </c>
      <c r="B17" s="3" t="s">
        <v>73</v>
      </c>
      <c r="C17" s="3" t="s">
        <v>74</v>
      </c>
      <c r="D17" s="3"/>
      <c r="E17" s="11" t="str">
        <f>"009942558706"</f>
        <v>009942558706</v>
      </c>
      <c r="F17" s="4">
        <v>44775</v>
      </c>
      <c r="G17" s="3">
        <v>202305</v>
      </c>
      <c r="H17" s="3" t="s">
        <v>79</v>
      </c>
      <c r="I17" s="3" t="s">
        <v>80</v>
      </c>
      <c r="J17" s="3" t="s">
        <v>94</v>
      </c>
      <c r="K17" s="3" t="s">
        <v>78</v>
      </c>
      <c r="L17" s="3" t="s">
        <v>125</v>
      </c>
      <c r="M17" s="3" t="s">
        <v>126</v>
      </c>
      <c r="N17" s="3" t="s">
        <v>93</v>
      </c>
      <c r="O17" s="3" t="s">
        <v>109</v>
      </c>
      <c r="P17" s="3" t="str">
        <f>"INV184519                     "</f>
        <v xml:space="preserve">INV184519        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57.96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0.1</v>
      </c>
      <c r="BJ17" s="3">
        <v>2</v>
      </c>
      <c r="BK17" s="3">
        <v>2</v>
      </c>
      <c r="BL17" s="3">
        <v>139.6</v>
      </c>
      <c r="BM17" s="3">
        <v>20.94</v>
      </c>
      <c r="BN17" s="3">
        <v>160.54</v>
      </c>
      <c r="BO17" s="3">
        <v>160.54</v>
      </c>
      <c r="BP17" s="3"/>
      <c r="BQ17" s="3" t="s">
        <v>169</v>
      </c>
      <c r="BR17" s="3" t="s">
        <v>96</v>
      </c>
      <c r="BS17" s="4">
        <v>44776</v>
      </c>
      <c r="BT17" s="5">
        <v>0.45208333333333334</v>
      </c>
      <c r="BU17" s="3" t="s">
        <v>170</v>
      </c>
      <c r="BV17" s="3" t="s">
        <v>99</v>
      </c>
      <c r="BW17" s="3"/>
      <c r="BX17" s="3"/>
      <c r="BY17" s="3">
        <v>9963</v>
      </c>
      <c r="BZ17" s="3" t="s">
        <v>105</v>
      </c>
      <c r="CA17" s="3" t="s">
        <v>171</v>
      </c>
      <c r="CB17" s="3"/>
      <c r="CC17" s="3" t="s">
        <v>126</v>
      </c>
      <c r="CD17" s="3">
        <v>2192</v>
      </c>
      <c r="CE17" s="3" t="s">
        <v>90</v>
      </c>
      <c r="CF17" s="4">
        <v>44777</v>
      </c>
      <c r="CG17" s="3"/>
      <c r="CH17" s="3"/>
      <c r="CI17" s="8">
        <v>1</v>
      </c>
      <c r="CJ17" s="8">
        <v>1</v>
      </c>
      <c r="CK17" s="8">
        <v>31</v>
      </c>
      <c r="CL17" s="3" t="s">
        <v>85</v>
      </c>
      <c r="CM17" s="3"/>
      <c r="CN17" s="3"/>
    </row>
    <row r="18" spans="1:92" x14ac:dyDescent="0.3">
      <c r="A18" s="3" t="s">
        <v>72</v>
      </c>
      <c r="B18" s="3" t="s">
        <v>73</v>
      </c>
      <c r="C18" s="3" t="s">
        <v>74</v>
      </c>
      <c r="D18" s="3"/>
      <c r="E18" s="11" t="str">
        <f>"009942558704"</f>
        <v>009942558704</v>
      </c>
      <c r="F18" s="4">
        <v>44775</v>
      </c>
      <c r="G18" s="3">
        <v>202305</v>
      </c>
      <c r="H18" s="3" t="s">
        <v>79</v>
      </c>
      <c r="I18" s="3" t="s">
        <v>80</v>
      </c>
      <c r="J18" s="3" t="s">
        <v>94</v>
      </c>
      <c r="K18" s="3" t="s">
        <v>78</v>
      </c>
      <c r="L18" s="3" t="s">
        <v>79</v>
      </c>
      <c r="M18" s="3" t="s">
        <v>80</v>
      </c>
      <c r="N18" s="3" t="s">
        <v>93</v>
      </c>
      <c r="O18" s="3" t="s">
        <v>95</v>
      </c>
      <c r="P18" s="3" t="str">
        <f>"INV184609                     "</f>
        <v xml:space="preserve">INV184609   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5.25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51.52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1</v>
      </c>
      <c r="BI18" s="3">
        <v>3.7</v>
      </c>
      <c r="BJ18" s="3">
        <v>18.100000000000001</v>
      </c>
      <c r="BK18" s="3">
        <v>19</v>
      </c>
      <c r="BL18" s="3">
        <v>129.34</v>
      </c>
      <c r="BM18" s="3">
        <v>19.399999999999999</v>
      </c>
      <c r="BN18" s="3">
        <v>148.74</v>
      </c>
      <c r="BO18" s="3">
        <v>148.74</v>
      </c>
      <c r="BP18" s="3"/>
      <c r="BQ18" s="3" t="s">
        <v>172</v>
      </c>
      <c r="BR18" s="3" t="s">
        <v>96</v>
      </c>
      <c r="BS18" s="4">
        <v>44776</v>
      </c>
      <c r="BT18" s="5">
        <v>0.42222222222222222</v>
      </c>
      <c r="BU18" s="3" t="s">
        <v>173</v>
      </c>
      <c r="BV18" s="3" t="s">
        <v>99</v>
      </c>
      <c r="BW18" s="3"/>
      <c r="BX18" s="3"/>
      <c r="BY18" s="3">
        <v>90672.4</v>
      </c>
      <c r="BZ18" s="3" t="s">
        <v>105</v>
      </c>
      <c r="CA18" s="3" t="s">
        <v>174</v>
      </c>
      <c r="CB18" s="3"/>
      <c r="CC18" s="3" t="s">
        <v>80</v>
      </c>
      <c r="CD18" s="3">
        <v>8001</v>
      </c>
      <c r="CE18" s="3" t="s">
        <v>90</v>
      </c>
      <c r="CF18" s="4">
        <v>44777</v>
      </c>
      <c r="CG18" s="3"/>
      <c r="CH18" s="3"/>
      <c r="CI18" s="8">
        <v>1</v>
      </c>
      <c r="CJ18" s="8">
        <v>1</v>
      </c>
      <c r="CK18" s="8">
        <v>42</v>
      </c>
      <c r="CL18" s="3" t="s">
        <v>85</v>
      </c>
      <c r="CM18" s="3"/>
      <c r="CN18" s="3"/>
    </row>
    <row r="19" spans="1:92" x14ac:dyDescent="0.3">
      <c r="A19" s="3" t="s">
        <v>72</v>
      </c>
      <c r="B19" s="3" t="s">
        <v>73</v>
      </c>
      <c r="C19" s="3" t="s">
        <v>74</v>
      </c>
      <c r="D19" s="3"/>
      <c r="E19" s="12">
        <v>9942558697</v>
      </c>
      <c r="F19" s="4">
        <v>44775</v>
      </c>
      <c r="G19" s="3">
        <v>202305</v>
      </c>
      <c r="H19" s="3" t="s">
        <v>79</v>
      </c>
      <c r="I19" s="3" t="s">
        <v>80</v>
      </c>
      <c r="J19" s="3" t="s">
        <v>94</v>
      </c>
      <c r="K19" s="3" t="s">
        <v>78</v>
      </c>
      <c r="L19" s="3" t="s">
        <v>175</v>
      </c>
      <c r="M19" s="3" t="s">
        <v>176</v>
      </c>
      <c r="N19" s="3" t="s">
        <v>94</v>
      </c>
      <c r="O19" s="3" t="s">
        <v>95</v>
      </c>
      <c r="P19" s="3" t="str">
        <f>"INV184463                     "</f>
        <v xml:space="preserve">INV184463    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5.25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158.33000000000001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3</v>
      </c>
      <c r="BI19" s="3">
        <v>12.4</v>
      </c>
      <c r="BJ19" s="3">
        <v>54.9</v>
      </c>
      <c r="BK19" s="3">
        <v>55</v>
      </c>
      <c r="BL19" s="3">
        <v>386.58</v>
      </c>
      <c r="BM19" s="3">
        <v>57.99</v>
      </c>
      <c r="BN19" s="3">
        <v>444.57</v>
      </c>
      <c r="BO19" s="3">
        <v>444.57</v>
      </c>
      <c r="BP19" s="3"/>
      <c r="BQ19" s="3" t="s">
        <v>177</v>
      </c>
      <c r="BR19" s="3" t="s">
        <v>96</v>
      </c>
      <c r="BS19" s="4">
        <v>44777</v>
      </c>
      <c r="BT19" s="5">
        <v>0.55555555555555558</v>
      </c>
      <c r="BU19" s="3" t="s">
        <v>178</v>
      </c>
      <c r="BV19" s="3" t="s">
        <v>99</v>
      </c>
      <c r="BW19" s="3"/>
      <c r="BX19" s="3"/>
      <c r="BY19" s="3">
        <v>274495.21999999997</v>
      </c>
      <c r="BZ19" s="3" t="s">
        <v>24</v>
      </c>
      <c r="CA19" s="3"/>
      <c r="CB19" s="3"/>
      <c r="CC19" s="3" t="s">
        <v>176</v>
      </c>
      <c r="CD19" s="3">
        <v>5256</v>
      </c>
      <c r="CE19" s="3" t="s">
        <v>90</v>
      </c>
      <c r="CF19" s="3"/>
      <c r="CG19" s="3"/>
      <c r="CH19" s="3"/>
      <c r="CI19" s="8">
        <v>2</v>
      </c>
      <c r="CJ19" s="8">
        <v>2</v>
      </c>
      <c r="CK19" s="8">
        <v>41</v>
      </c>
      <c r="CL19" s="3" t="s">
        <v>85</v>
      </c>
      <c r="CM19" s="3"/>
      <c r="CN19" s="3"/>
    </row>
    <row r="20" spans="1:92" x14ac:dyDescent="0.3">
      <c r="A20" s="3" t="s">
        <v>72</v>
      </c>
      <c r="B20" s="3" t="s">
        <v>73</v>
      </c>
      <c r="C20" s="3" t="s">
        <v>74</v>
      </c>
      <c r="D20" s="3"/>
      <c r="E20" s="11" t="str">
        <f>"009942558700"</f>
        <v>009942558700</v>
      </c>
      <c r="F20" s="4">
        <v>44775</v>
      </c>
      <c r="G20" s="3">
        <v>202305</v>
      </c>
      <c r="H20" s="3" t="s">
        <v>79</v>
      </c>
      <c r="I20" s="3" t="s">
        <v>80</v>
      </c>
      <c r="J20" s="3" t="s">
        <v>94</v>
      </c>
      <c r="K20" s="3" t="s">
        <v>78</v>
      </c>
      <c r="L20" s="3" t="s">
        <v>125</v>
      </c>
      <c r="M20" s="3" t="s">
        <v>126</v>
      </c>
      <c r="N20" s="3" t="s">
        <v>179</v>
      </c>
      <c r="O20" s="3" t="s">
        <v>95</v>
      </c>
      <c r="P20" s="3" t="str">
        <f>"INV8940                       "</f>
        <v xml:space="preserve">INV8940     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5.25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59.78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1.4</v>
      </c>
      <c r="BJ20" s="3">
        <v>4.4000000000000004</v>
      </c>
      <c r="BK20" s="3">
        <v>5</v>
      </c>
      <c r="BL20" s="3">
        <v>149.22999999999999</v>
      </c>
      <c r="BM20" s="3">
        <v>22.38</v>
      </c>
      <c r="BN20" s="3">
        <v>171.61</v>
      </c>
      <c r="BO20" s="3">
        <v>171.61</v>
      </c>
      <c r="BP20" s="3"/>
      <c r="BQ20" s="3" t="s">
        <v>180</v>
      </c>
      <c r="BR20" s="3" t="s">
        <v>96</v>
      </c>
      <c r="BS20" s="4">
        <v>44777</v>
      </c>
      <c r="BT20" s="5">
        <v>0.70486111111111116</v>
      </c>
      <c r="BU20" s="3" t="s">
        <v>181</v>
      </c>
      <c r="BV20" s="3" t="s">
        <v>99</v>
      </c>
      <c r="BW20" s="3"/>
      <c r="BX20" s="3"/>
      <c r="BY20" s="3">
        <v>22106.83</v>
      </c>
      <c r="BZ20" s="3" t="s">
        <v>105</v>
      </c>
      <c r="CA20" s="3" t="s">
        <v>182</v>
      </c>
      <c r="CB20" s="3"/>
      <c r="CC20" s="3" t="s">
        <v>126</v>
      </c>
      <c r="CD20" s="3">
        <v>2190</v>
      </c>
      <c r="CE20" s="3" t="s">
        <v>90</v>
      </c>
      <c r="CF20" s="4">
        <v>44778</v>
      </c>
      <c r="CG20" s="3"/>
      <c r="CH20" s="3"/>
      <c r="CI20" s="8">
        <v>2</v>
      </c>
      <c r="CJ20" s="8">
        <v>2</v>
      </c>
      <c r="CK20" s="8">
        <v>41</v>
      </c>
      <c r="CL20" s="3" t="s">
        <v>85</v>
      </c>
      <c r="CM20" s="3"/>
      <c r="CN20" s="3"/>
    </row>
    <row r="21" spans="1:92" x14ac:dyDescent="0.3">
      <c r="A21" s="3" t="s">
        <v>136</v>
      </c>
      <c r="B21" s="3" t="s">
        <v>73</v>
      </c>
      <c r="C21" s="3" t="s">
        <v>74</v>
      </c>
      <c r="D21" s="3"/>
      <c r="E21" s="11" t="str">
        <f>"009942558698"</f>
        <v>009942558698</v>
      </c>
      <c r="F21" s="4">
        <v>44775</v>
      </c>
      <c r="G21" s="3">
        <v>202305</v>
      </c>
      <c r="H21" s="3" t="s">
        <v>79</v>
      </c>
      <c r="I21" s="3" t="s">
        <v>80</v>
      </c>
      <c r="J21" s="3" t="s">
        <v>94</v>
      </c>
      <c r="K21" s="3" t="s">
        <v>78</v>
      </c>
      <c r="L21" s="3" t="s">
        <v>183</v>
      </c>
      <c r="M21" s="3" t="s">
        <v>184</v>
      </c>
      <c r="N21" s="3" t="s">
        <v>185</v>
      </c>
      <c r="O21" s="3" t="s">
        <v>95</v>
      </c>
      <c r="P21" s="3" t="str">
        <f>"INV184464                     "</f>
        <v xml:space="preserve">INV184464   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5.25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59.78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1.2</v>
      </c>
      <c r="BJ21" s="3">
        <v>4.5</v>
      </c>
      <c r="BK21" s="3">
        <v>5</v>
      </c>
      <c r="BL21" s="3">
        <v>149.22999999999999</v>
      </c>
      <c r="BM21" s="3">
        <v>22.38</v>
      </c>
      <c r="BN21" s="3">
        <v>171.61</v>
      </c>
      <c r="BO21" s="3">
        <v>171.61</v>
      </c>
      <c r="BP21" s="3"/>
      <c r="BQ21" s="3" t="s">
        <v>186</v>
      </c>
      <c r="BR21" s="3" t="s">
        <v>96</v>
      </c>
      <c r="BS21" s="4">
        <v>44777</v>
      </c>
      <c r="BT21" s="5">
        <v>0.41666666666666669</v>
      </c>
      <c r="BU21" s="3" t="s">
        <v>187</v>
      </c>
      <c r="BV21" s="3" t="s">
        <v>99</v>
      </c>
      <c r="BW21" s="3"/>
      <c r="BX21" s="3"/>
      <c r="BY21" s="3">
        <v>22316.58</v>
      </c>
      <c r="BZ21" s="3" t="s">
        <v>105</v>
      </c>
      <c r="CA21" s="3"/>
      <c r="CB21" s="3"/>
      <c r="CC21" s="3" t="s">
        <v>184</v>
      </c>
      <c r="CD21" s="3">
        <v>5200</v>
      </c>
      <c r="CE21" s="3" t="s">
        <v>90</v>
      </c>
      <c r="CF21" s="4">
        <v>44777</v>
      </c>
      <c r="CG21" s="3"/>
      <c r="CH21" s="3"/>
      <c r="CI21" s="8">
        <v>2</v>
      </c>
      <c r="CJ21" s="8">
        <v>2</v>
      </c>
      <c r="CK21" s="8">
        <v>41</v>
      </c>
      <c r="CL21" s="3" t="s">
        <v>85</v>
      </c>
      <c r="CM21" s="3"/>
      <c r="CN21" s="3"/>
    </row>
    <row r="22" spans="1:92" x14ac:dyDescent="0.3">
      <c r="A22" s="3" t="s">
        <v>72</v>
      </c>
      <c r="B22" s="3" t="s">
        <v>73</v>
      </c>
      <c r="C22" s="3" t="s">
        <v>74</v>
      </c>
      <c r="D22" s="3"/>
      <c r="E22" s="11" t="str">
        <f>"009942558701"</f>
        <v>009942558701</v>
      </c>
      <c r="F22" s="4">
        <v>44775</v>
      </c>
      <c r="G22" s="3">
        <v>202305</v>
      </c>
      <c r="H22" s="3" t="s">
        <v>79</v>
      </c>
      <c r="I22" s="3" t="s">
        <v>80</v>
      </c>
      <c r="J22" s="3" t="s">
        <v>94</v>
      </c>
      <c r="K22" s="3" t="s">
        <v>78</v>
      </c>
      <c r="L22" s="3" t="s">
        <v>188</v>
      </c>
      <c r="M22" s="3" t="s">
        <v>188</v>
      </c>
      <c r="N22" s="3" t="s">
        <v>93</v>
      </c>
      <c r="O22" s="3" t="s">
        <v>109</v>
      </c>
      <c r="P22" s="3" t="str">
        <f>"INV184500                     "</f>
        <v xml:space="preserve">INV184500    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43.48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0.1</v>
      </c>
      <c r="BJ22" s="3">
        <v>2.1</v>
      </c>
      <c r="BK22" s="3">
        <v>3</v>
      </c>
      <c r="BL22" s="3">
        <v>104.72</v>
      </c>
      <c r="BM22" s="3">
        <v>15.71</v>
      </c>
      <c r="BN22" s="3">
        <v>120.43</v>
      </c>
      <c r="BO22" s="3">
        <v>120.43</v>
      </c>
      <c r="BP22" s="3"/>
      <c r="BQ22" s="3" t="s">
        <v>189</v>
      </c>
      <c r="BR22" s="3" t="s">
        <v>96</v>
      </c>
      <c r="BS22" s="4">
        <v>44776</v>
      </c>
      <c r="BT22" s="5">
        <v>0.69861111111111107</v>
      </c>
      <c r="BU22" s="3" t="s">
        <v>190</v>
      </c>
      <c r="BV22" s="3" t="s">
        <v>99</v>
      </c>
      <c r="BW22" s="3"/>
      <c r="BX22" s="3"/>
      <c r="BY22" s="3">
        <v>10260</v>
      </c>
      <c r="BZ22" s="3" t="s">
        <v>105</v>
      </c>
      <c r="CA22" s="3" t="s">
        <v>191</v>
      </c>
      <c r="CB22" s="3"/>
      <c r="CC22" s="3" t="s">
        <v>188</v>
      </c>
      <c r="CD22" s="3">
        <v>6835</v>
      </c>
      <c r="CE22" s="3" t="s">
        <v>90</v>
      </c>
      <c r="CF22" s="4">
        <v>44777</v>
      </c>
      <c r="CG22" s="3"/>
      <c r="CH22" s="3"/>
      <c r="CI22" s="8">
        <v>2</v>
      </c>
      <c r="CJ22" s="8">
        <v>1</v>
      </c>
      <c r="CK22" s="8">
        <v>34</v>
      </c>
      <c r="CL22" s="3" t="s">
        <v>85</v>
      </c>
      <c r="CM22" s="3"/>
      <c r="CN22" s="3"/>
    </row>
    <row r="23" spans="1:92" x14ac:dyDescent="0.3">
      <c r="A23" s="3" t="s">
        <v>72</v>
      </c>
      <c r="B23" s="3" t="s">
        <v>73</v>
      </c>
      <c r="C23" s="3" t="s">
        <v>74</v>
      </c>
      <c r="D23" s="3"/>
      <c r="E23" s="11" t="str">
        <f>"009942358018"</f>
        <v>009942358018</v>
      </c>
      <c r="F23" s="4">
        <v>44775</v>
      </c>
      <c r="G23" s="3">
        <v>202305</v>
      </c>
      <c r="H23" s="3" t="s">
        <v>79</v>
      </c>
      <c r="I23" s="3" t="s">
        <v>80</v>
      </c>
      <c r="J23" s="3" t="s">
        <v>192</v>
      </c>
      <c r="K23" s="3" t="s">
        <v>78</v>
      </c>
      <c r="L23" s="3" t="s">
        <v>193</v>
      </c>
      <c r="M23" s="3" t="s">
        <v>194</v>
      </c>
      <c r="N23" s="3" t="s">
        <v>195</v>
      </c>
      <c r="O23" s="3" t="s">
        <v>95</v>
      </c>
      <c r="P23" s="3" t="str">
        <f>"O NO:465-13378 465            "</f>
        <v xml:space="preserve">O NO:465-13378 465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15</v>
      </c>
      <c r="AB23" s="3">
        <v>0</v>
      </c>
      <c r="AC23" s="3">
        <v>0</v>
      </c>
      <c r="AD23" s="3">
        <v>0</v>
      </c>
      <c r="AE23" s="3">
        <v>5.25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84.31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1</v>
      </c>
      <c r="BI23" s="3">
        <v>9.4</v>
      </c>
      <c r="BJ23" s="3">
        <v>12.5</v>
      </c>
      <c r="BK23" s="3">
        <v>13</v>
      </c>
      <c r="BL23" s="3">
        <v>223.31</v>
      </c>
      <c r="BM23" s="3">
        <v>33.5</v>
      </c>
      <c r="BN23" s="3">
        <v>256.81</v>
      </c>
      <c r="BO23" s="3">
        <v>256.81</v>
      </c>
      <c r="BP23" s="3" t="s">
        <v>196</v>
      </c>
      <c r="BQ23" s="3" t="s">
        <v>103</v>
      </c>
      <c r="BR23" s="3" t="s">
        <v>197</v>
      </c>
      <c r="BS23" s="4">
        <v>44776</v>
      </c>
      <c r="BT23" s="5">
        <v>0.51597222222222217</v>
      </c>
      <c r="BU23" s="3" t="s">
        <v>198</v>
      </c>
      <c r="BV23" s="3" t="s">
        <v>99</v>
      </c>
      <c r="BW23" s="3"/>
      <c r="BX23" s="3"/>
      <c r="BY23" s="3">
        <v>62500</v>
      </c>
      <c r="BZ23" s="3" t="s">
        <v>199</v>
      </c>
      <c r="CA23" s="3"/>
      <c r="CB23" s="3"/>
      <c r="CC23" s="3" t="s">
        <v>194</v>
      </c>
      <c r="CD23" s="3">
        <v>6670</v>
      </c>
      <c r="CE23" s="3" t="s">
        <v>90</v>
      </c>
      <c r="CF23" s="4">
        <v>44777</v>
      </c>
      <c r="CG23" s="3"/>
      <c r="CH23" s="3"/>
      <c r="CI23" s="8">
        <v>2</v>
      </c>
      <c r="CJ23" s="8">
        <v>1</v>
      </c>
      <c r="CK23" s="8">
        <v>43</v>
      </c>
      <c r="CL23" s="3" t="s">
        <v>85</v>
      </c>
      <c r="CM23" s="3"/>
      <c r="CN23" s="3"/>
    </row>
    <row r="24" spans="1:92" x14ac:dyDescent="0.3">
      <c r="A24" s="3" t="s">
        <v>72</v>
      </c>
      <c r="B24" s="3" t="s">
        <v>73</v>
      </c>
      <c r="C24" s="3" t="s">
        <v>74</v>
      </c>
      <c r="D24" s="3"/>
      <c r="E24" s="11" t="str">
        <f>"009942358021"</f>
        <v>009942358021</v>
      </c>
      <c r="F24" s="4">
        <v>44775</v>
      </c>
      <c r="G24" s="3">
        <v>202305</v>
      </c>
      <c r="H24" s="3" t="s">
        <v>79</v>
      </c>
      <c r="I24" s="3" t="s">
        <v>80</v>
      </c>
      <c r="J24" s="3" t="s">
        <v>192</v>
      </c>
      <c r="K24" s="3" t="s">
        <v>78</v>
      </c>
      <c r="L24" s="3" t="s">
        <v>200</v>
      </c>
      <c r="M24" s="3" t="s">
        <v>201</v>
      </c>
      <c r="N24" s="3" t="s">
        <v>202</v>
      </c>
      <c r="O24" s="3" t="s">
        <v>95</v>
      </c>
      <c r="P24" s="3" t="str">
        <f>"O NO:1254744                  "</f>
        <v xml:space="preserve">O NO:1254744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15</v>
      </c>
      <c r="AB24" s="3">
        <v>0</v>
      </c>
      <c r="AC24" s="3">
        <v>0</v>
      </c>
      <c r="AD24" s="3">
        <v>0</v>
      </c>
      <c r="AE24" s="3">
        <v>5.25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299.8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5</v>
      </c>
      <c r="BI24" s="3">
        <v>46.6</v>
      </c>
      <c r="BJ24" s="3">
        <v>64.7</v>
      </c>
      <c r="BK24" s="3">
        <v>65</v>
      </c>
      <c r="BL24" s="3">
        <v>742.3</v>
      </c>
      <c r="BM24" s="3">
        <v>111.35</v>
      </c>
      <c r="BN24" s="3">
        <v>853.65</v>
      </c>
      <c r="BO24" s="3">
        <v>853.65</v>
      </c>
      <c r="BP24" s="3" t="s">
        <v>203</v>
      </c>
      <c r="BQ24" s="3" t="s">
        <v>103</v>
      </c>
      <c r="BR24" s="3" t="s">
        <v>197</v>
      </c>
      <c r="BS24" s="4">
        <v>44776</v>
      </c>
      <c r="BT24" s="5">
        <v>0.56319444444444444</v>
      </c>
      <c r="BU24" s="3" t="s">
        <v>204</v>
      </c>
      <c r="BV24" s="3" t="s">
        <v>99</v>
      </c>
      <c r="BW24" s="3"/>
      <c r="BX24" s="3"/>
      <c r="BY24" s="3">
        <v>136098.4</v>
      </c>
      <c r="BZ24" s="3" t="s">
        <v>199</v>
      </c>
      <c r="CA24" s="3"/>
      <c r="CB24" s="3"/>
      <c r="CC24" s="3" t="s">
        <v>201</v>
      </c>
      <c r="CD24" s="3">
        <v>6570</v>
      </c>
      <c r="CE24" s="3" t="s">
        <v>90</v>
      </c>
      <c r="CF24" s="4">
        <v>44777</v>
      </c>
      <c r="CG24" s="3"/>
      <c r="CH24" s="3"/>
      <c r="CI24" s="8">
        <v>1</v>
      </c>
      <c r="CJ24" s="8">
        <v>1</v>
      </c>
      <c r="CK24" s="8">
        <v>43</v>
      </c>
      <c r="CL24" s="3" t="s">
        <v>85</v>
      </c>
      <c r="CM24" s="3"/>
      <c r="CN24" s="3"/>
    </row>
    <row r="25" spans="1:92" x14ac:dyDescent="0.3">
      <c r="A25" s="3" t="s">
        <v>72</v>
      </c>
      <c r="B25" s="3" t="s">
        <v>73</v>
      </c>
      <c r="C25" s="3" t="s">
        <v>74</v>
      </c>
      <c r="D25" s="3"/>
      <c r="E25" s="11" t="str">
        <f>"009942358022"</f>
        <v>009942358022</v>
      </c>
      <c r="F25" s="4">
        <v>44775</v>
      </c>
      <c r="G25" s="3">
        <v>202305</v>
      </c>
      <c r="H25" s="3" t="s">
        <v>79</v>
      </c>
      <c r="I25" s="3" t="s">
        <v>80</v>
      </c>
      <c r="J25" s="3" t="s">
        <v>192</v>
      </c>
      <c r="K25" s="3" t="s">
        <v>78</v>
      </c>
      <c r="L25" s="3" t="s">
        <v>205</v>
      </c>
      <c r="M25" s="3" t="s">
        <v>206</v>
      </c>
      <c r="N25" s="3" t="s">
        <v>207</v>
      </c>
      <c r="O25" s="3" t="s">
        <v>95</v>
      </c>
      <c r="P25" s="3" t="str">
        <f>"O NO:CAP47020                 "</f>
        <v xml:space="preserve">O NO:CAP47020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15</v>
      </c>
      <c r="AB25" s="3">
        <v>0</v>
      </c>
      <c r="AC25" s="3">
        <v>0</v>
      </c>
      <c r="AD25" s="3">
        <v>0</v>
      </c>
      <c r="AE25" s="3">
        <v>5.25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196.36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3</v>
      </c>
      <c r="BI25" s="3">
        <v>40.4</v>
      </c>
      <c r="BJ25" s="3">
        <v>29.1</v>
      </c>
      <c r="BK25" s="3">
        <v>41</v>
      </c>
      <c r="BL25" s="3">
        <v>493.18</v>
      </c>
      <c r="BM25" s="3">
        <v>73.98</v>
      </c>
      <c r="BN25" s="3">
        <v>567.16</v>
      </c>
      <c r="BO25" s="3">
        <v>567.16</v>
      </c>
      <c r="BP25" s="3" t="s">
        <v>208</v>
      </c>
      <c r="BQ25" s="3" t="s">
        <v>103</v>
      </c>
      <c r="BR25" s="3" t="s">
        <v>197</v>
      </c>
      <c r="BS25" s="4">
        <v>44777</v>
      </c>
      <c r="BT25" s="5">
        <v>0.60763888888888895</v>
      </c>
      <c r="BU25" s="3" t="s">
        <v>209</v>
      </c>
      <c r="BV25" s="3" t="s">
        <v>99</v>
      </c>
      <c r="BW25" s="3"/>
      <c r="BX25" s="3"/>
      <c r="BY25" s="3">
        <v>145442</v>
      </c>
      <c r="BZ25" s="3" t="s">
        <v>199</v>
      </c>
      <c r="CA25" s="3"/>
      <c r="CB25" s="3"/>
      <c r="CC25" s="3" t="s">
        <v>206</v>
      </c>
      <c r="CD25" s="3">
        <v>6660</v>
      </c>
      <c r="CE25" s="3" t="s">
        <v>90</v>
      </c>
      <c r="CF25" s="4">
        <v>44778</v>
      </c>
      <c r="CG25" s="3"/>
      <c r="CH25" s="3"/>
      <c r="CI25" s="8">
        <v>5</v>
      </c>
      <c r="CJ25" s="8">
        <v>2</v>
      </c>
      <c r="CK25" s="8">
        <v>43</v>
      </c>
      <c r="CL25" s="3" t="s">
        <v>85</v>
      </c>
      <c r="CM25" s="3"/>
      <c r="CN25" s="3"/>
    </row>
    <row r="26" spans="1:92" x14ac:dyDescent="0.3">
      <c r="A26" s="3" t="s">
        <v>72</v>
      </c>
      <c r="B26" s="3" t="s">
        <v>73</v>
      </c>
      <c r="C26" s="3" t="s">
        <v>74</v>
      </c>
      <c r="D26" s="3"/>
      <c r="E26" s="11" t="str">
        <f>"009942358020"</f>
        <v>009942358020</v>
      </c>
      <c r="F26" s="4">
        <v>44775</v>
      </c>
      <c r="G26" s="3">
        <v>202305</v>
      </c>
      <c r="H26" s="3" t="s">
        <v>79</v>
      </c>
      <c r="I26" s="3" t="s">
        <v>80</v>
      </c>
      <c r="J26" s="3" t="s">
        <v>192</v>
      </c>
      <c r="K26" s="3" t="s">
        <v>78</v>
      </c>
      <c r="L26" s="3" t="s">
        <v>205</v>
      </c>
      <c r="M26" s="3" t="s">
        <v>206</v>
      </c>
      <c r="N26" s="3" t="s">
        <v>210</v>
      </c>
      <c r="O26" s="3" t="s">
        <v>95</v>
      </c>
      <c r="P26" s="3" t="str">
        <f>"O NO:CAP47021                 "</f>
        <v xml:space="preserve">O NO:CAP47021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15</v>
      </c>
      <c r="AB26" s="3">
        <v>0</v>
      </c>
      <c r="AC26" s="3">
        <v>0</v>
      </c>
      <c r="AD26" s="3">
        <v>0</v>
      </c>
      <c r="AE26" s="3">
        <v>5.25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84.31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1</v>
      </c>
      <c r="BI26" s="3">
        <v>9.4</v>
      </c>
      <c r="BJ26" s="3">
        <v>12.5</v>
      </c>
      <c r="BK26" s="3">
        <v>13</v>
      </c>
      <c r="BL26" s="3">
        <v>223.31</v>
      </c>
      <c r="BM26" s="3">
        <v>33.5</v>
      </c>
      <c r="BN26" s="3">
        <v>256.81</v>
      </c>
      <c r="BO26" s="3">
        <v>256.81</v>
      </c>
      <c r="BP26" s="3" t="s">
        <v>211</v>
      </c>
      <c r="BQ26" s="3" t="s">
        <v>103</v>
      </c>
      <c r="BR26" s="3" t="s">
        <v>197</v>
      </c>
      <c r="BS26" s="4">
        <v>44777</v>
      </c>
      <c r="BT26" s="5">
        <v>0.60763888888888895</v>
      </c>
      <c r="BU26" s="3" t="s">
        <v>209</v>
      </c>
      <c r="BV26" s="3" t="s">
        <v>99</v>
      </c>
      <c r="BW26" s="3"/>
      <c r="BX26" s="3"/>
      <c r="BY26" s="3">
        <v>62500</v>
      </c>
      <c r="BZ26" s="3" t="s">
        <v>199</v>
      </c>
      <c r="CA26" s="3"/>
      <c r="CB26" s="3"/>
      <c r="CC26" s="3" t="s">
        <v>206</v>
      </c>
      <c r="CD26" s="3">
        <v>6660</v>
      </c>
      <c r="CE26" s="3" t="s">
        <v>90</v>
      </c>
      <c r="CF26" s="4">
        <v>44778</v>
      </c>
      <c r="CG26" s="3"/>
      <c r="CH26" s="3"/>
      <c r="CI26" s="8">
        <v>5</v>
      </c>
      <c r="CJ26" s="8">
        <v>2</v>
      </c>
      <c r="CK26" s="8">
        <v>43</v>
      </c>
      <c r="CL26" s="3" t="s">
        <v>85</v>
      </c>
      <c r="CM26" s="3"/>
      <c r="CN26" s="3"/>
    </row>
    <row r="27" spans="1:92" x14ac:dyDescent="0.3">
      <c r="A27" s="3" t="s">
        <v>72</v>
      </c>
      <c r="B27" s="3" t="s">
        <v>73</v>
      </c>
      <c r="C27" s="3" t="s">
        <v>74</v>
      </c>
      <c r="D27" s="3"/>
      <c r="E27" s="11" t="str">
        <f>"009942358023"</f>
        <v>009942358023</v>
      </c>
      <c r="F27" s="4">
        <v>44775</v>
      </c>
      <c r="G27" s="3">
        <v>202305</v>
      </c>
      <c r="H27" s="3" t="s">
        <v>79</v>
      </c>
      <c r="I27" s="3" t="s">
        <v>80</v>
      </c>
      <c r="J27" s="3" t="s">
        <v>192</v>
      </c>
      <c r="K27" s="3" t="s">
        <v>78</v>
      </c>
      <c r="L27" s="3" t="s">
        <v>212</v>
      </c>
      <c r="M27" s="3" t="s">
        <v>213</v>
      </c>
      <c r="N27" s="3" t="s">
        <v>214</v>
      </c>
      <c r="O27" s="3" t="s">
        <v>95</v>
      </c>
      <c r="P27" s="3" t="str">
        <f>"O NO:PO010234                 "</f>
        <v xml:space="preserve">O NO:PO010234          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15</v>
      </c>
      <c r="AB27" s="3">
        <v>0</v>
      </c>
      <c r="AC27" s="3">
        <v>0</v>
      </c>
      <c r="AD27" s="3">
        <v>0</v>
      </c>
      <c r="AE27" s="3">
        <v>5.25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78.05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17.399999999999999</v>
      </c>
      <c r="BJ27" s="3">
        <v>21.2</v>
      </c>
      <c r="BK27" s="3">
        <v>22</v>
      </c>
      <c r="BL27" s="3">
        <v>208.23</v>
      </c>
      <c r="BM27" s="3">
        <v>31.23</v>
      </c>
      <c r="BN27" s="3">
        <v>239.46</v>
      </c>
      <c r="BO27" s="3">
        <v>239.46</v>
      </c>
      <c r="BP27" s="3" t="s">
        <v>215</v>
      </c>
      <c r="BQ27" s="3" t="s">
        <v>216</v>
      </c>
      <c r="BR27" s="3" t="s">
        <v>197</v>
      </c>
      <c r="BS27" s="4">
        <v>44776</v>
      </c>
      <c r="BT27" s="5">
        <v>0.56944444444444442</v>
      </c>
      <c r="BU27" s="3" t="s">
        <v>217</v>
      </c>
      <c r="BV27" s="3" t="s">
        <v>99</v>
      </c>
      <c r="BW27" s="3"/>
      <c r="BX27" s="3"/>
      <c r="BY27" s="3">
        <v>105800</v>
      </c>
      <c r="BZ27" s="3" t="s">
        <v>199</v>
      </c>
      <c r="CA27" s="3" t="s">
        <v>218</v>
      </c>
      <c r="CB27" s="3"/>
      <c r="CC27" s="3" t="s">
        <v>213</v>
      </c>
      <c r="CD27" s="3">
        <v>7200</v>
      </c>
      <c r="CE27" s="3" t="s">
        <v>90</v>
      </c>
      <c r="CF27" s="4">
        <v>44777</v>
      </c>
      <c r="CG27" s="3"/>
      <c r="CH27" s="3"/>
      <c r="CI27" s="8">
        <v>2</v>
      </c>
      <c r="CJ27" s="8">
        <v>1</v>
      </c>
      <c r="CK27" s="8">
        <v>44</v>
      </c>
      <c r="CL27" s="3" t="s">
        <v>85</v>
      </c>
      <c r="CM27" s="3"/>
      <c r="CN27" s="3"/>
    </row>
    <row r="28" spans="1:92" x14ac:dyDescent="0.3">
      <c r="A28" s="3" t="s">
        <v>72</v>
      </c>
      <c r="B28" s="3" t="s">
        <v>73</v>
      </c>
      <c r="C28" s="3" t="s">
        <v>74</v>
      </c>
      <c r="D28" s="3"/>
      <c r="E28" s="11" t="str">
        <f>"009942558697"</f>
        <v>009942558697</v>
      </c>
      <c r="F28" s="4">
        <v>44775</v>
      </c>
      <c r="G28" s="3">
        <v>202305</v>
      </c>
      <c r="H28" s="3" t="s">
        <v>79</v>
      </c>
      <c r="I28" s="3" t="s">
        <v>80</v>
      </c>
      <c r="J28" s="3" t="s">
        <v>94</v>
      </c>
      <c r="K28" s="3" t="s">
        <v>78</v>
      </c>
      <c r="L28" s="3" t="s">
        <v>175</v>
      </c>
      <c r="M28" s="3" t="s">
        <v>176</v>
      </c>
      <c r="N28" s="3" t="s">
        <v>93</v>
      </c>
      <c r="O28" s="3" t="s">
        <v>95</v>
      </c>
      <c r="P28" s="3" t="str">
        <f>"INV184463                     "</f>
        <v xml:space="preserve">INV184463   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5.25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158.33000000000001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3</v>
      </c>
      <c r="BI28" s="3">
        <v>12.4</v>
      </c>
      <c r="BJ28" s="3">
        <v>54.9</v>
      </c>
      <c r="BK28" s="3">
        <v>55</v>
      </c>
      <c r="BL28" s="3">
        <v>386.58</v>
      </c>
      <c r="BM28" s="3">
        <v>57.99</v>
      </c>
      <c r="BN28" s="3">
        <v>444.57</v>
      </c>
      <c r="BO28" s="3">
        <v>444.57</v>
      </c>
      <c r="BP28" s="3"/>
      <c r="BQ28" s="3" t="s">
        <v>177</v>
      </c>
      <c r="BR28" s="3" t="s">
        <v>96</v>
      </c>
      <c r="BS28" s="4">
        <v>44777</v>
      </c>
      <c r="BT28" s="5">
        <v>0.55347222222222225</v>
      </c>
      <c r="BU28" s="3" t="s">
        <v>178</v>
      </c>
      <c r="BV28" s="3" t="s">
        <v>99</v>
      </c>
      <c r="BW28" s="3"/>
      <c r="BX28" s="3"/>
      <c r="BY28" s="3">
        <v>274495.21999999997</v>
      </c>
      <c r="BZ28" s="3" t="s">
        <v>24</v>
      </c>
      <c r="CA28" s="3" t="s">
        <v>219</v>
      </c>
      <c r="CB28" s="3"/>
      <c r="CC28" s="3" t="s">
        <v>176</v>
      </c>
      <c r="CD28" s="3">
        <v>5256</v>
      </c>
      <c r="CE28" s="3"/>
      <c r="CF28" s="4">
        <v>44777</v>
      </c>
      <c r="CG28" s="3"/>
      <c r="CH28" s="3"/>
      <c r="CI28" s="8">
        <v>2</v>
      </c>
      <c r="CJ28" s="8">
        <v>2</v>
      </c>
      <c r="CK28" s="8">
        <v>41</v>
      </c>
      <c r="CL28" s="3" t="s">
        <v>85</v>
      </c>
      <c r="CM28" s="3"/>
      <c r="CN28" s="3"/>
    </row>
    <row r="29" spans="1:92" x14ac:dyDescent="0.3">
      <c r="A29" s="3" t="s">
        <v>72</v>
      </c>
      <c r="B29" s="3" t="s">
        <v>73</v>
      </c>
      <c r="C29" s="3" t="s">
        <v>74</v>
      </c>
      <c r="D29" s="3"/>
      <c r="E29" s="11" t="str">
        <f>"009941716750"</f>
        <v>009941716750</v>
      </c>
      <c r="F29" s="4">
        <v>44776</v>
      </c>
      <c r="G29" s="3">
        <v>202305</v>
      </c>
      <c r="H29" s="3" t="s">
        <v>125</v>
      </c>
      <c r="I29" s="3" t="s">
        <v>126</v>
      </c>
      <c r="J29" s="3" t="s">
        <v>220</v>
      </c>
      <c r="K29" s="3" t="s">
        <v>78</v>
      </c>
      <c r="L29" s="3" t="s">
        <v>79</v>
      </c>
      <c r="M29" s="3" t="s">
        <v>80</v>
      </c>
      <c r="N29" s="3" t="s">
        <v>221</v>
      </c>
      <c r="O29" s="3" t="s">
        <v>82</v>
      </c>
      <c r="P29" s="3" t="str">
        <f>"NA                            "</f>
        <v xml:space="preserve">NA           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31.13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1</v>
      </c>
      <c r="BJ29" s="3">
        <v>0.2</v>
      </c>
      <c r="BK29" s="3">
        <v>1</v>
      </c>
      <c r="BL29" s="3">
        <v>74.67</v>
      </c>
      <c r="BM29" s="3">
        <v>11.2</v>
      </c>
      <c r="BN29" s="3">
        <v>85.87</v>
      </c>
      <c r="BO29" s="3">
        <v>85.87</v>
      </c>
      <c r="BP29" s="3"/>
      <c r="BQ29" s="3" t="s">
        <v>222</v>
      </c>
      <c r="BR29" s="3" t="s">
        <v>223</v>
      </c>
      <c r="BS29" s="4">
        <v>44777</v>
      </c>
      <c r="BT29" s="5">
        <v>0.70763888888888893</v>
      </c>
      <c r="BU29" s="3" t="s">
        <v>224</v>
      </c>
      <c r="BV29" s="3" t="s">
        <v>85</v>
      </c>
      <c r="BW29" s="3" t="s">
        <v>225</v>
      </c>
      <c r="BX29" s="3" t="s">
        <v>226</v>
      </c>
      <c r="BY29" s="3">
        <v>1200</v>
      </c>
      <c r="BZ29" s="3" t="s">
        <v>24</v>
      </c>
      <c r="CA29" s="3" t="s">
        <v>227</v>
      </c>
      <c r="CB29" s="3"/>
      <c r="CC29" s="3" t="s">
        <v>80</v>
      </c>
      <c r="CD29" s="3">
        <v>8000</v>
      </c>
      <c r="CE29" s="3" t="s">
        <v>90</v>
      </c>
      <c r="CF29" s="4">
        <v>44778</v>
      </c>
      <c r="CG29" s="3"/>
      <c r="CH29" s="3"/>
      <c r="CI29" s="8">
        <v>1</v>
      </c>
      <c r="CJ29" s="8">
        <v>1</v>
      </c>
      <c r="CK29" s="8">
        <v>21</v>
      </c>
      <c r="CL29" s="3" t="s">
        <v>85</v>
      </c>
      <c r="CM29" s="3"/>
      <c r="CN29" s="3"/>
    </row>
    <row r="30" spans="1:92" x14ac:dyDescent="0.3">
      <c r="A30" s="3" t="s">
        <v>72</v>
      </c>
      <c r="B30" s="3" t="s">
        <v>73</v>
      </c>
      <c r="C30" s="3" t="s">
        <v>74</v>
      </c>
      <c r="D30" s="3"/>
      <c r="E30" s="11" t="str">
        <f>"009942558710"</f>
        <v>009942558710</v>
      </c>
      <c r="F30" s="4">
        <v>44776</v>
      </c>
      <c r="G30" s="3">
        <v>202305</v>
      </c>
      <c r="H30" s="3" t="s">
        <v>79</v>
      </c>
      <c r="I30" s="3" t="s">
        <v>80</v>
      </c>
      <c r="J30" s="3" t="s">
        <v>94</v>
      </c>
      <c r="K30" s="3" t="s">
        <v>78</v>
      </c>
      <c r="L30" s="3" t="s">
        <v>228</v>
      </c>
      <c r="M30" s="3" t="s">
        <v>229</v>
      </c>
      <c r="N30" s="3" t="s">
        <v>93</v>
      </c>
      <c r="O30" s="3" t="s">
        <v>109</v>
      </c>
      <c r="P30" s="3" t="str">
        <f>"INV184553                     "</f>
        <v xml:space="preserve">INV184553   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58.37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0.4</v>
      </c>
      <c r="BJ30" s="3">
        <v>2.6</v>
      </c>
      <c r="BK30" s="3">
        <v>3</v>
      </c>
      <c r="BL30" s="3">
        <v>140.01</v>
      </c>
      <c r="BM30" s="3">
        <v>21</v>
      </c>
      <c r="BN30" s="3">
        <v>161.01</v>
      </c>
      <c r="BO30" s="3">
        <v>161.01</v>
      </c>
      <c r="BP30" s="3"/>
      <c r="BQ30" s="3" t="s">
        <v>230</v>
      </c>
      <c r="BR30" s="3" t="s">
        <v>96</v>
      </c>
      <c r="BS30" s="4">
        <v>44777</v>
      </c>
      <c r="BT30" s="5">
        <v>0.43124999999999997</v>
      </c>
      <c r="BU30" s="3" t="s">
        <v>231</v>
      </c>
      <c r="BV30" s="3" t="s">
        <v>99</v>
      </c>
      <c r="BW30" s="3"/>
      <c r="BX30" s="3"/>
      <c r="BY30" s="3">
        <v>13140.4</v>
      </c>
      <c r="BZ30" s="3" t="s">
        <v>105</v>
      </c>
      <c r="CA30" s="3" t="s">
        <v>232</v>
      </c>
      <c r="CB30" s="3"/>
      <c r="CC30" s="3" t="s">
        <v>229</v>
      </c>
      <c r="CD30" s="3">
        <v>2194</v>
      </c>
      <c r="CE30" s="3" t="s">
        <v>90</v>
      </c>
      <c r="CF30" s="4">
        <v>44778</v>
      </c>
      <c r="CG30" s="3"/>
      <c r="CH30" s="3"/>
      <c r="CI30" s="8">
        <v>1</v>
      </c>
      <c r="CJ30" s="8">
        <v>1</v>
      </c>
      <c r="CK30" s="8">
        <v>31</v>
      </c>
      <c r="CL30" s="3" t="s">
        <v>85</v>
      </c>
      <c r="CM30" s="3"/>
      <c r="CN30" s="3"/>
    </row>
    <row r="31" spans="1:92" x14ac:dyDescent="0.3">
      <c r="A31" s="3" t="s">
        <v>72</v>
      </c>
      <c r="B31" s="3" t="s">
        <v>73</v>
      </c>
      <c r="C31" s="3" t="s">
        <v>74</v>
      </c>
      <c r="D31" s="3"/>
      <c r="E31" s="11" t="str">
        <f>"009942558714"</f>
        <v>009942558714</v>
      </c>
      <c r="F31" s="4">
        <v>44776</v>
      </c>
      <c r="G31" s="3">
        <v>202305</v>
      </c>
      <c r="H31" s="3" t="s">
        <v>79</v>
      </c>
      <c r="I31" s="3" t="s">
        <v>80</v>
      </c>
      <c r="J31" s="3" t="s">
        <v>94</v>
      </c>
      <c r="K31" s="3" t="s">
        <v>78</v>
      </c>
      <c r="L31" s="3" t="s">
        <v>125</v>
      </c>
      <c r="M31" s="3" t="s">
        <v>126</v>
      </c>
      <c r="N31" s="3" t="s">
        <v>233</v>
      </c>
      <c r="O31" s="3" t="s">
        <v>109</v>
      </c>
      <c r="P31" s="3" t="str">
        <f>"INV184572                     "</f>
        <v xml:space="preserve">INV184572        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58.37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0.4</v>
      </c>
      <c r="BJ31" s="3">
        <v>2.1</v>
      </c>
      <c r="BK31" s="3">
        <v>3</v>
      </c>
      <c r="BL31" s="3">
        <v>140.01</v>
      </c>
      <c r="BM31" s="3">
        <v>21</v>
      </c>
      <c r="BN31" s="3">
        <v>161.01</v>
      </c>
      <c r="BO31" s="3">
        <v>161.01</v>
      </c>
      <c r="BP31" s="3"/>
      <c r="BQ31" s="3" t="s">
        <v>234</v>
      </c>
      <c r="BR31" s="3" t="s">
        <v>96</v>
      </c>
      <c r="BS31" s="4">
        <v>44777</v>
      </c>
      <c r="BT31" s="5">
        <v>0.56319444444444444</v>
      </c>
      <c r="BU31" s="3" t="s">
        <v>235</v>
      </c>
      <c r="BV31" s="3" t="s">
        <v>85</v>
      </c>
      <c r="BW31" s="3" t="s">
        <v>236</v>
      </c>
      <c r="BX31" s="3" t="s">
        <v>237</v>
      </c>
      <c r="BY31" s="3">
        <v>10598.94</v>
      </c>
      <c r="BZ31" s="3" t="s">
        <v>105</v>
      </c>
      <c r="CA31" s="3" t="s">
        <v>238</v>
      </c>
      <c r="CB31" s="3"/>
      <c r="CC31" s="3" t="s">
        <v>126</v>
      </c>
      <c r="CD31" s="3">
        <v>2196</v>
      </c>
      <c r="CE31" s="3" t="s">
        <v>90</v>
      </c>
      <c r="CF31" s="4">
        <v>44778</v>
      </c>
      <c r="CG31" s="3"/>
      <c r="CH31" s="3"/>
      <c r="CI31" s="8">
        <v>1</v>
      </c>
      <c r="CJ31" s="8">
        <v>1</v>
      </c>
      <c r="CK31" s="8">
        <v>31</v>
      </c>
      <c r="CL31" s="3" t="s">
        <v>85</v>
      </c>
      <c r="CM31" s="3"/>
      <c r="CN31" s="3"/>
    </row>
    <row r="32" spans="1:92" x14ac:dyDescent="0.3">
      <c r="A32" s="3" t="s">
        <v>72</v>
      </c>
      <c r="B32" s="3" t="s">
        <v>73</v>
      </c>
      <c r="C32" s="3" t="s">
        <v>74</v>
      </c>
      <c r="D32" s="3"/>
      <c r="E32" s="11" t="str">
        <f>"009942558711"</f>
        <v>009942558711</v>
      </c>
      <c r="F32" s="4">
        <v>44776</v>
      </c>
      <c r="G32" s="3">
        <v>202305</v>
      </c>
      <c r="H32" s="3" t="s">
        <v>79</v>
      </c>
      <c r="I32" s="3" t="s">
        <v>80</v>
      </c>
      <c r="J32" s="3" t="s">
        <v>94</v>
      </c>
      <c r="K32" s="3" t="s">
        <v>78</v>
      </c>
      <c r="L32" s="3" t="s">
        <v>79</v>
      </c>
      <c r="M32" s="3" t="s">
        <v>80</v>
      </c>
      <c r="N32" s="3" t="s">
        <v>93</v>
      </c>
      <c r="O32" s="3" t="s">
        <v>109</v>
      </c>
      <c r="P32" s="3" t="str">
        <f>"INV184555                     "</f>
        <v xml:space="preserve">INV184555       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27.06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1.2</v>
      </c>
      <c r="BJ32" s="3">
        <v>8.6999999999999993</v>
      </c>
      <c r="BK32" s="3">
        <v>9</v>
      </c>
      <c r="BL32" s="3">
        <v>64.900000000000006</v>
      </c>
      <c r="BM32" s="3">
        <v>9.74</v>
      </c>
      <c r="BN32" s="3">
        <v>74.64</v>
      </c>
      <c r="BO32" s="3">
        <v>74.64</v>
      </c>
      <c r="BP32" s="3"/>
      <c r="BQ32" s="3" t="s">
        <v>239</v>
      </c>
      <c r="BR32" s="3" t="s">
        <v>96</v>
      </c>
      <c r="BS32" s="4">
        <v>44777</v>
      </c>
      <c r="BT32" s="5">
        <v>0.44166666666666665</v>
      </c>
      <c r="BU32" s="3" t="s">
        <v>240</v>
      </c>
      <c r="BV32" s="3" t="s">
        <v>99</v>
      </c>
      <c r="BW32" s="3"/>
      <c r="BX32" s="3"/>
      <c r="BY32" s="3">
        <v>43415.19</v>
      </c>
      <c r="BZ32" s="3" t="s">
        <v>105</v>
      </c>
      <c r="CA32" s="3" t="s">
        <v>241</v>
      </c>
      <c r="CB32" s="3"/>
      <c r="CC32" s="3" t="s">
        <v>80</v>
      </c>
      <c r="CD32" s="3">
        <v>7441</v>
      </c>
      <c r="CE32" s="3" t="s">
        <v>90</v>
      </c>
      <c r="CF32" s="4">
        <v>44778</v>
      </c>
      <c r="CG32" s="3"/>
      <c r="CH32" s="3"/>
      <c r="CI32" s="8">
        <v>1</v>
      </c>
      <c r="CJ32" s="8">
        <v>1</v>
      </c>
      <c r="CK32" s="8">
        <v>32</v>
      </c>
      <c r="CL32" s="3" t="s">
        <v>85</v>
      </c>
      <c r="CM32" s="3"/>
      <c r="CN32" s="3"/>
    </row>
    <row r="33" spans="1:92" x14ac:dyDescent="0.3">
      <c r="A33" s="3" t="s">
        <v>72</v>
      </c>
      <c r="B33" s="3" t="s">
        <v>73</v>
      </c>
      <c r="C33" s="3" t="s">
        <v>74</v>
      </c>
      <c r="D33" s="3"/>
      <c r="E33" s="11" t="str">
        <f>"009942558713"</f>
        <v>009942558713</v>
      </c>
      <c r="F33" s="4">
        <v>44776</v>
      </c>
      <c r="G33" s="3">
        <v>202305</v>
      </c>
      <c r="H33" s="3" t="s">
        <v>79</v>
      </c>
      <c r="I33" s="3" t="s">
        <v>80</v>
      </c>
      <c r="J33" s="3" t="s">
        <v>94</v>
      </c>
      <c r="K33" s="3" t="s">
        <v>78</v>
      </c>
      <c r="L33" s="3" t="s">
        <v>242</v>
      </c>
      <c r="M33" s="3" t="s">
        <v>243</v>
      </c>
      <c r="N33" s="3" t="s">
        <v>244</v>
      </c>
      <c r="O33" s="3" t="s">
        <v>109</v>
      </c>
      <c r="P33" s="3" t="str">
        <f>"INV184562                     "</f>
        <v xml:space="preserve">INV184562       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122.64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1.3</v>
      </c>
      <c r="BJ33" s="3">
        <v>9.3000000000000007</v>
      </c>
      <c r="BK33" s="3">
        <v>10</v>
      </c>
      <c r="BL33" s="3">
        <v>294.16000000000003</v>
      </c>
      <c r="BM33" s="3">
        <v>44.12</v>
      </c>
      <c r="BN33" s="3">
        <v>338.28</v>
      </c>
      <c r="BO33" s="3">
        <v>338.28</v>
      </c>
      <c r="BP33" s="3"/>
      <c r="BQ33" s="3" t="s">
        <v>245</v>
      </c>
      <c r="BR33" s="3" t="s">
        <v>96</v>
      </c>
      <c r="BS33" s="4">
        <v>44777</v>
      </c>
      <c r="BT33" s="5">
        <v>0.71180555555555547</v>
      </c>
      <c r="BU33" s="3" t="s">
        <v>246</v>
      </c>
      <c r="BV33" s="3" t="s">
        <v>99</v>
      </c>
      <c r="BW33" s="3"/>
      <c r="BX33" s="3"/>
      <c r="BY33" s="3">
        <v>46278.2</v>
      </c>
      <c r="BZ33" s="3" t="s">
        <v>105</v>
      </c>
      <c r="CA33" s="3" t="s">
        <v>247</v>
      </c>
      <c r="CB33" s="3"/>
      <c r="CC33" s="3" t="s">
        <v>243</v>
      </c>
      <c r="CD33" s="3">
        <v>6848</v>
      </c>
      <c r="CE33" s="3" t="s">
        <v>90</v>
      </c>
      <c r="CF33" s="4">
        <v>44778</v>
      </c>
      <c r="CG33" s="3"/>
      <c r="CH33" s="3"/>
      <c r="CI33" s="8">
        <v>2</v>
      </c>
      <c r="CJ33" s="8">
        <v>1</v>
      </c>
      <c r="CK33" s="8">
        <v>34</v>
      </c>
      <c r="CL33" s="3" t="s">
        <v>85</v>
      </c>
      <c r="CM33" s="3"/>
      <c r="CN33" s="3"/>
    </row>
    <row r="34" spans="1:92" x14ac:dyDescent="0.3">
      <c r="A34" s="3" t="s">
        <v>72</v>
      </c>
      <c r="B34" s="3" t="s">
        <v>73</v>
      </c>
      <c r="C34" s="3" t="s">
        <v>74</v>
      </c>
      <c r="D34" s="3"/>
      <c r="E34" s="11" t="str">
        <f>"009942558709"</f>
        <v>009942558709</v>
      </c>
      <c r="F34" s="4">
        <v>44776</v>
      </c>
      <c r="G34" s="3">
        <v>202305</v>
      </c>
      <c r="H34" s="3" t="s">
        <v>79</v>
      </c>
      <c r="I34" s="3" t="s">
        <v>80</v>
      </c>
      <c r="J34" s="3" t="s">
        <v>94</v>
      </c>
      <c r="K34" s="3" t="s">
        <v>78</v>
      </c>
      <c r="L34" s="3" t="s">
        <v>125</v>
      </c>
      <c r="M34" s="3" t="s">
        <v>126</v>
      </c>
      <c r="N34" s="3" t="s">
        <v>93</v>
      </c>
      <c r="O34" s="3" t="s">
        <v>109</v>
      </c>
      <c r="P34" s="3" t="str">
        <f>"INV184537                     "</f>
        <v xml:space="preserve">INV184537 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58.37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1</v>
      </c>
      <c r="BJ34" s="3">
        <v>0.7</v>
      </c>
      <c r="BK34" s="3">
        <v>1</v>
      </c>
      <c r="BL34" s="3">
        <v>140.01</v>
      </c>
      <c r="BM34" s="3">
        <v>21</v>
      </c>
      <c r="BN34" s="3">
        <v>161.01</v>
      </c>
      <c r="BO34" s="3">
        <v>161.01</v>
      </c>
      <c r="BP34" s="3"/>
      <c r="BQ34" s="3" t="s">
        <v>248</v>
      </c>
      <c r="BR34" s="3" t="s">
        <v>96</v>
      </c>
      <c r="BS34" s="4">
        <v>44777</v>
      </c>
      <c r="BT34" s="5">
        <v>0.5229166666666667</v>
      </c>
      <c r="BU34" s="3" t="s">
        <v>249</v>
      </c>
      <c r="BV34" s="3" t="s">
        <v>99</v>
      </c>
      <c r="BW34" s="3"/>
      <c r="BX34" s="3"/>
      <c r="BY34" s="3">
        <v>3600</v>
      </c>
      <c r="BZ34" s="3" t="s">
        <v>105</v>
      </c>
      <c r="CA34" s="3" t="s">
        <v>250</v>
      </c>
      <c r="CB34" s="3"/>
      <c r="CC34" s="3" t="s">
        <v>126</v>
      </c>
      <c r="CD34" s="3">
        <v>2195</v>
      </c>
      <c r="CE34" s="3" t="s">
        <v>90</v>
      </c>
      <c r="CF34" s="4">
        <v>44778</v>
      </c>
      <c r="CG34" s="3"/>
      <c r="CH34" s="3"/>
      <c r="CI34" s="8">
        <v>1</v>
      </c>
      <c r="CJ34" s="8">
        <v>1</v>
      </c>
      <c r="CK34" s="8">
        <v>31</v>
      </c>
      <c r="CL34" s="3" t="s">
        <v>85</v>
      </c>
      <c r="CM34" s="3"/>
      <c r="CN34" s="3"/>
    </row>
    <row r="35" spans="1:92" x14ac:dyDescent="0.3">
      <c r="A35" s="3" t="s">
        <v>72</v>
      </c>
      <c r="B35" s="3" t="s">
        <v>73</v>
      </c>
      <c r="C35" s="3" t="s">
        <v>74</v>
      </c>
      <c r="D35" s="3"/>
      <c r="E35" s="11" t="str">
        <f>"009942558712"</f>
        <v>009942558712</v>
      </c>
      <c r="F35" s="4">
        <v>44776</v>
      </c>
      <c r="G35" s="3">
        <v>202305</v>
      </c>
      <c r="H35" s="3" t="s">
        <v>79</v>
      </c>
      <c r="I35" s="3" t="s">
        <v>80</v>
      </c>
      <c r="J35" s="3" t="s">
        <v>94</v>
      </c>
      <c r="K35" s="3" t="s">
        <v>78</v>
      </c>
      <c r="L35" s="3" t="s">
        <v>251</v>
      </c>
      <c r="M35" s="3" t="s">
        <v>252</v>
      </c>
      <c r="N35" s="3" t="s">
        <v>253</v>
      </c>
      <c r="O35" s="3" t="s">
        <v>95</v>
      </c>
      <c r="P35" s="3" t="str">
        <f>"INV184558                     "</f>
        <v xml:space="preserve">INV184558                    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5.25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84.91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1.2</v>
      </c>
      <c r="BJ35" s="3">
        <v>8.6999999999999993</v>
      </c>
      <c r="BK35" s="3">
        <v>9</v>
      </c>
      <c r="BL35" s="3">
        <v>208.91</v>
      </c>
      <c r="BM35" s="3">
        <v>31.34</v>
      </c>
      <c r="BN35" s="3">
        <v>240.25</v>
      </c>
      <c r="BO35" s="3">
        <v>240.25</v>
      </c>
      <c r="BP35" s="3"/>
      <c r="BQ35" s="3" t="s">
        <v>254</v>
      </c>
      <c r="BR35" s="3" t="s">
        <v>96</v>
      </c>
      <c r="BS35" s="4">
        <v>44778</v>
      </c>
      <c r="BT35" s="5">
        <v>0.43263888888888885</v>
      </c>
      <c r="BU35" s="3" t="s">
        <v>255</v>
      </c>
      <c r="BV35" s="3" t="s">
        <v>99</v>
      </c>
      <c r="BW35" s="3"/>
      <c r="BX35" s="3"/>
      <c r="BY35" s="3">
        <v>43709.69</v>
      </c>
      <c r="BZ35" s="3" t="s">
        <v>105</v>
      </c>
      <c r="CA35" s="3" t="s">
        <v>256</v>
      </c>
      <c r="CB35" s="3"/>
      <c r="CC35" s="3" t="s">
        <v>252</v>
      </c>
      <c r="CD35" s="3">
        <v>2571</v>
      </c>
      <c r="CE35" s="3" t="s">
        <v>90</v>
      </c>
      <c r="CF35" s="4">
        <v>44783</v>
      </c>
      <c r="CG35" s="3"/>
      <c r="CH35" s="3"/>
      <c r="CI35" s="8">
        <v>3</v>
      </c>
      <c r="CJ35" s="8">
        <v>2</v>
      </c>
      <c r="CK35" s="8">
        <v>43</v>
      </c>
      <c r="CL35" s="3" t="s">
        <v>85</v>
      </c>
      <c r="CM35" s="3"/>
      <c r="CN35" s="3"/>
    </row>
    <row r="36" spans="1:92" x14ac:dyDescent="0.3">
      <c r="A36" s="3" t="s">
        <v>72</v>
      </c>
      <c r="B36" s="3" t="s">
        <v>73</v>
      </c>
      <c r="C36" s="3" t="s">
        <v>74</v>
      </c>
      <c r="D36" s="3"/>
      <c r="E36" s="11" t="str">
        <f>"009942558719"</f>
        <v>009942558719</v>
      </c>
      <c r="F36" s="4">
        <v>44777</v>
      </c>
      <c r="G36" s="3">
        <v>202305</v>
      </c>
      <c r="H36" s="3" t="s">
        <v>79</v>
      </c>
      <c r="I36" s="3" t="s">
        <v>80</v>
      </c>
      <c r="J36" s="3" t="s">
        <v>94</v>
      </c>
      <c r="K36" s="3" t="s">
        <v>78</v>
      </c>
      <c r="L36" s="3" t="s">
        <v>125</v>
      </c>
      <c r="M36" s="3" t="s">
        <v>126</v>
      </c>
      <c r="N36" s="3" t="s">
        <v>257</v>
      </c>
      <c r="O36" s="3" t="s">
        <v>109</v>
      </c>
      <c r="P36" s="3" t="str">
        <f>"8969                          "</f>
        <v xml:space="preserve">8969             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72.97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1.7</v>
      </c>
      <c r="BJ36" s="3">
        <v>4.5</v>
      </c>
      <c r="BK36" s="3">
        <v>5</v>
      </c>
      <c r="BL36" s="3">
        <v>175.02</v>
      </c>
      <c r="BM36" s="3">
        <v>26.25</v>
      </c>
      <c r="BN36" s="3">
        <v>201.27</v>
      </c>
      <c r="BO36" s="3">
        <v>201.27</v>
      </c>
      <c r="BP36" s="3"/>
      <c r="BQ36" s="3" t="s">
        <v>258</v>
      </c>
      <c r="BR36" s="3" t="s">
        <v>96</v>
      </c>
      <c r="BS36" s="4">
        <v>44778</v>
      </c>
      <c r="BT36" s="5">
        <v>0.41319444444444442</v>
      </c>
      <c r="BU36" s="3" t="s">
        <v>259</v>
      </c>
      <c r="BV36" s="3" t="s">
        <v>99</v>
      </c>
      <c r="BW36" s="3"/>
      <c r="BX36" s="3"/>
      <c r="BY36" s="3">
        <v>22295.93</v>
      </c>
      <c r="BZ36" s="3" t="s">
        <v>105</v>
      </c>
      <c r="CA36" s="3" t="s">
        <v>260</v>
      </c>
      <c r="CB36" s="3"/>
      <c r="CC36" s="3" t="s">
        <v>126</v>
      </c>
      <c r="CD36" s="3">
        <v>2008</v>
      </c>
      <c r="CE36" s="3" t="s">
        <v>90</v>
      </c>
      <c r="CF36" s="4">
        <v>44779</v>
      </c>
      <c r="CG36" s="3"/>
      <c r="CH36" s="3"/>
      <c r="CI36" s="8">
        <v>1</v>
      </c>
      <c r="CJ36" s="8">
        <v>1</v>
      </c>
      <c r="CK36" s="8">
        <v>31</v>
      </c>
      <c r="CL36" s="3" t="s">
        <v>85</v>
      </c>
      <c r="CM36" s="3"/>
      <c r="CN36" s="3"/>
    </row>
    <row r="37" spans="1:92" x14ac:dyDescent="0.3">
      <c r="A37" s="3" t="s">
        <v>72</v>
      </c>
      <c r="B37" s="3" t="s">
        <v>73</v>
      </c>
      <c r="C37" s="3" t="s">
        <v>74</v>
      </c>
      <c r="D37" s="3"/>
      <c r="E37" s="11" t="str">
        <f>"009942558718"</f>
        <v>009942558718</v>
      </c>
      <c r="F37" s="4">
        <v>44777</v>
      </c>
      <c r="G37" s="3">
        <v>202305</v>
      </c>
      <c r="H37" s="3" t="s">
        <v>79</v>
      </c>
      <c r="I37" s="3" t="s">
        <v>80</v>
      </c>
      <c r="J37" s="3" t="s">
        <v>94</v>
      </c>
      <c r="K37" s="3" t="s">
        <v>78</v>
      </c>
      <c r="L37" s="3" t="s">
        <v>79</v>
      </c>
      <c r="M37" s="3" t="s">
        <v>80</v>
      </c>
      <c r="N37" s="3" t="s">
        <v>261</v>
      </c>
      <c r="O37" s="3" t="s">
        <v>109</v>
      </c>
      <c r="P37" s="3" t="str">
        <f>"184596                        "</f>
        <v xml:space="preserve">184596    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24.32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0.2</v>
      </c>
      <c r="BJ37" s="3">
        <v>1.7</v>
      </c>
      <c r="BK37" s="3">
        <v>2</v>
      </c>
      <c r="BL37" s="3">
        <v>58.34</v>
      </c>
      <c r="BM37" s="3">
        <v>8.75</v>
      </c>
      <c r="BN37" s="3">
        <v>67.09</v>
      </c>
      <c r="BO37" s="3">
        <v>67.09</v>
      </c>
      <c r="BP37" s="3"/>
      <c r="BQ37" s="3"/>
      <c r="BR37" s="3" t="s">
        <v>96</v>
      </c>
      <c r="BS37" s="4">
        <v>44778</v>
      </c>
      <c r="BT37" s="5">
        <v>0.44930555555555557</v>
      </c>
      <c r="BU37" s="3" t="s">
        <v>262</v>
      </c>
      <c r="BV37" s="3" t="s">
        <v>99</v>
      </c>
      <c r="BW37" s="3"/>
      <c r="BX37" s="3"/>
      <c r="BY37" s="3">
        <v>8705.34</v>
      </c>
      <c r="BZ37" s="3" t="s">
        <v>105</v>
      </c>
      <c r="CA37" s="3" t="s">
        <v>263</v>
      </c>
      <c r="CB37" s="3"/>
      <c r="CC37" s="3" t="s">
        <v>80</v>
      </c>
      <c r="CD37" s="3">
        <v>7405</v>
      </c>
      <c r="CE37" s="3" t="s">
        <v>90</v>
      </c>
      <c r="CF37" s="4">
        <v>44781</v>
      </c>
      <c r="CG37" s="3"/>
      <c r="CH37" s="3"/>
      <c r="CI37" s="8">
        <v>1</v>
      </c>
      <c r="CJ37" s="8">
        <v>1</v>
      </c>
      <c r="CK37" s="8">
        <v>32</v>
      </c>
      <c r="CL37" s="3" t="s">
        <v>85</v>
      </c>
      <c r="CM37" s="3"/>
      <c r="CN37" s="3"/>
    </row>
    <row r="38" spans="1:92" x14ac:dyDescent="0.3">
      <c r="A38" s="3" t="s">
        <v>72</v>
      </c>
      <c r="B38" s="3" t="s">
        <v>73</v>
      </c>
      <c r="C38" s="3" t="s">
        <v>74</v>
      </c>
      <c r="D38" s="3"/>
      <c r="E38" s="11" t="str">
        <f>"009942558720"</f>
        <v>009942558720</v>
      </c>
      <c r="F38" s="4">
        <v>44777</v>
      </c>
      <c r="G38" s="3">
        <v>202305</v>
      </c>
      <c r="H38" s="3" t="s">
        <v>79</v>
      </c>
      <c r="I38" s="3" t="s">
        <v>80</v>
      </c>
      <c r="J38" s="3" t="s">
        <v>94</v>
      </c>
      <c r="K38" s="3" t="s">
        <v>78</v>
      </c>
      <c r="L38" s="3" t="s">
        <v>120</v>
      </c>
      <c r="M38" s="3" t="s">
        <v>121</v>
      </c>
      <c r="N38" s="3" t="s">
        <v>264</v>
      </c>
      <c r="O38" s="3" t="s">
        <v>109</v>
      </c>
      <c r="P38" s="3" t="str">
        <f>"184592                        "</f>
        <v xml:space="preserve">184592            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58.37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0.5</v>
      </c>
      <c r="BJ38" s="3">
        <v>2</v>
      </c>
      <c r="BK38" s="3">
        <v>2</v>
      </c>
      <c r="BL38" s="3">
        <v>140.01</v>
      </c>
      <c r="BM38" s="3">
        <v>21</v>
      </c>
      <c r="BN38" s="3">
        <v>161.01</v>
      </c>
      <c r="BO38" s="3">
        <v>161.01</v>
      </c>
      <c r="BP38" s="3"/>
      <c r="BQ38" s="3" t="s">
        <v>265</v>
      </c>
      <c r="BR38" s="3" t="s">
        <v>96</v>
      </c>
      <c r="BS38" s="4">
        <v>44778</v>
      </c>
      <c r="BT38" s="5">
        <v>0.4375</v>
      </c>
      <c r="BU38" s="3" t="s">
        <v>266</v>
      </c>
      <c r="BV38" s="3" t="s">
        <v>99</v>
      </c>
      <c r="BW38" s="3"/>
      <c r="BX38" s="3"/>
      <c r="BY38" s="3">
        <v>9851.5</v>
      </c>
      <c r="BZ38" s="3" t="s">
        <v>105</v>
      </c>
      <c r="CA38" s="3" t="s">
        <v>267</v>
      </c>
      <c r="CB38" s="3"/>
      <c r="CC38" s="3" t="s">
        <v>121</v>
      </c>
      <c r="CD38" s="3">
        <v>1</v>
      </c>
      <c r="CE38" s="3" t="s">
        <v>90</v>
      </c>
      <c r="CF38" s="4">
        <v>44778</v>
      </c>
      <c r="CG38" s="3"/>
      <c r="CH38" s="3"/>
      <c r="CI38" s="8">
        <v>1</v>
      </c>
      <c r="CJ38" s="8">
        <v>1</v>
      </c>
      <c r="CK38" s="8">
        <v>31</v>
      </c>
      <c r="CL38" s="3" t="s">
        <v>85</v>
      </c>
      <c r="CM38" s="3"/>
      <c r="CN38" s="3"/>
    </row>
    <row r="39" spans="1:92" x14ac:dyDescent="0.3">
      <c r="A39" s="3" t="s">
        <v>72</v>
      </c>
      <c r="B39" s="3" t="s">
        <v>73</v>
      </c>
      <c r="C39" s="3" t="s">
        <v>74</v>
      </c>
      <c r="D39" s="3"/>
      <c r="E39" s="11" t="str">
        <f>"009942558723"</f>
        <v>009942558723</v>
      </c>
      <c r="F39" s="4">
        <v>44777</v>
      </c>
      <c r="G39" s="3">
        <v>202305</v>
      </c>
      <c r="H39" s="3" t="s">
        <v>79</v>
      </c>
      <c r="I39" s="3" t="s">
        <v>80</v>
      </c>
      <c r="J39" s="3" t="s">
        <v>94</v>
      </c>
      <c r="K39" s="3" t="s">
        <v>78</v>
      </c>
      <c r="L39" s="3" t="s">
        <v>125</v>
      </c>
      <c r="M39" s="3" t="s">
        <v>126</v>
      </c>
      <c r="N39" s="3" t="s">
        <v>268</v>
      </c>
      <c r="O39" s="3" t="s">
        <v>109</v>
      </c>
      <c r="P39" s="3" t="str">
        <f>"184606                        "</f>
        <v xml:space="preserve">184606    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72.97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1</v>
      </c>
      <c r="BI39" s="3">
        <v>1.5</v>
      </c>
      <c r="BJ39" s="3">
        <v>4.9000000000000004</v>
      </c>
      <c r="BK39" s="3">
        <v>5</v>
      </c>
      <c r="BL39" s="3">
        <v>175.02</v>
      </c>
      <c r="BM39" s="3">
        <v>26.25</v>
      </c>
      <c r="BN39" s="3">
        <v>201.27</v>
      </c>
      <c r="BO39" s="3">
        <v>201.27</v>
      </c>
      <c r="BP39" s="3"/>
      <c r="BQ39" s="3" t="s">
        <v>269</v>
      </c>
      <c r="BR39" s="3" t="s">
        <v>96</v>
      </c>
      <c r="BS39" s="4">
        <v>44778</v>
      </c>
      <c r="BT39" s="5">
        <v>0.46111111111111108</v>
      </c>
      <c r="BU39" s="3" t="s">
        <v>270</v>
      </c>
      <c r="BV39" s="3" t="s">
        <v>99</v>
      </c>
      <c r="BW39" s="3"/>
      <c r="BX39" s="3"/>
      <c r="BY39" s="3">
        <v>24582</v>
      </c>
      <c r="BZ39" s="3" t="s">
        <v>105</v>
      </c>
      <c r="CA39" s="3" t="s">
        <v>168</v>
      </c>
      <c r="CB39" s="3"/>
      <c r="CC39" s="3" t="s">
        <v>126</v>
      </c>
      <c r="CD39" s="3">
        <v>2000</v>
      </c>
      <c r="CE39" s="3" t="s">
        <v>90</v>
      </c>
      <c r="CF39" s="4">
        <v>44778</v>
      </c>
      <c r="CG39" s="3"/>
      <c r="CH39" s="3"/>
      <c r="CI39" s="8">
        <v>1</v>
      </c>
      <c r="CJ39" s="8">
        <v>1</v>
      </c>
      <c r="CK39" s="8">
        <v>31</v>
      </c>
      <c r="CL39" s="3" t="s">
        <v>85</v>
      </c>
      <c r="CM39" s="3"/>
      <c r="CN39" s="3"/>
    </row>
    <row r="40" spans="1:92" x14ac:dyDescent="0.3">
      <c r="A40" s="3" t="s">
        <v>72</v>
      </c>
      <c r="B40" s="3" t="s">
        <v>73</v>
      </c>
      <c r="C40" s="3" t="s">
        <v>74</v>
      </c>
      <c r="D40" s="3"/>
      <c r="E40" s="11" t="str">
        <f>"009942558722"</f>
        <v>009942558722</v>
      </c>
      <c r="F40" s="4">
        <v>44777</v>
      </c>
      <c r="G40" s="3">
        <v>202305</v>
      </c>
      <c r="H40" s="3" t="s">
        <v>79</v>
      </c>
      <c r="I40" s="3" t="s">
        <v>80</v>
      </c>
      <c r="J40" s="3" t="s">
        <v>94</v>
      </c>
      <c r="K40" s="3" t="s">
        <v>78</v>
      </c>
      <c r="L40" s="3" t="s">
        <v>153</v>
      </c>
      <c r="M40" s="3" t="s">
        <v>154</v>
      </c>
      <c r="N40" s="3" t="s">
        <v>271</v>
      </c>
      <c r="O40" s="3" t="s">
        <v>109</v>
      </c>
      <c r="P40" s="3" t="str">
        <f>"184610                        "</f>
        <v xml:space="preserve">184610      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58.37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1</v>
      </c>
      <c r="BJ40" s="3">
        <v>3.4</v>
      </c>
      <c r="BK40" s="3">
        <v>4</v>
      </c>
      <c r="BL40" s="3">
        <v>140.01</v>
      </c>
      <c r="BM40" s="3">
        <v>21</v>
      </c>
      <c r="BN40" s="3">
        <v>161.01</v>
      </c>
      <c r="BO40" s="3">
        <v>161.01</v>
      </c>
      <c r="BP40" s="3"/>
      <c r="BQ40" s="3" t="s">
        <v>272</v>
      </c>
      <c r="BR40" s="3" t="s">
        <v>96</v>
      </c>
      <c r="BS40" s="4">
        <v>44778</v>
      </c>
      <c r="BT40" s="5">
        <v>0.36388888888888887</v>
      </c>
      <c r="BU40" s="3" t="s">
        <v>273</v>
      </c>
      <c r="BV40" s="3" t="s">
        <v>99</v>
      </c>
      <c r="BW40" s="3"/>
      <c r="BX40" s="3"/>
      <c r="BY40" s="3">
        <v>17007.05</v>
      </c>
      <c r="BZ40" s="3" t="s">
        <v>105</v>
      </c>
      <c r="CA40" s="3" t="s">
        <v>274</v>
      </c>
      <c r="CB40" s="3"/>
      <c r="CC40" s="3" t="s">
        <v>154</v>
      </c>
      <c r="CD40" s="3">
        <v>1609</v>
      </c>
      <c r="CE40" s="3" t="s">
        <v>90</v>
      </c>
      <c r="CF40" s="4">
        <v>44779</v>
      </c>
      <c r="CG40" s="3"/>
      <c r="CH40" s="3"/>
      <c r="CI40" s="8">
        <v>1</v>
      </c>
      <c r="CJ40" s="8">
        <v>1</v>
      </c>
      <c r="CK40" s="8">
        <v>31</v>
      </c>
      <c r="CL40" s="3" t="s">
        <v>85</v>
      </c>
      <c r="CM40" s="3"/>
      <c r="CN40" s="3"/>
    </row>
    <row r="41" spans="1:92" x14ac:dyDescent="0.3">
      <c r="A41" s="3" t="s">
        <v>72</v>
      </c>
      <c r="B41" s="3" t="s">
        <v>73</v>
      </c>
      <c r="C41" s="3" t="s">
        <v>74</v>
      </c>
      <c r="D41" s="3"/>
      <c r="E41" s="11" t="str">
        <f>"009942558716"</f>
        <v>009942558716</v>
      </c>
      <c r="F41" s="4">
        <v>44777</v>
      </c>
      <c r="G41" s="3">
        <v>202305</v>
      </c>
      <c r="H41" s="3" t="s">
        <v>79</v>
      </c>
      <c r="I41" s="3" t="s">
        <v>80</v>
      </c>
      <c r="J41" s="3" t="s">
        <v>94</v>
      </c>
      <c r="K41" s="3" t="s">
        <v>78</v>
      </c>
      <c r="L41" s="3" t="s">
        <v>125</v>
      </c>
      <c r="M41" s="3" t="s">
        <v>126</v>
      </c>
      <c r="N41" s="3" t="s">
        <v>275</v>
      </c>
      <c r="O41" s="3" t="s">
        <v>109</v>
      </c>
      <c r="P41" s="3" t="str">
        <f>"                              "</f>
        <v xml:space="preserve">                 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160.52000000000001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1</v>
      </c>
      <c r="BI41" s="3">
        <v>2.4</v>
      </c>
      <c r="BJ41" s="3">
        <v>10.7</v>
      </c>
      <c r="BK41" s="3">
        <v>11</v>
      </c>
      <c r="BL41" s="3">
        <v>385.03</v>
      </c>
      <c r="BM41" s="3">
        <v>57.75</v>
      </c>
      <c r="BN41" s="3">
        <v>442.78</v>
      </c>
      <c r="BO41" s="3">
        <v>442.78</v>
      </c>
      <c r="BP41" s="3"/>
      <c r="BQ41" s="3" t="s">
        <v>276</v>
      </c>
      <c r="BR41" s="3" t="s">
        <v>96</v>
      </c>
      <c r="BS41" s="4">
        <v>44778</v>
      </c>
      <c r="BT41" s="5">
        <v>0.4152777777777778</v>
      </c>
      <c r="BU41" s="3" t="s">
        <v>277</v>
      </c>
      <c r="BV41" s="3" t="s">
        <v>99</v>
      </c>
      <c r="BW41" s="3"/>
      <c r="BX41" s="3"/>
      <c r="BY41" s="3">
        <v>53423.25</v>
      </c>
      <c r="BZ41" s="3" t="s">
        <v>105</v>
      </c>
      <c r="CA41" s="3" t="s">
        <v>260</v>
      </c>
      <c r="CB41" s="3"/>
      <c r="CC41" s="3" t="s">
        <v>126</v>
      </c>
      <c r="CD41" s="3">
        <v>2007</v>
      </c>
      <c r="CE41" s="3" t="s">
        <v>90</v>
      </c>
      <c r="CF41" s="4">
        <v>44779</v>
      </c>
      <c r="CG41" s="3"/>
      <c r="CH41" s="3"/>
      <c r="CI41" s="8">
        <v>1</v>
      </c>
      <c r="CJ41" s="8">
        <v>1</v>
      </c>
      <c r="CK41" s="8">
        <v>31</v>
      </c>
      <c r="CL41" s="3" t="s">
        <v>85</v>
      </c>
      <c r="CM41" s="3"/>
      <c r="CN41" s="3"/>
    </row>
    <row r="42" spans="1:92" x14ac:dyDescent="0.3">
      <c r="A42" s="3" t="s">
        <v>72</v>
      </c>
      <c r="B42" s="3" t="s">
        <v>73</v>
      </c>
      <c r="C42" s="3" t="s">
        <v>74</v>
      </c>
      <c r="D42" s="3"/>
      <c r="E42" s="11" t="str">
        <f>"0099425587173"</f>
        <v>0099425587173</v>
      </c>
      <c r="F42" s="4">
        <v>44777</v>
      </c>
      <c r="G42" s="3">
        <v>202305</v>
      </c>
      <c r="H42" s="3" t="s">
        <v>79</v>
      </c>
      <c r="I42" s="3" t="s">
        <v>80</v>
      </c>
      <c r="J42" s="3" t="s">
        <v>94</v>
      </c>
      <c r="K42" s="3" t="s">
        <v>78</v>
      </c>
      <c r="L42" s="3" t="s">
        <v>137</v>
      </c>
      <c r="M42" s="3" t="s">
        <v>138</v>
      </c>
      <c r="N42" s="3" t="s">
        <v>139</v>
      </c>
      <c r="O42" s="3" t="s">
        <v>95</v>
      </c>
      <c r="P42" s="3" t="str">
        <f>"18400 009942558717            "</f>
        <v xml:space="preserve">18400 009942558717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5.25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78.599999999999994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1</v>
      </c>
      <c r="BI42" s="3">
        <v>4.3</v>
      </c>
      <c r="BJ42" s="3">
        <v>22</v>
      </c>
      <c r="BK42" s="3">
        <v>22</v>
      </c>
      <c r="BL42" s="3">
        <v>193.78</v>
      </c>
      <c r="BM42" s="3">
        <v>29.07</v>
      </c>
      <c r="BN42" s="3">
        <v>222.85</v>
      </c>
      <c r="BO42" s="3">
        <v>222.85</v>
      </c>
      <c r="BP42" s="3"/>
      <c r="BQ42" s="3"/>
      <c r="BR42" s="3" t="s">
        <v>96</v>
      </c>
      <c r="BS42" s="4">
        <v>44778</v>
      </c>
      <c r="BT42" s="5">
        <v>0.52638888888888891</v>
      </c>
      <c r="BU42" s="3" t="s">
        <v>278</v>
      </c>
      <c r="BV42" s="3" t="s">
        <v>99</v>
      </c>
      <c r="BW42" s="3"/>
      <c r="BX42" s="3"/>
      <c r="BY42" s="3">
        <v>110206.55</v>
      </c>
      <c r="BZ42" s="3" t="s">
        <v>105</v>
      </c>
      <c r="CA42" s="3"/>
      <c r="CB42" s="3"/>
      <c r="CC42" s="3" t="s">
        <v>138</v>
      </c>
      <c r="CD42" s="3">
        <v>8893</v>
      </c>
      <c r="CE42" s="3" t="s">
        <v>90</v>
      </c>
      <c r="CF42" s="4">
        <v>44789</v>
      </c>
      <c r="CG42" s="3"/>
      <c r="CH42" s="3"/>
      <c r="CI42" s="8">
        <v>5</v>
      </c>
      <c r="CJ42" s="8">
        <v>1</v>
      </c>
      <c r="CK42" s="8">
        <v>44</v>
      </c>
      <c r="CL42" s="3" t="s">
        <v>85</v>
      </c>
      <c r="CM42" s="3"/>
      <c r="CN42" s="3"/>
    </row>
    <row r="43" spans="1:92" x14ac:dyDescent="0.3">
      <c r="A43" s="3" t="s">
        <v>72</v>
      </c>
      <c r="B43" s="3" t="s">
        <v>73</v>
      </c>
      <c r="C43" s="3" t="s">
        <v>74</v>
      </c>
      <c r="D43" s="3"/>
      <c r="E43" s="11" t="str">
        <f>"009942558724"</f>
        <v>009942558724</v>
      </c>
      <c r="F43" s="4">
        <v>44778</v>
      </c>
      <c r="G43" s="3">
        <v>202305</v>
      </c>
      <c r="H43" s="3" t="s">
        <v>79</v>
      </c>
      <c r="I43" s="3" t="s">
        <v>80</v>
      </c>
      <c r="J43" s="3" t="s">
        <v>94</v>
      </c>
      <c r="K43" s="3" t="s">
        <v>78</v>
      </c>
      <c r="L43" s="3" t="s">
        <v>279</v>
      </c>
      <c r="M43" s="3" t="s">
        <v>280</v>
      </c>
      <c r="N43" s="3" t="s">
        <v>281</v>
      </c>
      <c r="O43" s="3" t="s">
        <v>95</v>
      </c>
      <c r="P43" s="3" t="str">
        <f>"184633                        "</f>
        <v xml:space="preserve">184633      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5.25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84.91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1</v>
      </c>
      <c r="BI43" s="3">
        <v>0.3</v>
      </c>
      <c r="BJ43" s="3">
        <v>1.5</v>
      </c>
      <c r="BK43" s="3">
        <v>2</v>
      </c>
      <c r="BL43" s="3">
        <v>208.91</v>
      </c>
      <c r="BM43" s="3">
        <v>31.34</v>
      </c>
      <c r="BN43" s="3">
        <v>240.25</v>
      </c>
      <c r="BO43" s="3">
        <v>240.25</v>
      </c>
      <c r="BP43" s="3"/>
      <c r="BQ43" s="3"/>
      <c r="BR43" s="3" t="s">
        <v>96</v>
      </c>
      <c r="BS43" s="4">
        <v>44783</v>
      </c>
      <c r="BT43" s="5">
        <v>0.56944444444444442</v>
      </c>
      <c r="BU43" s="3" t="s">
        <v>282</v>
      </c>
      <c r="BV43" s="3" t="s">
        <v>99</v>
      </c>
      <c r="BW43" s="3"/>
      <c r="BX43" s="3"/>
      <c r="BY43" s="3">
        <v>7653.8</v>
      </c>
      <c r="BZ43" s="3" t="s">
        <v>105</v>
      </c>
      <c r="CA43" s="3" t="s">
        <v>283</v>
      </c>
      <c r="CB43" s="3"/>
      <c r="CC43" s="3" t="s">
        <v>280</v>
      </c>
      <c r="CD43" s="3">
        <v>299</v>
      </c>
      <c r="CE43" s="3" t="s">
        <v>90</v>
      </c>
      <c r="CF43" s="4">
        <v>44783</v>
      </c>
      <c r="CG43" s="3"/>
      <c r="CH43" s="3"/>
      <c r="CI43" s="8">
        <v>3</v>
      </c>
      <c r="CJ43" s="8">
        <v>3</v>
      </c>
      <c r="CK43" s="8">
        <v>43</v>
      </c>
      <c r="CL43" s="3" t="s">
        <v>85</v>
      </c>
      <c r="CM43" s="3"/>
      <c r="CN43" s="3"/>
    </row>
    <row r="44" spans="1:92" x14ac:dyDescent="0.3">
      <c r="A44" s="3" t="s">
        <v>72</v>
      </c>
      <c r="B44" s="3" t="s">
        <v>73</v>
      </c>
      <c r="C44" s="3" t="s">
        <v>74</v>
      </c>
      <c r="D44" s="3"/>
      <c r="E44" s="11" t="str">
        <f>"009942558715"</f>
        <v>009942558715</v>
      </c>
      <c r="F44" s="4">
        <v>44778</v>
      </c>
      <c r="G44" s="3">
        <v>202305</v>
      </c>
      <c r="H44" s="3" t="s">
        <v>79</v>
      </c>
      <c r="I44" s="3" t="s">
        <v>80</v>
      </c>
      <c r="J44" s="3" t="s">
        <v>94</v>
      </c>
      <c r="K44" s="3" t="s">
        <v>78</v>
      </c>
      <c r="L44" s="3" t="s">
        <v>284</v>
      </c>
      <c r="M44" s="3" t="s">
        <v>285</v>
      </c>
      <c r="N44" s="3" t="s">
        <v>286</v>
      </c>
      <c r="O44" s="3" t="s">
        <v>95</v>
      </c>
      <c r="P44" s="3" t="str">
        <f>"                              "</f>
        <v xml:space="preserve">                 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5.25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66.489999999999995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6.1</v>
      </c>
      <c r="BJ44" s="3">
        <v>11.7</v>
      </c>
      <c r="BK44" s="3">
        <v>12</v>
      </c>
      <c r="BL44" s="3">
        <v>164.73</v>
      </c>
      <c r="BM44" s="3">
        <v>24.71</v>
      </c>
      <c r="BN44" s="3">
        <v>189.44</v>
      </c>
      <c r="BO44" s="3">
        <v>189.44</v>
      </c>
      <c r="BP44" s="3"/>
      <c r="BQ44" s="3" t="s">
        <v>287</v>
      </c>
      <c r="BR44" s="3" t="s">
        <v>96</v>
      </c>
      <c r="BS44" s="4">
        <v>44781</v>
      </c>
      <c r="BT44" s="5">
        <v>0.44722222222222219</v>
      </c>
      <c r="BU44" s="3" t="s">
        <v>288</v>
      </c>
      <c r="BV44" s="3" t="s">
        <v>99</v>
      </c>
      <c r="BW44" s="3"/>
      <c r="BX44" s="3"/>
      <c r="BY44" s="3">
        <v>58596</v>
      </c>
      <c r="BZ44" s="3" t="s">
        <v>105</v>
      </c>
      <c r="CA44" s="3" t="s">
        <v>289</v>
      </c>
      <c r="CB44" s="3"/>
      <c r="CC44" s="3" t="s">
        <v>285</v>
      </c>
      <c r="CD44" s="3">
        <v>7349</v>
      </c>
      <c r="CE44" s="3" t="s">
        <v>90</v>
      </c>
      <c r="CF44" s="3"/>
      <c r="CG44" s="3"/>
      <c r="CH44" s="3"/>
      <c r="CI44" s="8">
        <v>1</v>
      </c>
      <c r="CJ44" s="8">
        <v>1</v>
      </c>
      <c r="CK44" s="8">
        <v>44</v>
      </c>
      <c r="CL44" s="3" t="s">
        <v>85</v>
      </c>
      <c r="CM44" s="3"/>
      <c r="CN44" s="3"/>
    </row>
    <row r="45" spans="1:92" x14ac:dyDescent="0.3">
      <c r="A45" s="3" t="s">
        <v>72</v>
      </c>
      <c r="B45" s="3" t="s">
        <v>73</v>
      </c>
      <c r="C45" s="3" t="s">
        <v>74</v>
      </c>
      <c r="D45" s="3"/>
      <c r="E45" s="11" t="str">
        <f>"009941811552"</f>
        <v>009941811552</v>
      </c>
      <c r="F45" s="4">
        <v>44778</v>
      </c>
      <c r="G45" s="3">
        <v>202305</v>
      </c>
      <c r="H45" s="3" t="s">
        <v>125</v>
      </c>
      <c r="I45" s="3" t="s">
        <v>126</v>
      </c>
      <c r="J45" s="3" t="s">
        <v>290</v>
      </c>
      <c r="K45" s="3" t="s">
        <v>78</v>
      </c>
      <c r="L45" s="3" t="s">
        <v>120</v>
      </c>
      <c r="M45" s="3" t="s">
        <v>121</v>
      </c>
      <c r="N45" s="3" t="s">
        <v>77</v>
      </c>
      <c r="O45" s="3" t="s">
        <v>95</v>
      </c>
      <c r="P45" s="3" t="str">
        <f>"                              "</f>
        <v xml:space="preserve">            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5.25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60.2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1</v>
      </c>
      <c r="BI45" s="3">
        <v>0.8</v>
      </c>
      <c r="BJ45" s="3">
        <v>4.9000000000000004</v>
      </c>
      <c r="BK45" s="3">
        <v>5</v>
      </c>
      <c r="BL45" s="3">
        <v>149.65</v>
      </c>
      <c r="BM45" s="3">
        <v>22.45</v>
      </c>
      <c r="BN45" s="3">
        <v>172.1</v>
      </c>
      <c r="BO45" s="3">
        <v>172.1</v>
      </c>
      <c r="BP45" s="3"/>
      <c r="BQ45" s="3" t="s">
        <v>291</v>
      </c>
      <c r="BR45" s="3" t="s">
        <v>291</v>
      </c>
      <c r="BS45" s="4">
        <v>44783</v>
      </c>
      <c r="BT45" s="5">
        <v>0.37361111111111112</v>
      </c>
      <c r="BU45" s="3" t="s">
        <v>292</v>
      </c>
      <c r="BV45" s="3" t="s">
        <v>85</v>
      </c>
      <c r="BW45" s="3" t="s">
        <v>293</v>
      </c>
      <c r="BX45" s="3" t="s">
        <v>294</v>
      </c>
      <c r="BY45" s="3">
        <v>24281.83</v>
      </c>
      <c r="BZ45" s="3" t="s">
        <v>105</v>
      </c>
      <c r="CA45" s="3" t="s">
        <v>295</v>
      </c>
      <c r="CB45" s="3"/>
      <c r="CC45" s="3" t="s">
        <v>121</v>
      </c>
      <c r="CD45" s="3">
        <v>1</v>
      </c>
      <c r="CE45" s="3" t="s">
        <v>90</v>
      </c>
      <c r="CF45" s="4">
        <v>44783</v>
      </c>
      <c r="CG45" s="3"/>
      <c r="CH45" s="3"/>
      <c r="CI45" s="8">
        <v>1</v>
      </c>
      <c r="CJ45" s="8">
        <v>3</v>
      </c>
      <c r="CK45" s="8">
        <v>41</v>
      </c>
      <c r="CL45" s="3" t="s">
        <v>85</v>
      </c>
      <c r="CM45" s="3"/>
      <c r="CN45" s="3"/>
    </row>
    <row r="46" spans="1:92" x14ac:dyDescent="0.3">
      <c r="A46" s="3" t="s">
        <v>72</v>
      </c>
      <c r="B46" s="3" t="s">
        <v>73</v>
      </c>
      <c r="C46" s="3" t="s">
        <v>74</v>
      </c>
      <c r="D46" s="3"/>
      <c r="E46" s="11" t="str">
        <f>"009942570203"</f>
        <v>009942570203</v>
      </c>
      <c r="F46" s="4">
        <v>44778</v>
      </c>
      <c r="G46" s="3">
        <v>202305</v>
      </c>
      <c r="H46" s="3" t="s">
        <v>296</v>
      </c>
      <c r="I46" s="3" t="s">
        <v>297</v>
      </c>
      <c r="J46" s="3" t="s">
        <v>298</v>
      </c>
      <c r="K46" s="3" t="s">
        <v>78</v>
      </c>
      <c r="L46" s="3" t="s">
        <v>79</v>
      </c>
      <c r="M46" s="3" t="s">
        <v>80</v>
      </c>
      <c r="N46" s="3" t="s">
        <v>299</v>
      </c>
      <c r="O46" s="3" t="s">
        <v>82</v>
      </c>
      <c r="P46" s="3" t="str">
        <f>"                              "</f>
        <v xml:space="preserve">                 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24.32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1</v>
      </c>
      <c r="BI46" s="3">
        <v>0.6</v>
      </c>
      <c r="BJ46" s="3">
        <v>4.4000000000000004</v>
      </c>
      <c r="BK46" s="3">
        <v>4.5</v>
      </c>
      <c r="BL46" s="3">
        <v>58.33</v>
      </c>
      <c r="BM46" s="3">
        <v>8.75</v>
      </c>
      <c r="BN46" s="3">
        <v>67.08</v>
      </c>
      <c r="BO46" s="3">
        <v>67.08</v>
      </c>
      <c r="BP46" s="3"/>
      <c r="BQ46" s="3"/>
      <c r="BR46" s="3" t="s">
        <v>300</v>
      </c>
      <c r="BS46" s="4">
        <v>44781</v>
      </c>
      <c r="BT46" s="5">
        <v>0.40347222222222223</v>
      </c>
      <c r="BU46" s="3" t="s">
        <v>84</v>
      </c>
      <c r="BV46" s="3" t="s">
        <v>99</v>
      </c>
      <c r="BW46" s="3"/>
      <c r="BX46" s="3"/>
      <c r="BY46" s="3">
        <v>22030.400000000001</v>
      </c>
      <c r="BZ46" s="3" t="s">
        <v>24</v>
      </c>
      <c r="CA46" s="3" t="s">
        <v>89</v>
      </c>
      <c r="CB46" s="3"/>
      <c r="CC46" s="3" t="s">
        <v>80</v>
      </c>
      <c r="CD46" s="3">
        <v>7945</v>
      </c>
      <c r="CE46" s="3" t="s">
        <v>90</v>
      </c>
      <c r="CF46" s="4">
        <v>44783</v>
      </c>
      <c r="CG46" s="3"/>
      <c r="CH46" s="3"/>
      <c r="CI46" s="8">
        <v>1</v>
      </c>
      <c r="CJ46" s="8">
        <v>1</v>
      </c>
      <c r="CK46" s="8">
        <v>22</v>
      </c>
      <c r="CL46" s="3" t="s">
        <v>85</v>
      </c>
      <c r="CM46" s="3"/>
      <c r="CN46" s="3"/>
    </row>
    <row r="47" spans="1:92" x14ac:dyDescent="0.3">
      <c r="A47" s="3" t="s">
        <v>72</v>
      </c>
      <c r="B47" s="3" t="s">
        <v>73</v>
      </c>
      <c r="C47" s="3" t="s">
        <v>74</v>
      </c>
      <c r="D47" s="3"/>
      <c r="E47" s="11" t="str">
        <f>"009942560725"</f>
        <v>009942560725</v>
      </c>
      <c r="F47" s="4">
        <v>44778</v>
      </c>
      <c r="G47" s="3">
        <v>202305</v>
      </c>
      <c r="H47" s="3" t="s">
        <v>301</v>
      </c>
      <c r="I47" s="3" t="s">
        <v>302</v>
      </c>
      <c r="J47" s="3" t="s">
        <v>298</v>
      </c>
      <c r="K47" s="3" t="s">
        <v>78</v>
      </c>
      <c r="L47" s="3" t="s">
        <v>79</v>
      </c>
      <c r="M47" s="3" t="s">
        <v>80</v>
      </c>
      <c r="N47" s="3" t="s">
        <v>303</v>
      </c>
      <c r="O47" s="3" t="s">
        <v>304</v>
      </c>
      <c r="P47" s="3" t="str">
        <f>"CPT661153                     "</f>
        <v xml:space="preserve">CPT661153        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455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469.25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1</v>
      </c>
      <c r="BI47" s="3">
        <v>3</v>
      </c>
      <c r="BJ47" s="3">
        <v>28.1</v>
      </c>
      <c r="BK47" s="3">
        <v>28.5</v>
      </c>
      <c r="BL47" s="3">
        <v>1125.54</v>
      </c>
      <c r="BM47" s="3">
        <v>168.83</v>
      </c>
      <c r="BN47" s="3">
        <v>1294.3699999999999</v>
      </c>
      <c r="BO47" s="3">
        <v>1294.3699999999999</v>
      </c>
      <c r="BP47" s="3" t="s">
        <v>305</v>
      </c>
      <c r="BQ47" s="3"/>
      <c r="BR47" s="3" t="s">
        <v>306</v>
      </c>
      <c r="BS47" s="4">
        <v>44778</v>
      </c>
      <c r="BT47" s="5">
        <v>0.54861111111111105</v>
      </c>
      <c r="BU47" s="3" t="s">
        <v>307</v>
      </c>
      <c r="BV47" s="3" t="s">
        <v>99</v>
      </c>
      <c r="BW47" s="3"/>
      <c r="BX47" s="3"/>
      <c r="BY47" s="3">
        <v>140700</v>
      </c>
      <c r="BZ47" s="3" t="s">
        <v>308</v>
      </c>
      <c r="CA47" s="3"/>
      <c r="CB47" s="3"/>
      <c r="CC47" s="3" t="s">
        <v>80</v>
      </c>
      <c r="CD47" s="3">
        <v>7945</v>
      </c>
      <c r="CE47" s="3" t="s">
        <v>90</v>
      </c>
      <c r="CF47" s="4">
        <v>44781</v>
      </c>
      <c r="CG47" s="3"/>
      <c r="CH47" s="3"/>
      <c r="CI47" s="8">
        <v>0</v>
      </c>
      <c r="CJ47" s="8">
        <v>0</v>
      </c>
      <c r="CK47" s="8">
        <v>22</v>
      </c>
      <c r="CL47" s="3" t="s">
        <v>85</v>
      </c>
      <c r="CM47" s="3"/>
      <c r="CN47" s="3"/>
    </row>
    <row r="48" spans="1:92" x14ac:dyDescent="0.3">
      <c r="A48" s="3" t="s">
        <v>72</v>
      </c>
      <c r="B48" s="3" t="s">
        <v>73</v>
      </c>
      <c r="C48" s="3" t="s">
        <v>74</v>
      </c>
      <c r="D48" s="3"/>
      <c r="E48" s="11" t="str">
        <f>"R009942558666"</f>
        <v>R009942558666</v>
      </c>
      <c r="F48" s="4">
        <v>44781</v>
      </c>
      <c r="G48" s="3">
        <v>202305</v>
      </c>
      <c r="H48" s="3" t="s">
        <v>91</v>
      </c>
      <c r="I48" s="3" t="s">
        <v>92</v>
      </c>
      <c r="J48" s="3" t="s">
        <v>93</v>
      </c>
      <c r="K48" s="3" t="s">
        <v>78</v>
      </c>
      <c r="L48" s="3" t="s">
        <v>79</v>
      </c>
      <c r="M48" s="3" t="s">
        <v>80</v>
      </c>
      <c r="N48" s="3" t="s">
        <v>94</v>
      </c>
      <c r="O48" s="3" t="s">
        <v>95</v>
      </c>
      <c r="P48" s="3" t="str">
        <f>"INV184225                     "</f>
        <v xml:space="preserve">INV184225        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5.25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60.2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1</v>
      </c>
      <c r="BJ48" s="3">
        <v>0.2</v>
      </c>
      <c r="BK48" s="3">
        <v>1</v>
      </c>
      <c r="BL48" s="3">
        <v>149.65</v>
      </c>
      <c r="BM48" s="3">
        <v>22.45</v>
      </c>
      <c r="BN48" s="3">
        <v>172.1</v>
      </c>
      <c r="BO48" s="3">
        <v>172.1</v>
      </c>
      <c r="BP48" s="3"/>
      <c r="BQ48" s="3" t="s">
        <v>96</v>
      </c>
      <c r="BR48" s="3" t="s">
        <v>97</v>
      </c>
      <c r="BS48" s="4">
        <v>44783</v>
      </c>
      <c r="BT48" s="5">
        <v>0.38611111111111113</v>
      </c>
      <c r="BU48" s="3" t="s">
        <v>309</v>
      </c>
      <c r="BV48" s="3" t="s">
        <v>99</v>
      </c>
      <c r="BW48" s="3"/>
      <c r="BX48" s="3"/>
      <c r="BY48" s="3">
        <v>1200</v>
      </c>
      <c r="BZ48" s="3"/>
      <c r="CA48" s="3" t="s">
        <v>310</v>
      </c>
      <c r="CB48" s="3"/>
      <c r="CC48" s="3" t="s">
        <v>80</v>
      </c>
      <c r="CD48" s="3">
        <v>7945</v>
      </c>
      <c r="CE48" s="3" t="s">
        <v>90</v>
      </c>
      <c r="CF48" s="4">
        <v>44784</v>
      </c>
      <c r="CG48" s="3"/>
      <c r="CH48" s="3"/>
      <c r="CI48" s="8">
        <v>2</v>
      </c>
      <c r="CJ48" s="8">
        <v>2</v>
      </c>
      <c r="CK48" s="8">
        <v>41</v>
      </c>
      <c r="CL48" s="3" t="s">
        <v>85</v>
      </c>
      <c r="CM48" s="3"/>
      <c r="CN48" s="3"/>
    </row>
    <row r="49" spans="1:92" x14ac:dyDescent="0.3">
      <c r="A49" s="3" t="s">
        <v>72</v>
      </c>
      <c r="B49" s="3" t="s">
        <v>73</v>
      </c>
      <c r="C49" s="3" t="s">
        <v>74</v>
      </c>
      <c r="D49" s="3"/>
      <c r="E49" s="11" t="str">
        <f>"009942558728"</f>
        <v>009942558728</v>
      </c>
      <c r="F49" s="4">
        <v>44781</v>
      </c>
      <c r="G49" s="3">
        <v>202305</v>
      </c>
      <c r="H49" s="3" t="s">
        <v>79</v>
      </c>
      <c r="I49" s="3" t="s">
        <v>80</v>
      </c>
      <c r="J49" s="3" t="s">
        <v>94</v>
      </c>
      <c r="K49" s="3" t="s">
        <v>78</v>
      </c>
      <c r="L49" s="3" t="s">
        <v>311</v>
      </c>
      <c r="M49" s="3" t="s">
        <v>312</v>
      </c>
      <c r="N49" s="3" t="s">
        <v>313</v>
      </c>
      <c r="O49" s="3" t="s">
        <v>95</v>
      </c>
      <c r="P49" s="3" t="str">
        <f>"184742                        "</f>
        <v xml:space="preserve">184742           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5.25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60.2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1</v>
      </c>
      <c r="BI49" s="3">
        <v>2.4</v>
      </c>
      <c r="BJ49" s="3">
        <v>11.7</v>
      </c>
      <c r="BK49" s="3">
        <v>12</v>
      </c>
      <c r="BL49" s="3">
        <v>149.65</v>
      </c>
      <c r="BM49" s="3">
        <v>22.45</v>
      </c>
      <c r="BN49" s="3">
        <v>172.1</v>
      </c>
      <c r="BO49" s="3">
        <v>172.1</v>
      </c>
      <c r="BP49" s="3"/>
      <c r="BQ49" s="3"/>
      <c r="BR49" s="3" t="s">
        <v>96</v>
      </c>
      <c r="BS49" s="4">
        <v>44783</v>
      </c>
      <c r="BT49" s="5">
        <v>0.625</v>
      </c>
      <c r="BU49" s="3" t="s">
        <v>314</v>
      </c>
      <c r="BV49" s="3" t="s">
        <v>99</v>
      </c>
      <c r="BW49" s="3"/>
      <c r="BX49" s="3"/>
      <c r="BY49" s="3">
        <v>58344.3</v>
      </c>
      <c r="BZ49" s="3" t="s">
        <v>105</v>
      </c>
      <c r="CA49" s="3" t="s">
        <v>315</v>
      </c>
      <c r="CB49" s="3"/>
      <c r="CC49" s="3" t="s">
        <v>312</v>
      </c>
      <c r="CD49" s="3">
        <v>4302</v>
      </c>
      <c r="CE49" s="3" t="s">
        <v>90</v>
      </c>
      <c r="CF49" s="4">
        <v>44783</v>
      </c>
      <c r="CG49" s="3"/>
      <c r="CH49" s="3"/>
      <c r="CI49" s="8">
        <v>3</v>
      </c>
      <c r="CJ49" s="8">
        <v>2</v>
      </c>
      <c r="CK49" s="8">
        <v>41</v>
      </c>
      <c r="CL49" s="3" t="s">
        <v>85</v>
      </c>
      <c r="CM49" s="3"/>
      <c r="CN49" s="3"/>
    </row>
    <row r="50" spans="1:92" x14ac:dyDescent="0.3">
      <c r="A50" s="3" t="s">
        <v>72</v>
      </c>
      <c r="B50" s="3" t="s">
        <v>73</v>
      </c>
      <c r="C50" s="3" t="s">
        <v>74</v>
      </c>
      <c r="D50" s="3"/>
      <c r="E50" s="11" t="str">
        <f>"009942558725"</f>
        <v>009942558725</v>
      </c>
      <c r="F50" s="4">
        <v>44781</v>
      </c>
      <c r="G50" s="3">
        <v>202305</v>
      </c>
      <c r="H50" s="3" t="s">
        <v>79</v>
      </c>
      <c r="I50" s="3" t="s">
        <v>80</v>
      </c>
      <c r="J50" s="3" t="s">
        <v>94</v>
      </c>
      <c r="K50" s="3" t="s">
        <v>78</v>
      </c>
      <c r="L50" s="3" t="s">
        <v>125</v>
      </c>
      <c r="M50" s="3" t="s">
        <v>126</v>
      </c>
      <c r="N50" s="3" t="s">
        <v>316</v>
      </c>
      <c r="O50" s="3" t="s">
        <v>109</v>
      </c>
      <c r="P50" s="3" t="str">
        <f>"8974                          "</f>
        <v xml:space="preserve">8974             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72.97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1.9</v>
      </c>
      <c r="BJ50" s="3">
        <v>4.4000000000000004</v>
      </c>
      <c r="BK50" s="3">
        <v>5</v>
      </c>
      <c r="BL50" s="3">
        <v>175.02</v>
      </c>
      <c r="BM50" s="3">
        <v>26.25</v>
      </c>
      <c r="BN50" s="3">
        <v>201.27</v>
      </c>
      <c r="BO50" s="3">
        <v>201.27</v>
      </c>
      <c r="BP50" s="3"/>
      <c r="BQ50" s="3" t="s">
        <v>317</v>
      </c>
      <c r="BR50" s="3" t="s">
        <v>96</v>
      </c>
      <c r="BS50" s="4">
        <v>44784</v>
      </c>
      <c r="BT50" s="5">
        <v>0.42499999999999999</v>
      </c>
      <c r="BU50" s="3" t="s">
        <v>318</v>
      </c>
      <c r="BV50" s="3" t="s">
        <v>85</v>
      </c>
      <c r="BW50" s="3" t="s">
        <v>319</v>
      </c>
      <c r="BX50" s="3" t="s">
        <v>237</v>
      </c>
      <c r="BY50" s="3">
        <v>22208.799999999999</v>
      </c>
      <c r="BZ50" s="3" t="s">
        <v>105</v>
      </c>
      <c r="CA50" s="3" t="s">
        <v>320</v>
      </c>
      <c r="CB50" s="3"/>
      <c r="CC50" s="3" t="s">
        <v>126</v>
      </c>
      <c r="CD50" s="3">
        <v>2195</v>
      </c>
      <c r="CE50" s="3" t="s">
        <v>90</v>
      </c>
      <c r="CF50" s="4">
        <v>44784</v>
      </c>
      <c r="CG50" s="3"/>
      <c r="CH50" s="3"/>
      <c r="CI50" s="8">
        <v>1</v>
      </c>
      <c r="CJ50" s="8">
        <v>3</v>
      </c>
      <c r="CK50" s="8">
        <v>31</v>
      </c>
      <c r="CL50" s="3" t="s">
        <v>85</v>
      </c>
      <c r="CM50" s="3"/>
      <c r="CN50" s="3"/>
    </row>
    <row r="51" spans="1:92" x14ac:dyDescent="0.3">
      <c r="A51" s="3" t="s">
        <v>72</v>
      </c>
      <c r="B51" s="3" t="s">
        <v>73</v>
      </c>
      <c r="C51" s="3" t="s">
        <v>74</v>
      </c>
      <c r="D51" s="3"/>
      <c r="E51" s="11" t="str">
        <f>"009942558727"</f>
        <v>009942558727</v>
      </c>
      <c r="F51" s="4">
        <v>44781</v>
      </c>
      <c r="G51" s="3">
        <v>202305</v>
      </c>
      <c r="H51" s="3" t="s">
        <v>79</v>
      </c>
      <c r="I51" s="3" t="s">
        <v>80</v>
      </c>
      <c r="J51" s="3" t="s">
        <v>94</v>
      </c>
      <c r="K51" s="3" t="s">
        <v>78</v>
      </c>
      <c r="L51" s="3" t="s">
        <v>79</v>
      </c>
      <c r="M51" s="3" t="s">
        <v>80</v>
      </c>
      <c r="N51" s="3" t="s">
        <v>321</v>
      </c>
      <c r="O51" s="3" t="s">
        <v>95</v>
      </c>
      <c r="P51" s="3" t="str">
        <f>"184731                        "</f>
        <v xml:space="preserve">184731            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5.25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60.04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1</v>
      </c>
      <c r="BI51" s="3">
        <v>2.4</v>
      </c>
      <c r="BJ51" s="3">
        <v>24.6</v>
      </c>
      <c r="BK51" s="3">
        <v>25</v>
      </c>
      <c r="BL51" s="3">
        <v>149.26</v>
      </c>
      <c r="BM51" s="3">
        <v>22.39</v>
      </c>
      <c r="BN51" s="3">
        <v>171.65</v>
      </c>
      <c r="BO51" s="3">
        <v>171.65</v>
      </c>
      <c r="BP51" s="3"/>
      <c r="BQ51" s="3"/>
      <c r="BR51" s="3" t="s">
        <v>96</v>
      </c>
      <c r="BS51" s="4">
        <v>44783</v>
      </c>
      <c r="BT51" s="5">
        <v>0.75694444444444453</v>
      </c>
      <c r="BU51" s="3" t="s">
        <v>322</v>
      </c>
      <c r="BV51" s="3" t="s">
        <v>85</v>
      </c>
      <c r="BW51" s="3" t="s">
        <v>86</v>
      </c>
      <c r="BX51" s="3" t="s">
        <v>323</v>
      </c>
      <c r="BY51" s="3">
        <v>122839.36</v>
      </c>
      <c r="BZ51" s="3" t="s">
        <v>105</v>
      </c>
      <c r="CA51" s="3" t="s">
        <v>324</v>
      </c>
      <c r="CB51" s="3"/>
      <c r="CC51" s="3" t="s">
        <v>80</v>
      </c>
      <c r="CD51" s="3">
        <v>7945</v>
      </c>
      <c r="CE51" s="3" t="s">
        <v>90</v>
      </c>
      <c r="CF51" s="4">
        <v>44784</v>
      </c>
      <c r="CG51" s="3"/>
      <c r="CH51" s="3"/>
      <c r="CI51" s="8">
        <v>1</v>
      </c>
      <c r="CJ51" s="8">
        <v>2</v>
      </c>
      <c r="CK51" s="8">
        <v>42</v>
      </c>
      <c r="CL51" s="3" t="s">
        <v>85</v>
      </c>
      <c r="CM51" s="3"/>
      <c r="CN51" s="3"/>
    </row>
    <row r="52" spans="1:92" x14ac:dyDescent="0.3">
      <c r="A52" s="3" t="s">
        <v>72</v>
      </c>
      <c r="B52" s="3" t="s">
        <v>73</v>
      </c>
      <c r="C52" s="3" t="s">
        <v>74</v>
      </c>
      <c r="D52" s="3"/>
      <c r="E52" s="11" t="str">
        <f>"009942558726"</f>
        <v>009942558726</v>
      </c>
      <c r="F52" s="4">
        <v>44781</v>
      </c>
      <c r="G52" s="3">
        <v>202305</v>
      </c>
      <c r="H52" s="3" t="s">
        <v>79</v>
      </c>
      <c r="I52" s="3" t="s">
        <v>80</v>
      </c>
      <c r="J52" s="3" t="s">
        <v>94</v>
      </c>
      <c r="K52" s="3" t="s">
        <v>78</v>
      </c>
      <c r="L52" s="3" t="s">
        <v>325</v>
      </c>
      <c r="M52" s="3" t="s">
        <v>326</v>
      </c>
      <c r="N52" s="3" t="s">
        <v>327</v>
      </c>
      <c r="O52" s="3" t="s">
        <v>109</v>
      </c>
      <c r="P52" s="3" t="str">
        <f>"184727                        "</f>
        <v xml:space="preserve">184727           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58.37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1</v>
      </c>
      <c r="BI52" s="3">
        <v>0.4</v>
      </c>
      <c r="BJ52" s="3">
        <v>2</v>
      </c>
      <c r="BK52" s="3">
        <v>2</v>
      </c>
      <c r="BL52" s="3">
        <v>140.01</v>
      </c>
      <c r="BM52" s="3">
        <v>21</v>
      </c>
      <c r="BN52" s="3">
        <v>161.01</v>
      </c>
      <c r="BO52" s="3">
        <v>161.01</v>
      </c>
      <c r="BP52" s="3"/>
      <c r="BQ52" s="3"/>
      <c r="BR52" s="3" t="s">
        <v>96</v>
      </c>
      <c r="BS52" s="4">
        <v>44783</v>
      </c>
      <c r="BT52" s="5">
        <v>0.33958333333333335</v>
      </c>
      <c r="BU52" s="3" t="s">
        <v>328</v>
      </c>
      <c r="BV52" s="3" t="s">
        <v>99</v>
      </c>
      <c r="BW52" s="3"/>
      <c r="BX52" s="3"/>
      <c r="BY52" s="3">
        <v>9983.61</v>
      </c>
      <c r="BZ52" s="3" t="s">
        <v>105</v>
      </c>
      <c r="CA52" s="3" t="s">
        <v>329</v>
      </c>
      <c r="CB52" s="3"/>
      <c r="CC52" s="3" t="s">
        <v>326</v>
      </c>
      <c r="CD52" s="3">
        <v>1709</v>
      </c>
      <c r="CE52" s="3" t="s">
        <v>90</v>
      </c>
      <c r="CF52" s="4">
        <v>44784</v>
      </c>
      <c r="CG52" s="3"/>
      <c r="CH52" s="3"/>
      <c r="CI52" s="8">
        <v>1</v>
      </c>
      <c r="CJ52" s="8">
        <v>2</v>
      </c>
      <c r="CK52" s="8">
        <v>31</v>
      </c>
      <c r="CL52" s="3" t="s">
        <v>85</v>
      </c>
      <c r="CM52" s="3"/>
      <c r="CN52" s="3"/>
    </row>
    <row r="53" spans="1:92" x14ac:dyDescent="0.3">
      <c r="A53" s="3" t="s">
        <v>72</v>
      </c>
      <c r="B53" s="3" t="s">
        <v>73</v>
      </c>
      <c r="C53" s="3" t="s">
        <v>74</v>
      </c>
      <c r="D53" s="3"/>
      <c r="E53" s="11" t="str">
        <f>"009942558731"</f>
        <v>009942558731</v>
      </c>
      <c r="F53" s="4">
        <v>44783</v>
      </c>
      <c r="G53" s="3">
        <v>202305</v>
      </c>
      <c r="H53" s="3" t="s">
        <v>79</v>
      </c>
      <c r="I53" s="3" t="s">
        <v>80</v>
      </c>
      <c r="J53" s="3" t="s">
        <v>94</v>
      </c>
      <c r="K53" s="3" t="s">
        <v>78</v>
      </c>
      <c r="L53" s="3" t="s">
        <v>125</v>
      </c>
      <c r="M53" s="3" t="s">
        <v>126</v>
      </c>
      <c r="N53" s="3" t="s">
        <v>93</v>
      </c>
      <c r="O53" s="3" t="s">
        <v>109</v>
      </c>
      <c r="P53" s="3" t="str">
        <f>"INV184789                     "</f>
        <v xml:space="preserve">INV184789        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87.56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1</v>
      </c>
      <c r="BI53" s="3">
        <v>1.7</v>
      </c>
      <c r="BJ53" s="3">
        <v>5.9</v>
      </c>
      <c r="BK53" s="3">
        <v>6</v>
      </c>
      <c r="BL53" s="3">
        <v>210.02</v>
      </c>
      <c r="BM53" s="3">
        <v>31.5</v>
      </c>
      <c r="BN53" s="3">
        <v>241.52</v>
      </c>
      <c r="BO53" s="3">
        <v>241.52</v>
      </c>
      <c r="BP53" s="3"/>
      <c r="BQ53" s="3" t="s">
        <v>330</v>
      </c>
      <c r="BR53" s="3" t="s">
        <v>96</v>
      </c>
      <c r="BS53" s="4">
        <v>44784</v>
      </c>
      <c r="BT53" s="5">
        <v>0.33749999999999997</v>
      </c>
      <c r="BU53" s="3" t="s">
        <v>331</v>
      </c>
      <c r="BV53" s="3" t="s">
        <v>99</v>
      </c>
      <c r="BW53" s="3"/>
      <c r="BX53" s="3"/>
      <c r="BY53" s="3">
        <v>29681.040000000001</v>
      </c>
      <c r="BZ53" s="3" t="s">
        <v>105</v>
      </c>
      <c r="CA53" s="3" t="s">
        <v>238</v>
      </c>
      <c r="CB53" s="3"/>
      <c r="CC53" s="3" t="s">
        <v>126</v>
      </c>
      <c r="CD53" s="3">
        <v>2196</v>
      </c>
      <c r="CE53" s="3" t="s">
        <v>90</v>
      </c>
      <c r="CF53" s="4">
        <v>44784</v>
      </c>
      <c r="CG53" s="3"/>
      <c r="CH53" s="3"/>
      <c r="CI53" s="8">
        <v>1</v>
      </c>
      <c r="CJ53" s="8">
        <v>1</v>
      </c>
      <c r="CK53" s="8">
        <v>31</v>
      </c>
      <c r="CL53" s="3" t="s">
        <v>85</v>
      </c>
      <c r="CM53" s="3"/>
      <c r="CN53" s="3"/>
    </row>
    <row r="54" spans="1:92" x14ac:dyDescent="0.3">
      <c r="A54" s="3" t="s">
        <v>72</v>
      </c>
      <c r="B54" s="3" t="s">
        <v>73</v>
      </c>
      <c r="C54" s="3" t="s">
        <v>74</v>
      </c>
      <c r="D54" s="3"/>
      <c r="E54" s="11" t="str">
        <f>"009942558732"</f>
        <v>009942558732</v>
      </c>
      <c r="F54" s="4">
        <v>44783</v>
      </c>
      <c r="G54" s="3">
        <v>202305</v>
      </c>
      <c r="H54" s="3" t="s">
        <v>79</v>
      </c>
      <c r="I54" s="3" t="s">
        <v>80</v>
      </c>
      <c r="J54" s="3" t="s">
        <v>94</v>
      </c>
      <c r="K54" s="3" t="s">
        <v>78</v>
      </c>
      <c r="L54" s="3" t="s">
        <v>332</v>
      </c>
      <c r="M54" s="3" t="s">
        <v>333</v>
      </c>
      <c r="N54" s="3" t="s">
        <v>334</v>
      </c>
      <c r="O54" s="3" t="s">
        <v>95</v>
      </c>
      <c r="P54" s="3" t="str">
        <f>"INV184798                     "</f>
        <v xml:space="preserve">INV184798              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5.25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70.13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3.5</v>
      </c>
      <c r="BJ54" s="3">
        <v>18.2</v>
      </c>
      <c r="BK54" s="3">
        <v>19</v>
      </c>
      <c r="BL54" s="3">
        <v>173.46</v>
      </c>
      <c r="BM54" s="3">
        <v>26.02</v>
      </c>
      <c r="BN54" s="3">
        <v>199.48</v>
      </c>
      <c r="BO54" s="3">
        <v>199.48</v>
      </c>
      <c r="BP54" s="3"/>
      <c r="BQ54" s="3" t="s">
        <v>335</v>
      </c>
      <c r="BR54" s="3" t="s">
        <v>96</v>
      </c>
      <c r="BS54" s="4">
        <v>44785</v>
      </c>
      <c r="BT54" s="5">
        <v>0.34375</v>
      </c>
      <c r="BU54" s="3" t="s">
        <v>336</v>
      </c>
      <c r="BV54" s="3" t="s">
        <v>99</v>
      </c>
      <c r="BW54" s="3"/>
      <c r="BX54" s="3"/>
      <c r="BY54" s="3">
        <v>91203</v>
      </c>
      <c r="BZ54" s="3" t="s">
        <v>105</v>
      </c>
      <c r="CA54" s="3" t="s">
        <v>337</v>
      </c>
      <c r="CB54" s="3"/>
      <c r="CC54" s="3" t="s">
        <v>333</v>
      </c>
      <c r="CD54" s="3">
        <v>1500</v>
      </c>
      <c r="CE54" s="3" t="s">
        <v>90</v>
      </c>
      <c r="CF54" s="4">
        <v>44786</v>
      </c>
      <c r="CG54" s="3"/>
      <c r="CH54" s="3"/>
      <c r="CI54" s="8">
        <v>2</v>
      </c>
      <c r="CJ54" s="8">
        <v>2</v>
      </c>
      <c r="CK54" s="8">
        <v>41</v>
      </c>
      <c r="CL54" s="3" t="s">
        <v>85</v>
      </c>
      <c r="CM54" s="3"/>
      <c r="CN54" s="3"/>
    </row>
    <row r="55" spans="1:92" x14ac:dyDescent="0.3">
      <c r="A55" s="3" t="s">
        <v>72</v>
      </c>
      <c r="B55" s="3" t="s">
        <v>73</v>
      </c>
      <c r="C55" s="3" t="s">
        <v>74</v>
      </c>
      <c r="D55" s="3"/>
      <c r="E55" s="11" t="str">
        <f>"009942558730"</f>
        <v>009942558730</v>
      </c>
      <c r="F55" s="4">
        <v>44783</v>
      </c>
      <c r="G55" s="3">
        <v>202305</v>
      </c>
      <c r="H55" s="3" t="s">
        <v>79</v>
      </c>
      <c r="I55" s="3" t="s">
        <v>80</v>
      </c>
      <c r="J55" s="3" t="s">
        <v>94</v>
      </c>
      <c r="K55" s="3" t="s">
        <v>78</v>
      </c>
      <c r="L55" s="3" t="s">
        <v>75</v>
      </c>
      <c r="M55" s="3" t="s">
        <v>76</v>
      </c>
      <c r="N55" s="3" t="s">
        <v>93</v>
      </c>
      <c r="O55" s="3" t="s">
        <v>95</v>
      </c>
      <c r="P55" s="3" t="str">
        <f>"INV184787                     "</f>
        <v xml:space="preserve">INV184787        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5.25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60.2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0.3</v>
      </c>
      <c r="BJ55" s="3">
        <v>1.8</v>
      </c>
      <c r="BK55" s="3">
        <v>2</v>
      </c>
      <c r="BL55" s="3">
        <v>149.65</v>
      </c>
      <c r="BM55" s="3">
        <v>22.45</v>
      </c>
      <c r="BN55" s="3">
        <v>172.1</v>
      </c>
      <c r="BO55" s="3">
        <v>172.1</v>
      </c>
      <c r="BP55" s="3"/>
      <c r="BQ55" s="3" t="s">
        <v>83</v>
      </c>
      <c r="BR55" s="3" t="s">
        <v>96</v>
      </c>
      <c r="BS55" s="4">
        <v>44785</v>
      </c>
      <c r="BT55" s="5">
        <v>0.4381944444444445</v>
      </c>
      <c r="BU55" s="3" t="s">
        <v>338</v>
      </c>
      <c r="BV55" s="3" t="s">
        <v>99</v>
      </c>
      <c r="BW55" s="3"/>
      <c r="BX55" s="3"/>
      <c r="BY55" s="3">
        <v>9055.73</v>
      </c>
      <c r="BZ55" s="3" t="s">
        <v>105</v>
      </c>
      <c r="CA55" s="3" t="s">
        <v>339</v>
      </c>
      <c r="CB55" s="3"/>
      <c r="CC55" s="3" t="s">
        <v>76</v>
      </c>
      <c r="CD55" s="3">
        <v>3201</v>
      </c>
      <c r="CE55" s="3" t="s">
        <v>90</v>
      </c>
      <c r="CF55" s="4">
        <v>44789</v>
      </c>
      <c r="CG55" s="3"/>
      <c r="CH55" s="3"/>
      <c r="CI55" s="8">
        <v>3</v>
      </c>
      <c r="CJ55" s="8">
        <v>2</v>
      </c>
      <c r="CK55" s="8">
        <v>41</v>
      </c>
      <c r="CL55" s="3" t="s">
        <v>85</v>
      </c>
      <c r="CM55" s="3"/>
      <c r="CN55" s="3"/>
    </row>
    <row r="56" spans="1:92" x14ac:dyDescent="0.3">
      <c r="A56" s="3" t="s">
        <v>72</v>
      </c>
      <c r="B56" s="3" t="s">
        <v>73</v>
      </c>
      <c r="C56" s="3" t="s">
        <v>74</v>
      </c>
      <c r="D56" s="3"/>
      <c r="E56" s="11" t="str">
        <f>"009942558735"</f>
        <v>009942558735</v>
      </c>
      <c r="F56" s="4">
        <v>44783</v>
      </c>
      <c r="G56" s="3">
        <v>202305</v>
      </c>
      <c r="H56" s="3" t="s">
        <v>79</v>
      </c>
      <c r="I56" s="3" t="s">
        <v>80</v>
      </c>
      <c r="J56" s="3" t="s">
        <v>94</v>
      </c>
      <c r="K56" s="3" t="s">
        <v>78</v>
      </c>
      <c r="L56" s="3" t="s">
        <v>296</v>
      </c>
      <c r="M56" s="3" t="s">
        <v>297</v>
      </c>
      <c r="N56" s="3" t="s">
        <v>340</v>
      </c>
      <c r="O56" s="3" t="s">
        <v>109</v>
      </c>
      <c r="P56" s="3" t="str">
        <f>"AVO20313                      "</f>
        <v xml:space="preserve">AVO20313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43.79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1</v>
      </c>
      <c r="BI56" s="3">
        <v>0.3</v>
      </c>
      <c r="BJ56" s="3">
        <v>2.6</v>
      </c>
      <c r="BK56" s="3">
        <v>3</v>
      </c>
      <c r="BL56" s="3">
        <v>105.03</v>
      </c>
      <c r="BM56" s="3">
        <v>15.75</v>
      </c>
      <c r="BN56" s="3">
        <v>120.78</v>
      </c>
      <c r="BO56" s="3">
        <v>120.78</v>
      </c>
      <c r="BP56" s="3" t="s">
        <v>341</v>
      </c>
      <c r="BQ56" s="3" t="s">
        <v>342</v>
      </c>
      <c r="BR56" s="3" t="s">
        <v>96</v>
      </c>
      <c r="BS56" s="4">
        <v>44784</v>
      </c>
      <c r="BT56" s="5">
        <v>0.34722222222222227</v>
      </c>
      <c r="BU56" s="3" t="s">
        <v>343</v>
      </c>
      <c r="BV56" s="3" t="s">
        <v>99</v>
      </c>
      <c r="BW56" s="3"/>
      <c r="BX56" s="3"/>
      <c r="BY56" s="3">
        <v>13244</v>
      </c>
      <c r="BZ56" s="3" t="s">
        <v>105</v>
      </c>
      <c r="CA56" s="3" t="s">
        <v>344</v>
      </c>
      <c r="CB56" s="3"/>
      <c r="CC56" s="3" t="s">
        <v>297</v>
      </c>
      <c r="CD56" s="3">
        <v>7134</v>
      </c>
      <c r="CE56" s="3" t="s">
        <v>90</v>
      </c>
      <c r="CF56" s="4">
        <v>44785</v>
      </c>
      <c r="CG56" s="3"/>
      <c r="CH56" s="3"/>
      <c r="CI56" s="8">
        <v>1</v>
      </c>
      <c r="CJ56" s="8">
        <v>1</v>
      </c>
      <c r="CK56" s="8">
        <v>34</v>
      </c>
      <c r="CL56" s="3" t="s">
        <v>85</v>
      </c>
      <c r="CM56" s="3"/>
      <c r="CN56" s="3"/>
    </row>
    <row r="57" spans="1:92" x14ac:dyDescent="0.3">
      <c r="A57" s="3" t="s">
        <v>72</v>
      </c>
      <c r="B57" s="3" t="s">
        <v>73</v>
      </c>
      <c r="C57" s="3" t="s">
        <v>74</v>
      </c>
      <c r="D57" s="3"/>
      <c r="E57" s="11" t="str">
        <f>"009942558729"</f>
        <v>009942558729</v>
      </c>
      <c r="F57" s="4">
        <v>44783</v>
      </c>
      <c r="G57" s="3">
        <v>202305</v>
      </c>
      <c r="H57" s="3" t="s">
        <v>79</v>
      </c>
      <c r="I57" s="3" t="s">
        <v>80</v>
      </c>
      <c r="J57" s="3" t="s">
        <v>94</v>
      </c>
      <c r="K57" s="3" t="s">
        <v>78</v>
      </c>
      <c r="L57" s="3" t="s">
        <v>120</v>
      </c>
      <c r="M57" s="3" t="s">
        <v>121</v>
      </c>
      <c r="N57" s="3" t="s">
        <v>93</v>
      </c>
      <c r="O57" s="3" t="s">
        <v>109</v>
      </c>
      <c r="P57" s="3" t="str">
        <f>"INV184783                     "</f>
        <v xml:space="preserve">INV184783   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58.37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1</v>
      </c>
      <c r="BI57" s="3">
        <v>0.2</v>
      </c>
      <c r="BJ57" s="3">
        <v>1.5</v>
      </c>
      <c r="BK57" s="3">
        <v>2</v>
      </c>
      <c r="BL57" s="3">
        <v>140.01</v>
      </c>
      <c r="BM57" s="3">
        <v>21</v>
      </c>
      <c r="BN57" s="3">
        <v>161.01</v>
      </c>
      <c r="BO57" s="3">
        <v>161.01</v>
      </c>
      <c r="BP57" s="3"/>
      <c r="BQ57" s="3" t="s">
        <v>345</v>
      </c>
      <c r="BR57" s="3" t="s">
        <v>96</v>
      </c>
      <c r="BS57" s="4">
        <v>44784</v>
      </c>
      <c r="BT57" s="5">
        <v>0.38194444444444442</v>
      </c>
      <c r="BU57" s="3" t="s">
        <v>346</v>
      </c>
      <c r="BV57" s="3" t="s">
        <v>99</v>
      </c>
      <c r="BW57" s="3"/>
      <c r="BX57" s="3"/>
      <c r="BY57" s="3">
        <v>7720.23</v>
      </c>
      <c r="BZ57" s="3" t="s">
        <v>105</v>
      </c>
      <c r="CA57" s="3" t="s">
        <v>347</v>
      </c>
      <c r="CB57" s="3"/>
      <c r="CC57" s="3" t="s">
        <v>121</v>
      </c>
      <c r="CD57" s="3">
        <v>1</v>
      </c>
      <c r="CE57" s="3" t="s">
        <v>90</v>
      </c>
      <c r="CF57" s="4">
        <v>44784</v>
      </c>
      <c r="CG57" s="3"/>
      <c r="CH57" s="3"/>
      <c r="CI57" s="8">
        <v>1</v>
      </c>
      <c r="CJ57" s="8">
        <v>1</v>
      </c>
      <c r="CK57" s="8">
        <v>31</v>
      </c>
      <c r="CL57" s="3" t="s">
        <v>85</v>
      </c>
      <c r="CM57" s="3"/>
      <c r="CN57" s="3"/>
    </row>
    <row r="58" spans="1:92" x14ac:dyDescent="0.3">
      <c r="A58" s="3" t="s">
        <v>72</v>
      </c>
      <c r="B58" s="3" t="s">
        <v>73</v>
      </c>
      <c r="C58" s="3" t="s">
        <v>74</v>
      </c>
      <c r="D58" s="3"/>
      <c r="E58" s="11" t="str">
        <f>"009942558733"</f>
        <v>009942558733</v>
      </c>
      <c r="F58" s="4">
        <v>44783</v>
      </c>
      <c r="G58" s="3">
        <v>202305</v>
      </c>
      <c r="H58" s="3" t="s">
        <v>79</v>
      </c>
      <c r="I58" s="3" t="s">
        <v>80</v>
      </c>
      <c r="J58" s="3" t="s">
        <v>94</v>
      </c>
      <c r="K58" s="3" t="s">
        <v>78</v>
      </c>
      <c r="L58" s="3" t="s">
        <v>228</v>
      </c>
      <c r="M58" s="3" t="s">
        <v>229</v>
      </c>
      <c r="N58" s="3" t="s">
        <v>93</v>
      </c>
      <c r="O58" s="3" t="s">
        <v>109</v>
      </c>
      <c r="P58" s="3" t="str">
        <f>"INV184802                     "</f>
        <v xml:space="preserve">INV184802        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58.37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0.1</v>
      </c>
      <c r="BJ58" s="3">
        <v>1.6</v>
      </c>
      <c r="BK58" s="3">
        <v>2</v>
      </c>
      <c r="BL58" s="3">
        <v>140.01</v>
      </c>
      <c r="BM58" s="3">
        <v>21</v>
      </c>
      <c r="BN58" s="3">
        <v>161.01</v>
      </c>
      <c r="BO58" s="3">
        <v>161.01</v>
      </c>
      <c r="BP58" s="3"/>
      <c r="BQ58" s="3" t="s">
        <v>348</v>
      </c>
      <c r="BR58" s="3" t="s">
        <v>96</v>
      </c>
      <c r="BS58" s="4">
        <v>44785</v>
      </c>
      <c r="BT58" s="5">
        <v>0.50486111111111109</v>
      </c>
      <c r="BU58" s="3" t="s">
        <v>349</v>
      </c>
      <c r="BV58" s="3" t="s">
        <v>85</v>
      </c>
      <c r="BW58" s="3" t="s">
        <v>236</v>
      </c>
      <c r="BX58" s="3" t="s">
        <v>350</v>
      </c>
      <c r="BY58" s="3">
        <v>7757.89</v>
      </c>
      <c r="BZ58" s="3" t="s">
        <v>105</v>
      </c>
      <c r="CA58" s="3" t="s">
        <v>351</v>
      </c>
      <c r="CB58" s="3"/>
      <c r="CC58" s="3" t="s">
        <v>229</v>
      </c>
      <c r="CD58" s="3">
        <v>2194</v>
      </c>
      <c r="CE58" s="3" t="s">
        <v>90</v>
      </c>
      <c r="CF58" s="4">
        <v>44785</v>
      </c>
      <c r="CG58" s="3"/>
      <c r="CH58" s="3"/>
      <c r="CI58" s="8">
        <v>1</v>
      </c>
      <c r="CJ58" s="8">
        <v>2</v>
      </c>
      <c r="CK58" s="8">
        <v>31</v>
      </c>
      <c r="CL58" s="3" t="s">
        <v>85</v>
      </c>
      <c r="CM58" s="3"/>
      <c r="CN58" s="3"/>
    </row>
    <row r="59" spans="1:92" x14ac:dyDescent="0.3">
      <c r="A59" s="3" t="s">
        <v>72</v>
      </c>
      <c r="B59" s="3" t="s">
        <v>73</v>
      </c>
      <c r="C59" s="3" t="s">
        <v>74</v>
      </c>
      <c r="D59" s="3"/>
      <c r="E59" s="11" t="str">
        <f>"009942558734"</f>
        <v>009942558734</v>
      </c>
      <c r="F59" s="4">
        <v>44783</v>
      </c>
      <c r="G59" s="3">
        <v>202305</v>
      </c>
      <c r="H59" s="3" t="s">
        <v>79</v>
      </c>
      <c r="I59" s="3" t="s">
        <v>80</v>
      </c>
      <c r="J59" s="3" t="s">
        <v>94</v>
      </c>
      <c r="K59" s="3" t="s">
        <v>78</v>
      </c>
      <c r="L59" s="3" t="s">
        <v>352</v>
      </c>
      <c r="M59" s="3" t="s">
        <v>353</v>
      </c>
      <c r="N59" s="3" t="s">
        <v>93</v>
      </c>
      <c r="O59" s="3" t="s">
        <v>95</v>
      </c>
      <c r="P59" s="3" t="str">
        <f>"INV184820                     "</f>
        <v xml:space="preserve">INV184820   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5.25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84.91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1</v>
      </c>
      <c r="BI59" s="3">
        <v>0.1</v>
      </c>
      <c r="BJ59" s="3">
        <v>1.6</v>
      </c>
      <c r="BK59" s="3">
        <v>2</v>
      </c>
      <c r="BL59" s="3">
        <v>208.91</v>
      </c>
      <c r="BM59" s="3">
        <v>31.34</v>
      </c>
      <c r="BN59" s="3">
        <v>240.25</v>
      </c>
      <c r="BO59" s="3">
        <v>240.25</v>
      </c>
      <c r="BP59" s="3"/>
      <c r="BQ59" s="3" t="s">
        <v>354</v>
      </c>
      <c r="BR59" s="3" t="s">
        <v>96</v>
      </c>
      <c r="BS59" s="4">
        <v>44788</v>
      </c>
      <c r="BT59" s="5">
        <v>0.69027777777777777</v>
      </c>
      <c r="BU59" s="3" t="s">
        <v>355</v>
      </c>
      <c r="BV59" s="3" t="s">
        <v>99</v>
      </c>
      <c r="BW59" s="3"/>
      <c r="BX59" s="3"/>
      <c r="BY59" s="3">
        <v>7780.5</v>
      </c>
      <c r="BZ59" s="3" t="s">
        <v>105</v>
      </c>
      <c r="CA59" s="3" t="s">
        <v>146</v>
      </c>
      <c r="CB59" s="3"/>
      <c r="CC59" s="3" t="s">
        <v>353</v>
      </c>
      <c r="CD59" s="3">
        <v>8750</v>
      </c>
      <c r="CE59" s="3" t="s">
        <v>90</v>
      </c>
      <c r="CF59" s="4">
        <v>44789</v>
      </c>
      <c r="CG59" s="3"/>
      <c r="CH59" s="3"/>
      <c r="CI59" s="8">
        <v>7</v>
      </c>
      <c r="CJ59" s="8">
        <v>3</v>
      </c>
      <c r="CK59" s="8">
        <v>43</v>
      </c>
      <c r="CL59" s="3" t="s">
        <v>85</v>
      </c>
      <c r="CM59" s="3"/>
      <c r="CN59" s="3"/>
    </row>
    <row r="60" spans="1:92" x14ac:dyDescent="0.3">
      <c r="A60" s="3" t="s">
        <v>72</v>
      </c>
      <c r="B60" s="3" t="s">
        <v>73</v>
      </c>
      <c r="C60" s="3" t="s">
        <v>74</v>
      </c>
      <c r="D60" s="3"/>
      <c r="E60" s="11" t="str">
        <f>"009942583255"</f>
        <v>009942583255</v>
      </c>
      <c r="F60" s="4">
        <v>44783</v>
      </c>
      <c r="G60" s="3">
        <v>202305</v>
      </c>
      <c r="H60" s="3" t="s">
        <v>125</v>
      </c>
      <c r="I60" s="3" t="s">
        <v>126</v>
      </c>
      <c r="J60" s="3" t="s">
        <v>356</v>
      </c>
      <c r="K60" s="3" t="s">
        <v>78</v>
      </c>
      <c r="L60" s="3" t="s">
        <v>79</v>
      </c>
      <c r="M60" s="3" t="s">
        <v>80</v>
      </c>
      <c r="N60" s="3" t="s">
        <v>81</v>
      </c>
      <c r="O60" s="3" t="s">
        <v>82</v>
      </c>
      <c r="P60" s="3" t="str">
        <f>"JNX0218450941                 "</f>
        <v xml:space="preserve">JNX0218450941    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54.47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1</v>
      </c>
      <c r="BI60" s="3">
        <v>0.8</v>
      </c>
      <c r="BJ60" s="3">
        <v>3.1</v>
      </c>
      <c r="BK60" s="3">
        <v>3.5</v>
      </c>
      <c r="BL60" s="3">
        <v>130.65</v>
      </c>
      <c r="BM60" s="3">
        <v>19.600000000000001</v>
      </c>
      <c r="BN60" s="3">
        <v>150.25</v>
      </c>
      <c r="BO60" s="3">
        <v>150.25</v>
      </c>
      <c r="BP60" s="3"/>
      <c r="BQ60" s="3" t="s">
        <v>291</v>
      </c>
      <c r="BR60" s="3" t="s">
        <v>357</v>
      </c>
      <c r="BS60" s="4">
        <v>44784</v>
      </c>
      <c r="BT60" s="5">
        <v>0.41666666666666669</v>
      </c>
      <c r="BU60" s="3" t="s">
        <v>358</v>
      </c>
      <c r="BV60" s="3" t="s">
        <v>99</v>
      </c>
      <c r="BW60" s="3"/>
      <c r="BX60" s="3"/>
      <c r="BY60" s="3">
        <v>15552.42</v>
      </c>
      <c r="BZ60" s="3" t="s">
        <v>24</v>
      </c>
      <c r="CA60" s="3"/>
      <c r="CB60" s="3"/>
      <c r="CC60" s="3" t="s">
        <v>80</v>
      </c>
      <c r="CD60" s="3">
        <v>7945</v>
      </c>
      <c r="CE60" s="3" t="s">
        <v>90</v>
      </c>
      <c r="CF60" s="4">
        <v>44785</v>
      </c>
      <c r="CG60" s="3"/>
      <c r="CH60" s="3"/>
      <c r="CI60" s="8">
        <v>1</v>
      </c>
      <c r="CJ60" s="8">
        <v>1</v>
      </c>
      <c r="CK60" s="8">
        <v>21</v>
      </c>
      <c r="CL60" s="3" t="s">
        <v>85</v>
      </c>
      <c r="CM60" s="3"/>
      <c r="CN60" s="3"/>
    </row>
    <row r="61" spans="1:92" x14ac:dyDescent="0.3">
      <c r="A61" s="3" t="s">
        <v>72</v>
      </c>
      <c r="B61" s="3" t="s">
        <v>73</v>
      </c>
      <c r="C61" s="3" t="s">
        <v>74</v>
      </c>
      <c r="D61" s="3"/>
      <c r="E61" s="11" t="str">
        <f>"009942583253"</f>
        <v>009942583253</v>
      </c>
      <c r="F61" s="4">
        <v>44783</v>
      </c>
      <c r="G61" s="3">
        <v>202305</v>
      </c>
      <c r="H61" s="3" t="s">
        <v>125</v>
      </c>
      <c r="I61" s="3" t="s">
        <v>126</v>
      </c>
      <c r="J61" s="3" t="s">
        <v>356</v>
      </c>
      <c r="K61" s="3" t="s">
        <v>78</v>
      </c>
      <c r="L61" s="3" t="s">
        <v>79</v>
      </c>
      <c r="M61" s="3" t="s">
        <v>80</v>
      </c>
      <c r="N61" s="3" t="s">
        <v>81</v>
      </c>
      <c r="O61" s="3" t="s">
        <v>82</v>
      </c>
      <c r="P61" s="3" t="str">
        <f>"JNX0218450941                 "</f>
        <v xml:space="preserve">JNX0218450941    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54.47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1</v>
      </c>
      <c r="BI61" s="3">
        <v>0.9</v>
      </c>
      <c r="BJ61" s="3">
        <v>3.1</v>
      </c>
      <c r="BK61" s="3">
        <v>3.5</v>
      </c>
      <c r="BL61" s="3">
        <v>130.65</v>
      </c>
      <c r="BM61" s="3">
        <v>19.600000000000001</v>
      </c>
      <c r="BN61" s="3">
        <v>150.25</v>
      </c>
      <c r="BO61" s="3">
        <v>150.25</v>
      </c>
      <c r="BP61" s="3"/>
      <c r="BQ61" s="3" t="s">
        <v>291</v>
      </c>
      <c r="BR61" s="3" t="s">
        <v>357</v>
      </c>
      <c r="BS61" s="4">
        <v>44784</v>
      </c>
      <c r="BT61" s="5">
        <v>0.41666666666666669</v>
      </c>
      <c r="BU61" s="3" t="s">
        <v>358</v>
      </c>
      <c r="BV61" s="3" t="s">
        <v>99</v>
      </c>
      <c r="BW61" s="3"/>
      <c r="BX61" s="3"/>
      <c r="BY61" s="3">
        <v>15586.56</v>
      </c>
      <c r="BZ61" s="3" t="s">
        <v>24</v>
      </c>
      <c r="CA61" s="3"/>
      <c r="CB61" s="3"/>
      <c r="CC61" s="3" t="s">
        <v>80</v>
      </c>
      <c r="CD61" s="3">
        <v>7945</v>
      </c>
      <c r="CE61" s="3" t="s">
        <v>90</v>
      </c>
      <c r="CF61" s="4">
        <v>44785</v>
      </c>
      <c r="CG61" s="3"/>
      <c r="CH61" s="3"/>
      <c r="CI61" s="8">
        <v>1</v>
      </c>
      <c r="CJ61" s="8">
        <v>1</v>
      </c>
      <c r="CK61" s="8">
        <v>21</v>
      </c>
      <c r="CL61" s="3" t="s">
        <v>85</v>
      </c>
      <c r="CM61" s="3"/>
      <c r="CN61" s="3"/>
    </row>
    <row r="62" spans="1:92" x14ac:dyDescent="0.3">
      <c r="A62" s="3" t="s">
        <v>72</v>
      </c>
      <c r="B62" s="3" t="s">
        <v>73</v>
      </c>
      <c r="C62" s="3" t="s">
        <v>74</v>
      </c>
      <c r="D62" s="3"/>
      <c r="E62" s="11" t="str">
        <f>"009942358028"</f>
        <v>009942358028</v>
      </c>
      <c r="F62" s="4">
        <v>44783</v>
      </c>
      <c r="G62" s="3">
        <v>202305</v>
      </c>
      <c r="H62" s="3" t="s">
        <v>79</v>
      </c>
      <c r="I62" s="3" t="s">
        <v>80</v>
      </c>
      <c r="J62" s="3" t="s">
        <v>192</v>
      </c>
      <c r="K62" s="3" t="s">
        <v>78</v>
      </c>
      <c r="L62" s="3" t="s">
        <v>359</v>
      </c>
      <c r="M62" s="3" t="s">
        <v>360</v>
      </c>
      <c r="N62" s="3" t="s">
        <v>361</v>
      </c>
      <c r="O62" s="3" t="s">
        <v>95</v>
      </c>
      <c r="P62" s="3" t="str">
        <f>"JOB11737                      "</f>
        <v xml:space="preserve">JOB11737         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15</v>
      </c>
      <c r="AB62" s="3">
        <v>0</v>
      </c>
      <c r="AC62" s="3">
        <v>0</v>
      </c>
      <c r="AD62" s="3">
        <v>0</v>
      </c>
      <c r="AE62" s="3">
        <v>5.25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245.49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3</v>
      </c>
      <c r="BI62" s="3">
        <v>28.9</v>
      </c>
      <c r="BJ62" s="3">
        <v>51.2</v>
      </c>
      <c r="BK62" s="3">
        <v>52</v>
      </c>
      <c r="BL62" s="3">
        <v>609.08000000000004</v>
      </c>
      <c r="BM62" s="3">
        <v>91.36</v>
      </c>
      <c r="BN62" s="3">
        <v>700.44</v>
      </c>
      <c r="BO62" s="3">
        <v>700.44</v>
      </c>
      <c r="BP62" s="3" t="s">
        <v>362</v>
      </c>
      <c r="BQ62" s="3" t="s">
        <v>363</v>
      </c>
      <c r="BR62" s="3" t="s">
        <v>197</v>
      </c>
      <c r="BS62" s="4">
        <v>44785</v>
      </c>
      <c r="BT62" s="5">
        <v>0.59444444444444444</v>
      </c>
      <c r="BU62" s="3" t="s">
        <v>364</v>
      </c>
      <c r="BV62" s="3" t="s">
        <v>99</v>
      </c>
      <c r="BW62" s="3"/>
      <c r="BX62" s="3"/>
      <c r="BY62" s="3">
        <v>256179.98</v>
      </c>
      <c r="BZ62" s="3" t="s">
        <v>199</v>
      </c>
      <c r="CA62" s="3" t="s">
        <v>365</v>
      </c>
      <c r="CB62" s="3"/>
      <c r="CC62" s="3" t="s">
        <v>360</v>
      </c>
      <c r="CD62" s="3">
        <v>850</v>
      </c>
      <c r="CE62" s="3" t="s">
        <v>90</v>
      </c>
      <c r="CF62" s="4">
        <v>44785</v>
      </c>
      <c r="CG62" s="3"/>
      <c r="CH62" s="3"/>
      <c r="CI62" s="8">
        <v>3</v>
      </c>
      <c r="CJ62" s="8">
        <v>2</v>
      </c>
      <c r="CK62" s="8">
        <v>43</v>
      </c>
      <c r="CL62" s="3" t="s">
        <v>85</v>
      </c>
      <c r="CM62" s="3"/>
      <c r="CN62" s="3"/>
    </row>
    <row r="63" spans="1:92" x14ac:dyDescent="0.3">
      <c r="A63" s="3" t="s">
        <v>72</v>
      </c>
      <c r="B63" s="3" t="s">
        <v>73</v>
      </c>
      <c r="C63" s="3" t="s">
        <v>74</v>
      </c>
      <c r="D63" s="3"/>
      <c r="E63" s="11" t="str">
        <f>"009942358026"</f>
        <v>009942358026</v>
      </c>
      <c r="F63" s="4">
        <v>44783</v>
      </c>
      <c r="G63" s="3">
        <v>202305</v>
      </c>
      <c r="H63" s="3" t="s">
        <v>79</v>
      </c>
      <c r="I63" s="3" t="s">
        <v>80</v>
      </c>
      <c r="J63" s="3" t="s">
        <v>192</v>
      </c>
      <c r="K63" s="3" t="s">
        <v>78</v>
      </c>
      <c r="L63" s="3" t="s">
        <v>366</v>
      </c>
      <c r="M63" s="3" t="s">
        <v>367</v>
      </c>
      <c r="N63" s="3" t="s">
        <v>368</v>
      </c>
      <c r="O63" s="3" t="s">
        <v>95</v>
      </c>
      <c r="P63" s="3" t="str">
        <f>"JOB:11736                     "</f>
        <v xml:space="preserve">JOB:11736   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15</v>
      </c>
      <c r="AB63" s="3">
        <v>0</v>
      </c>
      <c r="AC63" s="3">
        <v>0</v>
      </c>
      <c r="AD63" s="3">
        <v>0</v>
      </c>
      <c r="AE63" s="3">
        <v>5.25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66.489999999999995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1</v>
      </c>
      <c r="BI63" s="3">
        <v>2.2999999999999998</v>
      </c>
      <c r="BJ63" s="3">
        <v>5.9</v>
      </c>
      <c r="BK63" s="3">
        <v>6</v>
      </c>
      <c r="BL63" s="3">
        <v>179.73</v>
      </c>
      <c r="BM63" s="3">
        <v>26.96</v>
      </c>
      <c r="BN63" s="3">
        <v>206.69</v>
      </c>
      <c r="BO63" s="3">
        <v>206.69</v>
      </c>
      <c r="BP63" s="3" t="s">
        <v>369</v>
      </c>
      <c r="BQ63" s="3" t="s">
        <v>370</v>
      </c>
      <c r="BR63" s="3" t="s">
        <v>197</v>
      </c>
      <c r="BS63" s="4">
        <v>44784</v>
      </c>
      <c r="BT63" s="5">
        <v>0.4548611111111111</v>
      </c>
      <c r="BU63" s="3" t="s">
        <v>371</v>
      </c>
      <c r="BV63" s="3" t="s">
        <v>99</v>
      </c>
      <c r="BW63" s="3"/>
      <c r="BX63" s="3"/>
      <c r="BY63" s="3">
        <v>29269.5</v>
      </c>
      <c r="BZ63" s="3" t="s">
        <v>372</v>
      </c>
      <c r="CA63" s="3" t="s">
        <v>247</v>
      </c>
      <c r="CB63" s="3"/>
      <c r="CC63" s="3" t="s">
        <v>367</v>
      </c>
      <c r="CD63" s="3">
        <v>7160</v>
      </c>
      <c r="CE63" s="3" t="s">
        <v>90</v>
      </c>
      <c r="CF63" s="4">
        <v>44785</v>
      </c>
      <c r="CG63" s="3"/>
      <c r="CH63" s="3"/>
      <c r="CI63" s="8">
        <v>2</v>
      </c>
      <c r="CJ63" s="8">
        <v>1</v>
      </c>
      <c r="CK63" s="8">
        <v>44</v>
      </c>
      <c r="CL63" s="3" t="s">
        <v>85</v>
      </c>
      <c r="CM63" s="3"/>
      <c r="CN63" s="3"/>
    </row>
    <row r="64" spans="1:92" x14ac:dyDescent="0.3">
      <c r="A64" s="3" t="s">
        <v>72</v>
      </c>
      <c r="B64" s="3" t="s">
        <v>73</v>
      </c>
      <c r="C64" s="3" t="s">
        <v>74</v>
      </c>
      <c r="D64" s="3"/>
      <c r="E64" s="11" t="str">
        <f>"009942358027"</f>
        <v>009942358027</v>
      </c>
      <c r="F64" s="4">
        <v>44783</v>
      </c>
      <c r="G64" s="3">
        <v>202305</v>
      </c>
      <c r="H64" s="3" t="s">
        <v>79</v>
      </c>
      <c r="I64" s="3" t="s">
        <v>80</v>
      </c>
      <c r="J64" s="3" t="s">
        <v>192</v>
      </c>
      <c r="K64" s="3" t="s">
        <v>78</v>
      </c>
      <c r="L64" s="3" t="s">
        <v>373</v>
      </c>
      <c r="M64" s="3" t="s">
        <v>374</v>
      </c>
      <c r="N64" s="3" t="s">
        <v>375</v>
      </c>
      <c r="O64" s="3" t="s">
        <v>95</v>
      </c>
      <c r="P64" s="3" t="str">
        <f>"JOB11735                      "</f>
        <v xml:space="preserve">JOB11735    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15</v>
      </c>
      <c r="AB64" s="3">
        <v>0</v>
      </c>
      <c r="AC64" s="3">
        <v>0</v>
      </c>
      <c r="AD64" s="3">
        <v>0</v>
      </c>
      <c r="AE64" s="3">
        <v>5.25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93.59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1</v>
      </c>
      <c r="BI64" s="3">
        <v>11.9</v>
      </c>
      <c r="BJ64" s="3">
        <v>16.5</v>
      </c>
      <c r="BK64" s="3">
        <v>17</v>
      </c>
      <c r="BL64" s="3">
        <v>244.73</v>
      </c>
      <c r="BM64" s="3">
        <v>36.71</v>
      </c>
      <c r="BN64" s="3">
        <v>281.44</v>
      </c>
      <c r="BO64" s="3">
        <v>281.44</v>
      </c>
      <c r="BP64" s="3" t="s">
        <v>376</v>
      </c>
      <c r="BQ64" s="3" t="s">
        <v>377</v>
      </c>
      <c r="BR64" s="3" t="s">
        <v>197</v>
      </c>
      <c r="BS64" s="4">
        <v>44785</v>
      </c>
      <c r="BT64" s="5">
        <v>0.73749999999999993</v>
      </c>
      <c r="BU64" s="3" t="s">
        <v>378</v>
      </c>
      <c r="BV64" s="3" t="s">
        <v>99</v>
      </c>
      <c r="BW64" s="3"/>
      <c r="BX64" s="3"/>
      <c r="BY64" s="3">
        <v>82320</v>
      </c>
      <c r="BZ64" s="3" t="s">
        <v>199</v>
      </c>
      <c r="CA64" s="3" t="s">
        <v>379</v>
      </c>
      <c r="CB64" s="3"/>
      <c r="CC64" s="3" t="s">
        <v>374</v>
      </c>
      <c r="CD64" s="3">
        <v>8800</v>
      </c>
      <c r="CE64" s="3" t="s">
        <v>90</v>
      </c>
      <c r="CF64" s="4">
        <v>44788</v>
      </c>
      <c r="CG64" s="3"/>
      <c r="CH64" s="3"/>
      <c r="CI64" s="8">
        <v>3</v>
      </c>
      <c r="CJ64" s="8">
        <v>2</v>
      </c>
      <c r="CK64" s="8">
        <v>43</v>
      </c>
      <c r="CL64" s="3" t="s">
        <v>85</v>
      </c>
      <c r="CM64" s="3"/>
      <c r="CN64" s="3"/>
    </row>
    <row r="65" spans="1:92" x14ac:dyDescent="0.3">
      <c r="A65" s="3" t="s">
        <v>72</v>
      </c>
      <c r="B65" s="3" t="s">
        <v>73</v>
      </c>
      <c r="C65" s="3" t="s">
        <v>74</v>
      </c>
      <c r="D65" s="3"/>
      <c r="E65" s="11" t="str">
        <f>"009942558736"</f>
        <v>009942558736</v>
      </c>
      <c r="F65" s="4">
        <v>44784</v>
      </c>
      <c r="G65" s="3">
        <v>202305</v>
      </c>
      <c r="H65" s="3" t="s">
        <v>79</v>
      </c>
      <c r="I65" s="3" t="s">
        <v>80</v>
      </c>
      <c r="J65" s="3" t="s">
        <v>94</v>
      </c>
      <c r="K65" s="3" t="s">
        <v>78</v>
      </c>
      <c r="L65" s="3" t="s">
        <v>380</v>
      </c>
      <c r="M65" s="3" t="s">
        <v>381</v>
      </c>
      <c r="N65" s="3" t="s">
        <v>93</v>
      </c>
      <c r="O65" s="3" t="s">
        <v>95</v>
      </c>
      <c r="P65" s="3" t="str">
        <f>"INV184836                     "</f>
        <v xml:space="preserve">INV184836        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5.25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84.91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15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1</v>
      </c>
      <c r="BI65" s="3">
        <v>0.6</v>
      </c>
      <c r="BJ65" s="3">
        <v>2.5</v>
      </c>
      <c r="BK65" s="3">
        <v>3</v>
      </c>
      <c r="BL65" s="3">
        <v>223.91</v>
      </c>
      <c r="BM65" s="3">
        <v>33.590000000000003</v>
      </c>
      <c r="BN65" s="3">
        <v>257.5</v>
      </c>
      <c r="BO65" s="3">
        <v>257.5</v>
      </c>
      <c r="BP65" s="3"/>
      <c r="BQ65" s="3" t="s">
        <v>382</v>
      </c>
      <c r="BR65" s="3" t="s">
        <v>96</v>
      </c>
      <c r="BS65" s="4">
        <v>44789</v>
      </c>
      <c r="BT65" s="5">
        <v>0.4604166666666667</v>
      </c>
      <c r="BU65" s="3" t="s">
        <v>383</v>
      </c>
      <c r="BV65" s="3" t="s">
        <v>99</v>
      </c>
      <c r="BW65" s="3"/>
      <c r="BX65" s="3"/>
      <c r="BY65" s="3">
        <v>12275.13</v>
      </c>
      <c r="BZ65" s="3" t="s">
        <v>129</v>
      </c>
      <c r="CA65" s="3" t="s">
        <v>384</v>
      </c>
      <c r="CB65" s="3"/>
      <c r="CC65" s="3" t="s">
        <v>381</v>
      </c>
      <c r="CD65" s="3">
        <v>3880</v>
      </c>
      <c r="CE65" s="3" t="s">
        <v>90</v>
      </c>
      <c r="CF65" s="4">
        <v>44791</v>
      </c>
      <c r="CG65" s="3"/>
      <c r="CH65" s="3"/>
      <c r="CI65" s="8">
        <v>3</v>
      </c>
      <c r="CJ65" s="8">
        <v>3</v>
      </c>
      <c r="CK65" s="8">
        <v>43</v>
      </c>
      <c r="CL65" s="3" t="s">
        <v>85</v>
      </c>
      <c r="CM65" s="3"/>
      <c r="CN65" s="3"/>
    </row>
    <row r="66" spans="1:92" x14ac:dyDescent="0.3">
      <c r="A66" s="3" t="s">
        <v>72</v>
      </c>
      <c r="B66" s="3" t="s">
        <v>73</v>
      </c>
      <c r="C66" s="3" t="s">
        <v>74</v>
      </c>
      <c r="D66" s="3"/>
      <c r="E66" s="11" t="str">
        <f>"009942558738"</f>
        <v>009942558738</v>
      </c>
      <c r="F66" s="4">
        <v>44784</v>
      </c>
      <c r="G66" s="3">
        <v>202305</v>
      </c>
      <c r="H66" s="3" t="s">
        <v>79</v>
      </c>
      <c r="I66" s="3" t="s">
        <v>80</v>
      </c>
      <c r="J66" s="3" t="s">
        <v>94</v>
      </c>
      <c r="K66" s="3" t="s">
        <v>78</v>
      </c>
      <c r="L66" s="3" t="s">
        <v>385</v>
      </c>
      <c r="M66" s="3" t="s">
        <v>385</v>
      </c>
      <c r="N66" s="3" t="s">
        <v>93</v>
      </c>
      <c r="O66" s="3" t="s">
        <v>95</v>
      </c>
      <c r="P66" s="3" t="str">
        <f>"INV184838                     "</f>
        <v xml:space="preserve">INV184838               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5.25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84.91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0.1</v>
      </c>
      <c r="BJ66" s="3">
        <v>1.6</v>
      </c>
      <c r="BK66" s="3">
        <v>2</v>
      </c>
      <c r="BL66" s="3">
        <v>208.91</v>
      </c>
      <c r="BM66" s="3">
        <v>31.34</v>
      </c>
      <c r="BN66" s="3">
        <v>240.25</v>
      </c>
      <c r="BO66" s="3">
        <v>240.25</v>
      </c>
      <c r="BP66" s="3"/>
      <c r="BQ66" s="3" t="s">
        <v>386</v>
      </c>
      <c r="BR66" s="3" t="s">
        <v>96</v>
      </c>
      <c r="BS66" s="4">
        <v>44789</v>
      </c>
      <c r="BT66" s="5">
        <v>0.65</v>
      </c>
      <c r="BU66" s="3" t="s">
        <v>387</v>
      </c>
      <c r="BV66" s="3" t="s">
        <v>99</v>
      </c>
      <c r="BW66" s="3"/>
      <c r="BX66" s="3"/>
      <c r="BY66" s="3">
        <v>8139.6</v>
      </c>
      <c r="BZ66" s="3" t="s">
        <v>105</v>
      </c>
      <c r="CA66" s="3" t="s">
        <v>388</v>
      </c>
      <c r="CB66" s="3"/>
      <c r="CC66" s="3" t="s">
        <v>385</v>
      </c>
      <c r="CD66" s="3">
        <v>9585</v>
      </c>
      <c r="CE66" s="3" t="s">
        <v>90</v>
      </c>
      <c r="CF66" s="4">
        <v>44790</v>
      </c>
      <c r="CG66" s="3"/>
      <c r="CH66" s="3"/>
      <c r="CI66" s="8">
        <v>3</v>
      </c>
      <c r="CJ66" s="8">
        <v>3</v>
      </c>
      <c r="CK66" s="8">
        <v>43</v>
      </c>
      <c r="CL66" s="3" t="s">
        <v>85</v>
      </c>
      <c r="CM66" s="3"/>
      <c r="CN66" s="3"/>
    </row>
    <row r="67" spans="1:92" x14ac:dyDescent="0.3">
      <c r="A67" s="3" t="s">
        <v>72</v>
      </c>
      <c r="B67" s="3" t="s">
        <v>73</v>
      </c>
      <c r="C67" s="3" t="s">
        <v>74</v>
      </c>
      <c r="D67" s="3"/>
      <c r="E67" s="11" t="str">
        <f>"009942558737"</f>
        <v>009942558737</v>
      </c>
      <c r="F67" s="4">
        <v>44784</v>
      </c>
      <c r="G67" s="3">
        <v>202305</v>
      </c>
      <c r="H67" s="3" t="s">
        <v>79</v>
      </c>
      <c r="I67" s="3" t="s">
        <v>80</v>
      </c>
      <c r="J67" s="3" t="s">
        <v>94</v>
      </c>
      <c r="K67" s="3" t="s">
        <v>78</v>
      </c>
      <c r="L67" s="3" t="s">
        <v>389</v>
      </c>
      <c r="M67" s="3" t="s">
        <v>390</v>
      </c>
      <c r="N67" s="3" t="s">
        <v>93</v>
      </c>
      <c r="O67" s="3" t="s">
        <v>82</v>
      </c>
      <c r="P67" s="3" t="str">
        <f>"INV184839                     "</f>
        <v xml:space="preserve">INV184839        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70.03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1</v>
      </c>
      <c r="BI67" s="3">
        <v>1.2</v>
      </c>
      <c r="BJ67" s="3">
        <v>4.0999999999999996</v>
      </c>
      <c r="BK67" s="3">
        <v>4.5</v>
      </c>
      <c r="BL67" s="3">
        <v>167.97</v>
      </c>
      <c r="BM67" s="3">
        <v>25.2</v>
      </c>
      <c r="BN67" s="3">
        <v>193.17</v>
      </c>
      <c r="BO67" s="3">
        <v>193.17</v>
      </c>
      <c r="BP67" s="3"/>
      <c r="BQ67" s="3" t="s">
        <v>391</v>
      </c>
      <c r="BR67" s="3" t="s">
        <v>96</v>
      </c>
      <c r="BS67" s="4">
        <v>44785</v>
      </c>
      <c r="BT67" s="5">
        <v>0.43402777777777773</v>
      </c>
      <c r="BU67" s="3" t="s">
        <v>392</v>
      </c>
      <c r="BV67" s="3" t="s">
        <v>99</v>
      </c>
      <c r="BW67" s="3"/>
      <c r="BX67" s="3"/>
      <c r="BY67" s="3">
        <v>20618.400000000001</v>
      </c>
      <c r="BZ67" s="3" t="s">
        <v>24</v>
      </c>
      <c r="CA67" s="3" t="s">
        <v>393</v>
      </c>
      <c r="CB67" s="3"/>
      <c r="CC67" s="3" t="s">
        <v>390</v>
      </c>
      <c r="CD67" s="3">
        <v>1448</v>
      </c>
      <c r="CE67" s="3" t="s">
        <v>90</v>
      </c>
      <c r="CF67" s="4">
        <v>44786</v>
      </c>
      <c r="CG67" s="3"/>
      <c r="CH67" s="3"/>
      <c r="CI67" s="8">
        <v>1</v>
      </c>
      <c r="CJ67" s="8">
        <v>1</v>
      </c>
      <c r="CK67" s="8">
        <v>21</v>
      </c>
      <c r="CL67" s="3" t="s">
        <v>85</v>
      </c>
      <c r="CM67" s="3"/>
      <c r="CN67" s="3"/>
    </row>
    <row r="68" spans="1:92" x14ac:dyDescent="0.3">
      <c r="A68" s="3" t="s">
        <v>72</v>
      </c>
      <c r="B68" s="3" t="s">
        <v>73</v>
      </c>
      <c r="C68" s="3" t="s">
        <v>74</v>
      </c>
      <c r="D68" s="3"/>
      <c r="E68" s="11" t="str">
        <f>"009942358031"</f>
        <v>009942358031</v>
      </c>
      <c r="F68" s="4">
        <v>44784</v>
      </c>
      <c r="G68" s="3">
        <v>202305</v>
      </c>
      <c r="H68" s="3" t="s">
        <v>79</v>
      </c>
      <c r="I68" s="3" t="s">
        <v>80</v>
      </c>
      <c r="J68" s="3" t="s">
        <v>394</v>
      </c>
      <c r="K68" s="3" t="s">
        <v>78</v>
      </c>
      <c r="L68" s="3" t="s">
        <v>395</v>
      </c>
      <c r="M68" s="3" t="s">
        <v>396</v>
      </c>
      <c r="N68" s="3" t="s">
        <v>397</v>
      </c>
      <c r="O68" s="3" t="s">
        <v>95</v>
      </c>
      <c r="P68" s="3" t="str">
        <f>"                              "</f>
        <v xml:space="preserve">                 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15</v>
      </c>
      <c r="AB68" s="3">
        <v>0</v>
      </c>
      <c r="AC68" s="3">
        <v>0</v>
      </c>
      <c r="AD68" s="3">
        <v>0</v>
      </c>
      <c r="AE68" s="3">
        <v>5.25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62.68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1</v>
      </c>
      <c r="BI68" s="3">
        <v>15.6</v>
      </c>
      <c r="BJ68" s="3">
        <v>11.2</v>
      </c>
      <c r="BK68" s="3">
        <v>16</v>
      </c>
      <c r="BL68" s="3">
        <v>170.6</v>
      </c>
      <c r="BM68" s="3">
        <v>25.59</v>
      </c>
      <c r="BN68" s="3">
        <v>196.19</v>
      </c>
      <c r="BO68" s="3">
        <v>196.19</v>
      </c>
      <c r="BP68" s="3"/>
      <c r="BQ68" s="3"/>
      <c r="BR68" s="3" t="s">
        <v>197</v>
      </c>
      <c r="BS68" s="4">
        <v>44788</v>
      </c>
      <c r="BT68" s="5">
        <v>0.4777777777777778</v>
      </c>
      <c r="BU68" s="3" t="s">
        <v>398</v>
      </c>
      <c r="BV68" s="3" t="s">
        <v>99</v>
      </c>
      <c r="BW68" s="3"/>
      <c r="BX68" s="3"/>
      <c r="BY68" s="3">
        <v>56000</v>
      </c>
      <c r="BZ68" s="3" t="s">
        <v>399</v>
      </c>
      <c r="CA68" s="3" t="s">
        <v>400</v>
      </c>
      <c r="CB68" s="3"/>
      <c r="CC68" s="3" t="s">
        <v>396</v>
      </c>
      <c r="CD68" s="3">
        <v>6001</v>
      </c>
      <c r="CE68" s="3" t="s">
        <v>90</v>
      </c>
      <c r="CF68" s="4">
        <v>44790</v>
      </c>
      <c r="CG68" s="3"/>
      <c r="CH68" s="3"/>
      <c r="CI68" s="8">
        <v>2</v>
      </c>
      <c r="CJ68" s="8">
        <v>2</v>
      </c>
      <c r="CK68" s="8">
        <v>41</v>
      </c>
      <c r="CL68" s="3" t="s">
        <v>85</v>
      </c>
      <c r="CM68" s="3"/>
      <c r="CN68" s="3"/>
    </row>
    <row r="69" spans="1:92" x14ac:dyDescent="0.3">
      <c r="A69" s="3" t="s">
        <v>72</v>
      </c>
      <c r="B69" s="3" t="s">
        <v>73</v>
      </c>
      <c r="C69" s="3" t="s">
        <v>74</v>
      </c>
      <c r="D69" s="3"/>
      <c r="E69" s="11" t="str">
        <f>"009942358030"</f>
        <v>009942358030</v>
      </c>
      <c r="F69" s="4">
        <v>44784</v>
      </c>
      <c r="G69" s="3">
        <v>202305</v>
      </c>
      <c r="H69" s="3" t="s">
        <v>79</v>
      </c>
      <c r="I69" s="3" t="s">
        <v>80</v>
      </c>
      <c r="J69" s="3" t="s">
        <v>192</v>
      </c>
      <c r="K69" s="3" t="s">
        <v>78</v>
      </c>
      <c r="L69" s="3" t="s">
        <v>160</v>
      </c>
      <c r="M69" s="3" t="s">
        <v>161</v>
      </c>
      <c r="N69" s="3" t="s">
        <v>401</v>
      </c>
      <c r="O69" s="3" t="s">
        <v>95</v>
      </c>
      <c r="P69" s="3" t="str">
        <f>"                              "</f>
        <v xml:space="preserve">                 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15</v>
      </c>
      <c r="AB69" s="3">
        <v>0</v>
      </c>
      <c r="AC69" s="3">
        <v>0</v>
      </c>
      <c r="AD69" s="3">
        <v>0</v>
      </c>
      <c r="AE69" s="3">
        <v>5.25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46.45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1</v>
      </c>
      <c r="BI69" s="3">
        <v>7.3</v>
      </c>
      <c r="BJ69" s="3">
        <v>11.8</v>
      </c>
      <c r="BK69" s="3">
        <v>12</v>
      </c>
      <c r="BL69" s="3">
        <v>131.66999999999999</v>
      </c>
      <c r="BM69" s="3">
        <v>19.75</v>
      </c>
      <c r="BN69" s="3">
        <v>151.41999999999999</v>
      </c>
      <c r="BO69" s="3">
        <v>151.41999999999999</v>
      </c>
      <c r="BP69" s="3"/>
      <c r="BQ69" s="3"/>
      <c r="BR69" s="3" t="s">
        <v>197</v>
      </c>
      <c r="BS69" s="4">
        <v>44785</v>
      </c>
      <c r="BT69" s="5">
        <v>0.60138888888888886</v>
      </c>
      <c r="BU69" s="3" t="s">
        <v>402</v>
      </c>
      <c r="BV69" s="3" t="s">
        <v>99</v>
      </c>
      <c r="BW69" s="3"/>
      <c r="BX69" s="3"/>
      <c r="BY69" s="3">
        <v>58795.59</v>
      </c>
      <c r="BZ69" s="3" t="s">
        <v>399</v>
      </c>
      <c r="CA69" s="3" t="s">
        <v>403</v>
      </c>
      <c r="CB69" s="3"/>
      <c r="CC69" s="3" t="s">
        <v>161</v>
      </c>
      <c r="CD69" s="3">
        <v>7599</v>
      </c>
      <c r="CE69" s="3" t="s">
        <v>90</v>
      </c>
      <c r="CF69" s="4">
        <v>44788</v>
      </c>
      <c r="CG69" s="3"/>
      <c r="CH69" s="3"/>
      <c r="CI69" s="8">
        <v>1</v>
      </c>
      <c r="CJ69" s="8">
        <v>1</v>
      </c>
      <c r="CK69" s="8">
        <v>42</v>
      </c>
      <c r="CL69" s="3" t="s">
        <v>85</v>
      </c>
      <c r="CM69" s="3"/>
      <c r="CN69" s="3"/>
    </row>
    <row r="70" spans="1:92" x14ac:dyDescent="0.3">
      <c r="A70" s="3" t="s">
        <v>72</v>
      </c>
      <c r="B70" s="3" t="s">
        <v>73</v>
      </c>
      <c r="C70" s="3" t="s">
        <v>74</v>
      </c>
      <c r="D70" s="3"/>
      <c r="E70" s="11" t="str">
        <f>"009942558743"</f>
        <v>009942558743</v>
      </c>
      <c r="F70" s="4">
        <v>44785</v>
      </c>
      <c r="G70" s="3">
        <v>202305</v>
      </c>
      <c r="H70" s="3" t="s">
        <v>79</v>
      </c>
      <c r="I70" s="3" t="s">
        <v>80</v>
      </c>
      <c r="J70" s="3" t="s">
        <v>94</v>
      </c>
      <c r="K70" s="3" t="s">
        <v>78</v>
      </c>
      <c r="L70" s="3" t="s">
        <v>404</v>
      </c>
      <c r="M70" s="3" t="s">
        <v>405</v>
      </c>
      <c r="N70" s="3" t="s">
        <v>93</v>
      </c>
      <c r="O70" s="3" t="s">
        <v>109</v>
      </c>
      <c r="P70" s="3" t="str">
        <f>"INV184864                     "</f>
        <v xml:space="preserve">INV184864    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58.37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1</v>
      </c>
      <c r="BI70" s="3">
        <v>0.4</v>
      </c>
      <c r="BJ70" s="3">
        <v>2.1</v>
      </c>
      <c r="BK70" s="3">
        <v>3</v>
      </c>
      <c r="BL70" s="3">
        <v>140.01</v>
      </c>
      <c r="BM70" s="3">
        <v>21</v>
      </c>
      <c r="BN70" s="3">
        <v>161.01</v>
      </c>
      <c r="BO70" s="3">
        <v>161.01</v>
      </c>
      <c r="BP70" s="3"/>
      <c r="BQ70" s="3" t="s">
        <v>406</v>
      </c>
      <c r="BR70" s="3" t="s">
        <v>96</v>
      </c>
      <c r="BS70" s="4">
        <v>44788</v>
      </c>
      <c r="BT70" s="5">
        <v>0.39513888888888887</v>
      </c>
      <c r="BU70" s="3" t="s">
        <v>407</v>
      </c>
      <c r="BV70" s="3" t="s">
        <v>99</v>
      </c>
      <c r="BW70" s="3"/>
      <c r="BX70" s="3"/>
      <c r="BY70" s="3">
        <v>10584.6</v>
      </c>
      <c r="BZ70" s="3" t="s">
        <v>408</v>
      </c>
      <c r="CA70" s="3" t="s">
        <v>409</v>
      </c>
      <c r="CB70" s="3"/>
      <c r="CC70" s="3" t="s">
        <v>405</v>
      </c>
      <c r="CD70" s="3">
        <v>157</v>
      </c>
      <c r="CE70" s="3" t="s">
        <v>90</v>
      </c>
      <c r="CF70" s="4">
        <v>44788</v>
      </c>
      <c r="CG70" s="3"/>
      <c r="CH70" s="3"/>
      <c r="CI70" s="8">
        <v>1</v>
      </c>
      <c r="CJ70" s="8">
        <v>1</v>
      </c>
      <c r="CK70" s="8">
        <v>31</v>
      </c>
      <c r="CL70" s="3" t="s">
        <v>85</v>
      </c>
      <c r="CM70" s="3"/>
      <c r="CN70" s="3"/>
    </row>
    <row r="71" spans="1:92" x14ac:dyDescent="0.3">
      <c r="A71" s="3" t="s">
        <v>72</v>
      </c>
      <c r="B71" s="3" t="s">
        <v>73</v>
      </c>
      <c r="C71" s="3" t="s">
        <v>74</v>
      </c>
      <c r="D71" s="3"/>
      <c r="E71" s="11" t="str">
        <f>"009942558746"</f>
        <v>009942558746</v>
      </c>
      <c r="F71" s="4">
        <v>44785</v>
      </c>
      <c r="G71" s="3">
        <v>202305</v>
      </c>
      <c r="H71" s="3" t="s">
        <v>79</v>
      </c>
      <c r="I71" s="3" t="s">
        <v>80</v>
      </c>
      <c r="J71" s="3" t="s">
        <v>94</v>
      </c>
      <c r="K71" s="3" t="s">
        <v>78</v>
      </c>
      <c r="L71" s="3" t="s">
        <v>79</v>
      </c>
      <c r="M71" s="3" t="s">
        <v>80</v>
      </c>
      <c r="N71" s="3" t="s">
        <v>93</v>
      </c>
      <c r="O71" s="3" t="s">
        <v>109</v>
      </c>
      <c r="P71" s="3" t="str">
        <f>"INV184889                     "</f>
        <v xml:space="preserve">INV184889   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24.32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0.1</v>
      </c>
      <c r="BJ71" s="3">
        <v>2</v>
      </c>
      <c r="BK71" s="3">
        <v>2</v>
      </c>
      <c r="BL71" s="3">
        <v>58.34</v>
      </c>
      <c r="BM71" s="3">
        <v>8.75</v>
      </c>
      <c r="BN71" s="3">
        <v>67.09</v>
      </c>
      <c r="BO71" s="3">
        <v>67.09</v>
      </c>
      <c r="BP71" s="3"/>
      <c r="BQ71" s="3" t="s">
        <v>410</v>
      </c>
      <c r="BR71" s="3" t="s">
        <v>96</v>
      </c>
      <c r="BS71" s="4">
        <v>44788</v>
      </c>
      <c r="BT71" s="5">
        <v>0.49444444444444446</v>
      </c>
      <c r="BU71" s="3" t="s">
        <v>411</v>
      </c>
      <c r="BV71" s="3" t="s">
        <v>99</v>
      </c>
      <c r="BW71" s="3"/>
      <c r="BX71" s="3"/>
      <c r="BY71" s="3">
        <v>10207.040000000001</v>
      </c>
      <c r="BZ71" s="3" t="s">
        <v>408</v>
      </c>
      <c r="CA71" s="3" t="s">
        <v>174</v>
      </c>
      <c r="CB71" s="3"/>
      <c r="CC71" s="3" t="s">
        <v>80</v>
      </c>
      <c r="CD71" s="3">
        <v>8005</v>
      </c>
      <c r="CE71" s="3" t="s">
        <v>90</v>
      </c>
      <c r="CF71" s="4">
        <v>44789</v>
      </c>
      <c r="CG71" s="3"/>
      <c r="CH71" s="3"/>
      <c r="CI71" s="8">
        <v>1</v>
      </c>
      <c r="CJ71" s="8">
        <v>1</v>
      </c>
      <c r="CK71" s="8">
        <v>32</v>
      </c>
      <c r="CL71" s="3" t="s">
        <v>85</v>
      </c>
      <c r="CM71" s="3"/>
      <c r="CN71" s="3"/>
    </row>
    <row r="72" spans="1:92" x14ac:dyDescent="0.3">
      <c r="A72" s="3" t="s">
        <v>72</v>
      </c>
      <c r="B72" s="3" t="s">
        <v>73</v>
      </c>
      <c r="C72" s="3" t="s">
        <v>74</v>
      </c>
      <c r="D72" s="3"/>
      <c r="E72" s="11" t="str">
        <f>"009942558744"</f>
        <v>009942558744</v>
      </c>
      <c r="F72" s="4">
        <v>44785</v>
      </c>
      <c r="G72" s="3">
        <v>202305</v>
      </c>
      <c r="H72" s="3" t="s">
        <v>79</v>
      </c>
      <c r="I72" s="3" t="s">
        <v>80</v>
      </c>
      <c r="J72" s="3" t="s">
        <v>94</v>
      </c>
      <c r="K72" s="3" t="s">
        <v>78</v>
      </c>
      <c r="L72" s="3" t="s">
        <v>79</v>
      </c>
      <c r="M72" s="3" t="s">
        <v>80</v>
      </c>
      <c r="N72" s="3" t="s">
        <v>412</v>
      </c>
      <c r="O72" s="3" t="s">
        <v>95</v>
      </c>
      <c r="P72" s="3" t="str">
        <f>"INV8988                       "</f>
        <v xml:space="preserve">INV8988     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5.25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46.45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1</v>
      </c>
      <c r="BI72" s="3">
        <v>4</v>
      </c>
      <c r="BJ72" s="3">
        <v>11.9</v>
      </c>
      <c r="BK72" s="3">
        <v>12</v>
      </c>
      <c r="BL72" s="3">
        <v>116.67</v>
      </c>
      <c r="BM72" s="3">
        <v>17.5</v>
      </c>
      <c r="BN72" s="3">
        <v>134.16999999999999</v>
      </c>
      <c r="BO72" s="3">
        <v>134.16999999999999</v>
      </c>
      <c r="BP72" s="3"/>
      <c r="BQ72" s="3" t="s">
        <v>413</v>
      </c>
      <c r="BR72" s="3" t="s">
        <v>96</v>
      </c>
      <c r="BS72" s="4">
        <v>44788</v>
      </c>
      <c r="BT72" s="5">
        <v>0.64652777777777781</v>
      </c>
      <c r="BU72" s="3" t="s">
        <v>414</v>
      </c>
      <c r="BV72" s="3" t="s">
        <v>99</v>
      </c>
      <c r="BW72" s="3"/>
      <c r="BX72" s="3"/>
      <c r="BY72" s="3">
        <v>59346</v>
      </c>
      <c r="BZ72" s="3" t="s">
        <v>408</v>
      </c>
      <c r="CA72" s="3" t="s">
        <v>415</v>
      </c>
      <c r="CB72" s="3"/>
      <c r="CC72" s="3" t="s">
        <v>80</v>
      </c>
      <c r="CD72" s="3">
        <v>7490</v>
      </c>
      <c r="CE72" s="3" t="s">
        <v>90</v>
      </c>
      <c r="CF72" s="4">
        <v>44790</v>
      </c>
      <c r="CG72" s="3"/>
      <c r="CH72" s="3"/>
      <c r="CI72" s="8">
        <v>1</v>
      </c>
      <c r="CJ72" s="8">
        <v>1</v>
      </c>
      <c r="CK72" s="8">
        <v>42</v>
      </c>
      <c r="CL72" s="3" t="s">
        <v>85</v>
      </c>
      <c r="CM72" s="3"/>
      <c r="CN72" s="3"/>
    </row>
    <row r="73" spans="1:92" x14ac:dyDescent="0.3">
      <c r="A73" s="3" t="s">
        <v>72</v>
      </c>
      <c r="B73" s="3" t="s">
        <v>73</v>
      </c>
      <c r="C73" s="3" t="s">
        <v>74</v>
      </c>
      <c r="D73" s="3"/>
      <c r="E73" s="11" t="str">
        <f>"009942558745"</f>
        <v>009942558745</v>
      </c>
      <c r="F73" s="4">
        <v>44785</v>
      </c>
      <c r="G73" s="3">
        <v>202305</v>
      </c>
      <c r="H73" s="3" t="s">
        <v>79</v>
      </c>
      <c r="I73" s="3" t="s">
        <v>80</v>
      </c>
      <c r="J73" s="3" t="s">
        <v>94</v>
      </c>
      <c r="K73" s="3" t="s">
        <v>78</v>
      </c>
      <c r="L73" s="3" t="s">
        <v>296</v>
      </c>
      <c r="M73" s="3" t="s">
        <v>297</v>
      </c>
      <c r="N73" s="3" t="s">
        <v>416</v>
      </c>
      <c r="O73" s="3" t="s">
        <v>95</v>
      </c>
      <c r="P73" s="3" t="str">
        <f>"INV8991                       "</f>
        <v xml:space="preserve">INV8991     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5.25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78.599999999999994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6</v>
      </c>
      <c r="BJ73" s="3">
        <v>21.1</v>
      </c>
      <c r="BK73" s="3">
        <v>22</v>
      </c>
      <c r="BL73" s="3">
        <v>193.78</v>
      </c>
      <c r="BM73" s="3">
        <v>29.07</v>
      </c>
      <c r="BN73" s="3">
        <v>222.85</v>
      </c>
      <c r="BO73" s="3">
        <v>222.85</v>
      </c>
      <c r="BP73" s="3"/>
      <c r="BQ73" s="3" t="s">
        <v>417</v>
      </c>
      <c r="BR73" s="3" t="s">
        <v>96</v>
      </c>
      <c r="BS73" s="4">
        <v>44788</v>
      </c>
      <c r="BT73" s="5">
        <v>0.41597222222222219</v>
      </c>
      <c r="BU73" s="3" t="s">
        <v>418</v>
      </c>
      <c r="BV73" s="3" t="s">
        <v>99</v>
      </c>
      <c r="BW73" s="3"/>
      <c r="BX73" s="3"/>
      <c r="BY73" s="3">
        <v>105552</v>
      </c>
      <c r="BZ73" s="3" t="s">
        <v>408</v>
      </c>
      <c r="CA73" s="3" t="s">
        <v>344</v>
      </c>
      <c r="CB73" s="3"/>
      <c r="CC73" s="3" t="s">
        <v>297</v>
      </c>
      <c r="CD73" s="3">
        <v>7130</v>
      </c>
      <c r="CE73" s="3" t="s">
        <v>90</v>
      </c>
      <c r="CF73" s="4">
        <v>44789</v>
      </c>
      <c r="CG73" s="3"/>
      <c r="CH73" s="3"/>
      <c r="CI73" s="8">
        <v>1</v>
      </c>
      <c r="CJ73" s="8">
        <v>1</v>
      </c>
      <c r="CK73" s="8">
        <v>44</v>
      </c>
      <c r="CL73" s="3" t="s">
        <v>85</v>
      </c>
      <c r="CM73" s="3"/>
      <c r="CN73" s="3"/>
    </row>
    <row r="74" spans="1:92" x14ac:dyDescent="0.3">
      <c r="A74" s="3" t="s">
        <v>72</v>
      </c>
      <c r="B74" s="3" t="s">
        <v>73</v>
      </c>
      <c r="C74" s="3" t="s">
        <v>74</v>
      </c>
      <c r="D74" s="3"/>
      <c r="E74" s="11" t="str">
        <f>"009942558742"</f>
        <v>009942558742</v>
      </c>
      <c r="F74" s="4">
        <v>44785</v>
      </c>
      <c r="G74" s="3">
        <v>202305</v>
      </c>
      <c r="H74" s="3" t="s">
        <v>79</v>
      </c>
      <c r="I74" s="3" t="s">
        <v>80</v>
      </c>
      <c r="J74" s="3" t="s">
        <v>94</v>
      </c>
      <c r="K74" s="3" t="s">
        <v>78</v>
      </c>
      <c r="L74" s="3" t="s">
        <v>79</v>
      </c>
      <c r="M74" s="3" t="s">
        <v>80</v>
      </c>
      <c r="N74" s="3" t="s">
        <v>93</v>
      </c>
      <c r="O74" s="3" t="s">
        <v>109</v>
      </c>
      <c r="P74" s="3" t="str">
        <f>"INV184865                     "</f>
        <v xml:space="preserve">INV184865           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24.32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0.4</v>
      </c>
      <c r="BJ74" s="3">
        <v>2.2000000000000002</v>
      </c>
      <c r="BK74" s="3">
        <v>3</v>
      </c>
      <c r="BL74" s="3">
        <v>58.34</v>
      </c>
      <c r="BM74" s="3">
        <v>8.75</v>
      </c>
      <c r="BN74" s="3">
        <v>67.09</v>
      </c>
      <c r="BO74" s="3">
        <v>67.09</v>
      </c>
      <c r="BP74" s="3"/>
      <c r="BQ74" s="3" t="s">
        <v>419</v>
      </c>
      <c r="BR74" s="3" t="s">
        <v>96</v>
      </c>
      <c r="BS74" s="4">
        <v>44788</v>
      </c>
      <c r="BT74" s="5">
        <v>0.48055555555555557</v>
      </c>
      <c r="BU74" s="3" t="s">
        <v>420</v>
      </c>
      <c r="BV74" s="3" t="s">
        <v>99</v>
      </c>
      <c r="BW74" s="3"/>
      <c r="BX74" s="3"/>
      <c r="BY74" s="3">
        <v>10878</v>
      </c>
      <c r="BZ74" s="3" t="s">
        <v>408</v>
      </c>
      <c r="CA74" s="3" t="s">
        <v>174</v>
      </c>
      <c r="CB74" s="3"/>
      <c r="CC74" s="3" t="s">
        <v>80</v>
      </c>
      <c r="CD74" s="3">
        <v>8005</v>
      </c>
      <c r="CE74" s="3" t="s">
        <v>90</v>
      </c>
      <c r="CF74" s="4">
        <v>44789</v>
      </c>
      <c r="CG74" s="3"/>
      <c r="CH74" s="3"/>
      <c r="CI74" s="8">
        <v>1</v>
      </c>
      <c r="CJ74" s="8">
        <v>1</v>
      </c>
      <c r="CK74" s="8">
        <v>32</v>
      </c>
      <c r="CL74" s="3" t="s">
        <v>85</v>
      </c>
      <c r="CM74" s="3"/>
      <c r="CN74" s="3"/>
    </row>
    <row r="75" spans="1:92" x14ac:dyDescent="0.3">
      <c r="A75" s="3" t="s">
        <v>72</v>
      </c>
      <c r="B75" s="3" t="s">
        <v>73</v>
      </c>
      <c r="C75" s="3" t="s">
        <v>74</v>
      </c>
      <c r="D75" s="3"/>
      <c r="E75" s="11" t="str">
        <f>"009942558741"</f>
        <v>009942558741</v>
      </c>
      <c r="F75" s="4">
        <v>44785</v>
      </c>
      <c r="G75" s="3">
        <v>202305</v>
      </c>
      <c r="H75" s="3" t="s">
        <v>79</v>
      </c>
      <c r="I75" s="3" t="s">
        <v>80</v>
      </c>
      <c r="J75" s="3" t="s">
        <v>94</v>
      </c>
      <c r="K75" s="3" t="s">
        <v>78</v>
      </c>
      <c r="L75" s="3" t="s">
        <v>421</v>
      </c>
      <c r="M75" s="3" t="s">
        <v>421</v>
      </c>
      <c r="N75" s="3" t="s">
        <v>93</v>
      </c>
      <c r="O75" s="3" t="s">
        <v>95</v>
      </c>
      <c r="P75" s="3" t="str">
        <f>"..                            "</f>
        <v xml:space="preserve">..               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5.25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66.489999999999995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0.3</v>
      </c>
      <c r="BJ75" s="3">
        <v>1.6</v>
      </c>
      <c r="BK75" s="3">
        <v>2</v>
      </c>
      <c r="BL75" s="3">
        <v>164.73</v>
      </c>
      <c r="BM75" s="3">
        <v>24.71</v>
      </c>
      <c r="BN75" s="3">
        <v>189.44</v>
      </c>
      <c r="BO75" s="3">
        <v>189.44</v>
      </c>
      <c r="BP75" s="3"/>
      <c r="BQ75" s="3" t="s">
        <v>422</v>
      </c>
      <c r="BR75" s="3" t="s">
        <v>96</v>
      </c>
      <c r="BS75" s="4">
        <v>44789</v>
      </c>
      <c r="BT75" s="5">
        <v>0.51666666666666672</v>
      </c>
      <c r="BU75" s="3" t="s">
        <v>371</v>
      </c>
      <c r="BV75" s="3" t="s">
        <v>85</v>
      </c>
      <c r="BW75" s="3" t="s">
        <v>423</v>
      </c>
      <c r="BX75" s="3" t="s">
        <v>226</v>
      </c>
      <c r="BY75" s="3">
        <v>8037.47</v>
      </c>
      <c r="BZ75" s="3" t="s">
        <v>424</v>
      </c>
      <c r="CA75" s="3"/>
      <c r="CB75" s="3"/>
      <c r="CC75" s="3" t="s">
        <v>421</v>
      </c>
      <c r="CD75" s="3">
        <v>7646</v>
      </c>
      <c r="CE75" s="3" t="s">
        <v>90</v>
      </c>
      <c r="CF75" s="4">
        <v>44790</v>
      </c>
      <c r="CG75" s="3"/>
      <c r="CH75" s="3"/>
      <c r="CI75" s="8">
        <v>0</v>
      </c>
      <c r="CJ75" s="8">
        <v>0</v>
      </c>
      <c r="CK75" s="8">
        <v>44</v>
      </c>
      <c r="CL75" s="3" t="s">
        <v>85</v>
      </c>
      <c r="CM75" s="3"/>
      <c r="CN75" s="3"/>
    </row>
    <row r="76" spans="1:92" x14ac:dyDescent="0.3">
      <c r="A76" s="3" t="s">
        <v>72</v>
      </c>
      <c r="B76" s="3" t="s">
        <v>73</v>
      </c>
      <c r="C76" s="3" t="s">
        <v>74</v>
      </c>
      <c r="D76" s="3"/>
      <c r="E76" s="11" t="str">
        <f>"080010563485"</f>
        <v>080010563485</v>
      </c>
      <c r="F76" s="4">
        <v>44788</v>
      </c>
      <c r="G76" s="3">
        <v>202305</v>
      </c>
      <c r="H76" s="3" t="s">
        <v>125</v>
      </c>
      <c r="I76" s="3" t="s">
        <v>126</v>
      </c>
      <c r="J76" s="3" t="s">
        <v>221</v>
      </c>
      <c r="K76" s="3" t="s">
        <v>78</v>
      </c>
      <c r="L76" s="3" t="s">
        <v>79</v>
      </c>
      <c r="M76" s="3" t="s">
        <v>80</v>
      </c>
      <c r="N76" s="3" t="s">
        <v>425</v>
      </c>
      <c r="O76" s="3" t="s">
        <v>82</v>
      </c>
      <c r="P76" s="3" t="str">
        <f>"X                             "</f>
        <v xml:space="preserve">X                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38.909999999999997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1.8</v>
      </c>
      <c r="BJ76" s="3">
        <v>2.4</v>
      </c>
      <c r="BK76" s="3">
        <v>2.5</v>
      </c>
      <c r="BL76" s="3">
        <v>93.33</v>
      </c>
      <c r="BM76" s="3">
        <v>14</v>
      </c>
      <c r="BN76" s="3">
        <v>107.33</v>
      </c>
      <c r="BO76" s="3">
        <v>107.33</v>
      </c>
      <c r="BP76" s="3" t="s">
        <v>426</v>
      </c>
      <c r="BQ76" s="3" t="s">
        <v>427</v>
      </c>
      <c r="BR76" s="3" t="s">
        <v>428</v>
      </c>
      <c r="BS76" s="4">
        <v>44789</v>
      </c>
      <c r="BT76" s="5">
        <v>0.67708333333333337</v>
      </c>
      <c r="BU76" s="3" t="s">
        <v>427</v>
      </c>
      <c r="BV76" s="3" t="s">
        <v>85</v>
      </c>
      <c r="BW76" s="3" t="s">
        <v>225</v>
      </c>
      <c r="BX76" s="3" t="s">
        <v>226</v>
      </c>
      <c r="BY76" s="3">
        <v>11929.68</v>
      </c>
      <c r="BZ76" s="3"/>
      <c r="CA76" s="3" t="s">
        <v>89</v>
      </c>
      <c r="CB76" s="3"/>
      <c r="CC76" s="3" t="s">
        <v>80</v>
      </c>
      <c r="CD76" s="3">
        <v>7806</v>
      </c>
      <c r="CE76" s="3" t="s">
        <v>429</v>
      </c>
      <c r="CF76" s="4">
        <v>44790</v>
      </c>
      <c r="CG76" s="3"/>
      <c r="CH76" s="3"/>
      <c r="CI76" s="8">
        <v>1</v>
      </c>
      <c r="CJ76" s="8">
        <v>1</v>
      </c>
      <c r="CK76" s="8">
        <v>21</v>
      </c>
      <c r="CL76" s="3" t="s">
        <v>85</v>
      </c>
      <c r="CM76" s="3"/>
      <c r="CN76" s="3"/>
    </row>
    <row r="77" spans="1:92" x14ac:dyDescent="0.3">
      <c r="A77" s="3" t="s">
        <v>72</v>
      </c>
      <c r="B77" s="3" t="s">
        <v>73</v>
      </c>
      <c r="C77" s="3" t="s">
        <v>74</v>
      </c>
      <c r="D77" s="3"/>
      <c r="E77" s="11" t="str">
        <f>"009942558754"</f>
        <v>009942558754</v>
      </c>
      <c r="F77" s="4">
        <v>44788</v>
      </c>
      <c r="G77" s="3">
        <v>202305</v>
      </c>
      <c r="H77" s="3" t="s">
        <v>79</v>
      </c>
      <c r="I77" s="3" t="s">
        <v>80</v>
      </c>
      <c r="J77" s="3" t="s">
        <v>94</v>
      </c>
      <c r="K77" s="3" t="s">
        <v>78</v>
      </c>
      <c r="L77" s="3" t="s">
        <v>79</v>
      </c>
      <c r="M77" s="3" t="s">
        <v>80</v>
      </c>
      <c r="N77" s="3" t="s">
        <v>430</v>
      </c>
      <c r="O77" s="3" t="s">
        <v>82</v>
      </c>
      <c r="P77" s="3" t="str">
        <f>"INV184989                     "</f>
        <v xml:space="preserve">INV184989        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24.32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0.5</v>
      </c>
      <c r="BJ77" s="3">
        <v>2.7</v>
      </c>
      <c r="BK77" s="3">
        <v>3</v>
      </c>
      <c r="BL77" s="3">
        <v>58.33</v>
      </c>
      <c r="BM77" s="3">
        <v>8.75</v>
      </c>
      <c r="BN77" s="3">
        <v>67.08</v>
      </c>
      <c r="BO77" s="3">
        <v>67.08</v>
      </c>
      <c r="BP77" s="3"/>
      <c r="BQ77" s="3" t="s">
        <v>431</v>
      </c>
      <c r="BR77" s="3" t="s">
        <v>96</v>
      </c>
      <c r="BS77" s="4">
        <v>44789</v>
      </c>
      <c r="BT77" s="5">
        <v>0.48958333333333331</v>
      </c>
      <c r="BU77" s="3" t="s">
        <v>432</v>
      </c>
      <c r="BV77" s="3" t="s">
        <v>85</v>
      </c>
      <c r="BW77" s="3" t="s">
        <v>236</v>
      </c>
      <c r="BX77" s="3" t="s">
        <v>226</v>
      </c>
      <c r="BY77" s="3">
        <v>13738.5</v>
      </c>
      <c r="BZ77" s="3" t="s">
        <v>88</v>
      </c>
      <c r="CA77" s="3" t="s">
        <v>433</v>
      </c>
      <c r="CB77" s="3"/>
      <c r="CC77" s="3" t="s">
        <v>80</v>
      </c>
      <c r="CD77" s="3">
        <v>7925</v>
      </c>
      <c r="CE77" s="3" t="s">
        <v>90</v>
      </c>
      <c r="CF77" s="4">
        <v>44790</v>
      </c>
      <c r="CG77" s="3"/>
      <c r="CH77" s="3"/>
      <c r="CI77" s="8">
        <v>1</v>
      </c>
      <c r="CJ77" s="8">
        <v>1</v>
      </c>
      <c r="CK77" s="8">
        <v>22</v>
      </c>
      <c r="CL77" s="3" t="s">
        <v>85</v>
      </c>
      <c r="CM77" s="3"/>
      <c r="CN77" s="3"/>
    </row>
    <row r="78" spans="1:92" x14ac:dyDescent="0.3">
      <c r="A78" s="3" t="s">
        <v>72</v>
      </c>
      <c r="B78" s="3" t="s">
        <v>73</v>
      </c>
      <c r="C78" s="3" t="s">
        <v>74</v>
      </c>
      <c r="D78" s="3"/>
      <c r="E78" s="11" t="str">
        <f>"009942558759"</f>
        <v>009942558759</v>
      </c>
      <c r="F78" s="4">
        <v>44788</v>
      </c>
      <c r="G78" s="3">
        <v>202305</v>
      </c>
      <c r="H78" s="3" t="s">
        <v>79</v>
      </c>
      <c r="I78" s="3" t="s">
        <v>80</v>
      </c>
      <c r="J78" s="3" t="s">
        <v>94</v>
      </c>
      <c r="K78" s="3" t="s">
        <v>78</v>
      </c>
      <c r="L78" s="3" t="s">
        <v>79</v>
      </c>
      <c r="M78" s="3" t="s">
        <v>80</v>
      </c>
      <c r="N78" s="3" t="s">
        <v>93</v>
      </c>
      <c r="O78" s="3" t="s">
        <v>109</v>
      </c>
      <c r="P78" s="3" t="str">
        <f>"INV185000                     "</f>
        <v xml:space="preserve">INV185000   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24.32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1</v>
      </c>
      <c r="BI78" s="3">
        <v>1.5</v>
      </c>
      <c r="BJ78" s="3">
        <v>3.2</v>
      </c>
      <c r="BK78" s="3">
        <v>4</v>
      </c>
      <c r="BL78" s="3">
        <v>58.34</v>
      </c>
      <c r="BM78" s="3">
        <v>8.75</v>
      </c>
      <c r="BN78" s="3">
        <v>67.09</v>
      </c>
      <c r="BO78" s="3">
        <v>67.09</v>
      </c>
      <c r="BP78" s="3"/>
      <c r="BQ78" s="3" t="s">
        <v>434</v>
      </c>
      <c r="BR78" s="3" t="s">
        <v>96</v>
      </c>
      <c r="BS78" s="4">
        <v>44789</v>
      </c>
      <c r="BT78" s="5">
        <v>0.32847222222222222</v>
      </c>
      <c r="BU78" s="3" t="s">
        <v>435</v>
      </c>
      <c r="BV78" s="3" t="s">
        <v>99</v>
      </c>
      <c r="BW78" s="3"/>
      <c r="BX78" s="3"/>
      <c r="BY78" s="3">
        <v>16187.4</v>
      </c>
      <c r="BZ78" s="3" t="s">
        <v>408</v>
      </c>
      <c r="CA78" s="3" t="s">
        <v>174</v>
      </c>
      <c r="CB78" s="3"/>
      <c r="CC78" s="3" t="s">
        <v>80</v>
      </c>
      <c r="CD78" s="3">
        <v>8001</v>
      </c>
      <c r="CE78" s="3" t="s">
        <v>90</v>
      </c>
      <c r="CF78" s="4">
        <v>44790</v>
      </c>
      <c r="CG78" s="3"/>
      <c r="CH78" s="3"/>
      <c r="CI78" s="8">
        <v>1</v>
      </c>
      <c r="CJ78" s="8">
        <v>1</v>
      </c>
      <c r="CK78" s="8">
        <v>32</v>
      </c>
      <c r="CL78" s="3" t="s">
        <v>85</v>
      </c>
      <c r="CM78" s="3"/>
      <c r="CN78" s="3"/>
    </row>
    <row r="79" spans="1:92" x14ac:dyDescent="0.3">
      <c r="A79" s="3" t="s">
        <v>72</v>
      </c>
      <c r="B79" s="3" t="s">
        <v>73</v>
      </c>
      <c r="C79" s="3" t="s">
        <v>74</v>
      </c>
      <c r="D79" s="3"/>
      <c r="E79" s="11" t="str">
        <f>"009942558751"</f>
        <v>009942558751</v>
      </c>
      <c r="F79" s="4">
        <v>44788</v>
      </c>
      <c r="G79" s="3">
        <v>202305</v>
      </c>
      <c r="H79" s="3" t="s">
        <v>79</v>
      </c>
      <c r="I79" s="3" t="s">
        <v>80</v>
      </c>
      <c r="J79" s="3" t="s">
        <v>94</v>
      </c>
      <c r="K79" s="3" t="s">
        <v>78</v>
      </c>
      <c r="L79" s="3" t="s">
        <v>389</v>
      </c>
      <c r="M79" s="3" t="s">
        <v>390</v>
      </c>
      <c r="N79" s="3" t="s">
        <v>93</v>
      </c>
      <c r="O79" s="3" t="s">
        <v>109</v>
      </c>
      <c r="P79" s="3" t="str">
        <f>"INV184987                     "</f>
        <v xml:space="preserve">INV184987                  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58.37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1</v>
      </c>
      <c r="BI79" s="3">
        <v>0.2</v>
      </c>
      <c r="BJ79" s="3">
        <v>0.9</v>
      </c>
      <c r="BK79" s="3">
        <v>1</v>
      </c>
      <c r="BL79" s="3">
        <v>140.01</v>
      </c>
      <c r="BM79" s="3">
        <v>21</v>
      </c>
      <c r="BN79" s="3">
        <v>161.01</v>
      </c>
      <c r="BO79" s="3">
        <v>161.01</v>
      </c>
      <c r="BP79" s="3"/>
      <c r="BQ79" s="3" t="s">
        <v>436</v>
      </c>
      <c r="BR79" s="3" t="s">
        <v>96</v>
      </c>
      <c r="BS79" s="4">
        <v>44789</v>
      </c>
      <c r="BT79" s="5">
        <v>0.47638888888888892</v>
      </c>
      <c r="BU79" s="3" t="s">
        <v>437</v>
      </c>
      <c r="BV79" s="3" t="s">
        <v>99</v>
      </c>
      <c r="BW79" s="3"/>
      <c r="BX79" s="3"/>
      <c r="BY79" s="3">
        <v>4445.21</v>
      </c>
      <c r="BZ79" s="3" t="s">
        <v>408</v>
      </c>
      <c r="CA79" s="3" t="s">
        <v>438</v>
      </c>
      <c r="CB79" s="3"/>
      <c r="CC79" s="3" t="s">
        <v>390</v>
      </c>
      <c r="CD79" s="3">
        <v>1448</v>
      </c>
      <c r="CE79" s="3" t="s">
        <v>90</v>
      </c>
      <c r="CF79" s="4">
        <v>44790</v>
      </c>
      <c r="CG79" s="3"/>
      <c r="CH79" s="3"/>
      <c r="CI79" s="8">
        <v>1</v>
      </c>
      <c r="CJ79" s="8">
        <v>1</v>
      </c>
      <c r="CK79" s="8">
        <v>31</v>
      </c>
      <c r="CL79" s="3" t="s">
        <v>85</v>
      </c>
      <c r="CM79" s="3"/>
      <c r="CN79" s="3"/>
    </row>
    <row r="80" spans="1:92" x14ac:dyDescent="0.3">
      <c r="A80" s="3" t="s">
        <v>72</v>
      </c>
      <c r="B80" s="3" t="s">
        <v>73</v>
      </c>
      <c r="C80" s="3" t="s">
        <v>74</v>
      </c>
      <c r="D80" s="3"/>
      <c r="E80" s="11" t="str">
        <f>"009942558758"</f>
        <v>009942558758</v>
      </c>
      <c r="F80" s="4">
        <v>44788</v>
      </c>
      <c r="G80" s="3">
        <v>202305</v>
      </c>
      <c r="H80" s="3" t="s">
        <v>79</v>
      </c>
      <c r="I80" s="3" t="s">
        <v>80</v>
      </c>
      <c r="J80" s="3" t="s">
        <v>94</v>
      </c>
      <c r="K80" s="3" t="s">
        <v>78</v>
      </c>
      <c r="L80" s="3" t="s">
        <v>439</v>
      </c>
      <c r="M80" s="3" t="s">
        <v>440</v>
      </c>
      <c r="N80" s="3" t="s">
        <v>441</v>
      </c>
      <c r="O80" s="3" t="s">
        <v>95</v>
      </c>
      <c r="P80" s="3" t="str">
        <f>"INV184996                     "</f>
        <v xml:space="preserve">INV184996        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5.25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84.91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1</v>
      </c>
      <c r="BI80" s="3">
        <v>2.6</v>
      </c>
      <c r="BJ80" s="3">
        <v>11.2</v>
      </c>
      <c r="BK80" s="3">
        <v>12</v>
      </c>
      <c r="BL80" s="3">
        <v>208.91</v>
      </c>
      <c r="BM80" s="3">
        <v>31.34</v>
      </c>
      <c r="BN80" s="3">
        <v>240.25</v>
      </c>
      <c r="BO80" s="3">
        <v>240.25</v>
      </c>
      <c r="BP80" s="3"/>
      <c r="BQ80" s="3" t="s">
        <v>442</v>
      </c>
      <c r="BR80" s="3" t="s">
        <v>96</v>
      </c>
      <c r="BS80" s="4">
        <v>44791</v>
      </c>
      <c r="BT80" s="5">
        <v>0.55486111111111114</v>
      </c>
      <c r="BU80" s="3" t="s">
        <v>443</v>
      </c>
      <c r="BV80" s="3" t="s">
        <v>99</v>
      </c>
      <c r="BW80" s="3"/>
      <c r="BX80" s="3"/>
      <c r="BY80" s="3">
        <v>55787.83</v>
      </c>
      <c r="BZ80" s="3" t="s">
        <v>408</v>
      </c>
      <c r="CA80" s="3"/>
      <c r="CB80" s="3"/>
      <c r="CC80" s="3" t="s">
        <v>440</v>
      </c>
      <c r="CD80" s="3">
        <v>4180</v>
      </c>
      <c r="CE80" s="3" t="s">
        <v>90</v>
      </c>
      <c r="CF80" s="4">
        <v>44792</v>
      </c>
      <c r="CG80" s="3"/>
      <c r="CH80" s="3"/>
      <c r="CI80" s="8">
        <v>3</v>
      </c>
      <c r="CJ80" s="8">
        <v>3</v>
      </c>
      <c r="CK80" s="8">
        <v>43</v>
      </c>
      <c r="CL80" s="3" t="s">
        <v>85</v>
      </c>
      <c r="CM80" s="3"/>
      <c r="CN80" s="3"/>
    </row>
    <row r="81" spans="1:92" x14ac:dyDescent="0.3">
      <c r="A81" s="3" t="s">
        <v>72</v>
      </c>
      <c r="B81" s="3" t="s">
        <v>73</v>
      </c>
      <c r="C81" s="3" t="s">
        <v>74</v>
      </c>
      <c r="D81" s="3"/>
      <c r="E81" s="11" t="str">
        <f>"009942558753"</f>
        <v>009942558753</v>
      </c>
      <c r="F81" s="4">
        <v>44788</v>
      </c>
      <c r="G81" s="3">
        <v>202305</v>
      </c>
      <c r="H81" s="3" t="s">
        <v>79</v>
      </c>
      <c r="I81" s="3" t="s">
        <v>80</v>
      </c>
      <c r="J81" s="3" t="s">
        <v>94</v>
      </c>
      <c r="K81" s="3" t="s">
        <v>78</v>
      </c>
      <c r="L81" s="3" t="s">
        <v>444</v>
      </c>
      <c r="M81" s="3" t="s">
        <v>445</v>
      </c>
      <c r="N81" s="3" t="s">
        <v>446</v>
      </c>
      <c r="O81" s="3" t="s">
        <v>95</v>
      </c>
      <c r="P81" s="3" t="str">
        <f>"INV184983                     "</f>
        <v xml:space="preserve">INV184983        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5.25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84.91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1</v>
      </c>
      <c r="BI81" s="3">
        <v>1.1000000000000001</v>
      </c>
      <c r="BJ81" s="3">
        <v>3.6</v>
      </c>
      <c r="BK81" s="3">
        <v>4</v>
      </c>
      <c r="BL81" s="3">
        <v>208.91</v>
      </c>
      <c r="BM81" s="3">
        <v>31.34</v>
      </c>
      <c r="BN81" s="3">
        <v>240.25</v>
      </c>
      <c r="BO81" s="3">
        <v>240.25</v>
      </c>
      <c r="BP81" s="3"/>
      <c r="BQ81" s="3" t="s">
        <v>447</v>
      </c>
      <c r="BR81" s="3" t="s">
        <v>96</v>
      </c>
      <c r="BS81" s="4">
        <v>44790</v>
      </c>
      <c r="BT81" s="5">
        <v>0.50347222222222221</v>
      </c>
      <c r="BU81" s="3" t="s">
        <v>448</v>
      </c>
      <c r="BV81" s="3" t="s">
        <v>99</v>
      </c>
      <c r="BW81" s="3"/>
      <c r="BX81" s="3"/>
      <c r="BY81" s="3">
        <v>17841.12</v>
      </c>
      <c r="BZ81" s="3" t="s">
        <v>408</v>
      </c>
      <c r="CA81" s="3" t="s">
        <v>449</v>
      </c>
      <c r="CB81" s="3"/>
      <c r="CC81" s="3" t="s">
        <v>445</v>
      </c>
      <c r="CD81" s="3">
        <v>250</v>
      </c>
      <c r="CE81" s="3" t="s">
        <v>90</v>
      </c>
      <c r="CF81" s="4">
        <v>44790</v>
      </c>
      <c r="CG81" s="3"/>
      <c r="CH81" s="3"/>
      <c r="CI81" s="8">
        <v>3</v>
      </c>
      <c r="CJ81" s="8">
        <v>2</v>
      </c>
      <c r="CK81" s="8">
        <v>43</v>
      </c>
      <c r="CL81" s="3" t="s">
        <v>85</v>
      </c>
      <c r="CM81" s="3"/>
      <c r="CN81" s="3"/>
    </row>
    <row r="82" spans="1:92" x14ac:dyDescent="0.3">
      <c r="A82" s="3" t="s">
        <v>72</v>
      </c>
      <c r="B82" s="3" t="s">
        <v>73</v>
      </c>
      <c r="C82" s="3" t="s">
        <v>74</v>
      </c>
      <c r="D82" s="3"/>
      <c r="E82" s="11" t="str">
        <f>"009942558748"</f>
        <v>009942558748</v>
      </c>
      <c r="F82" s="4">
        <v>44788</v>
      </c>
      <c r="G82" s="3">
        <v>202305</v>
      </c>
      <c r="H82" s="3" t="s">
        <v>79</v>
      </c>
      <c r="I82" s="3" t="s">
        <v>80</v>
      </c>
      <c r="J82" s="3" t="s">
        <v>94</v>
      </c>
      <c r="K82" s="3" t="s">
        <v>78</v>
      </c>
      <c r="L82" s="3" t="s">
        <v>450</v>
      </c>
      <c r="M82" s="3" t="s">
        <v>451</v>
      </c>
      <c r="N82" s="3" t="s">
        <v>452</v>
      </c>
      <c r="O82" s="3" t="s">
        <v>95</v>
      </c>
      <c r="P82" s="3" t="str">
        <f>"INV184903                     "</f>
        <v xml:space="preserve">INV184903        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5.25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60.2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2.1</v>
      </c>
      <c r="BJ82" s="3">
        <v>8.8000000000000007</v>
      </c>
      <c r="BK82" s="3">
        <v>9</v>
      </c>
      <c r="BL82" s="3">
        <v>149.65</v>
      </c>
      <c r="BM82" s="3">
        <v>22.45</v>
      </c>
      <c r="BN82" s="3">
        <v>172.1</v>
      </c>
      <c r="BO82" s="3">
        <v>172.1</v>
      </c>
      <c r="BP82" s="3"/>
      <c r="BQ82" s="3" t="s">
        <v>453</v>
      </c>
      <c r="BR82" s="3" t="s">
        <v>96</v>
      </c>
      <c r="BS82" s="4">
        <v>44790</v>
      </c>
      <c r="BT82" s="5">
        <v>0.59513888888888888</v>
      </c>
      <c r="BU82" s="3" t="s">
        <v>454</v>
      </c>
      <c r="BV82" s="3" t="s">
        <v>99</v>
      </c>
      <c r="BW82" s="3"/>
      <c r="BX82" s="3"/>
      <c r="BY82" s="3">
        <v>44009.279999999999</v>
      </c>
      <c r="BZ82" s="3" t="s">
        <v>408</v>
      </c>
      <c r="CA82" s="3" t="s">
        <v>455</v>
      </c>
      <c r="CB82" s="3"/>
      <c r="CC82" s="3" t="s">
        <v>451</v>
      </c>
      <c r="CD82" s="3">
        <v>1541</v>
      </c>
      <c r="CE82" s="3" t="s">
        <v>90</v>
      </c>
      <c r="CF82" s="4">
        <v>44790</v>
      </c>
      <c r="CG82" s="3"/>
      <c r="CH82" s="3"/>
      <c r="CI82" s="8">
        <v>2</v>
      </c>
      <c r="CJ82" s="8">
        <v>2</v>
      </c>
      <c r="CK82" s="8">
        <v>41</v>
      </c>
      <c r="CL82" s="3" t="s">
        <v>85</v>
      </c>
      <c r="CM82" s="3"/>
      <c r="CN82" s="3"/>
    </row>
    <row r="83" spans="1:92" x14ac:dyDescent="0.3">
      <c r="A83" s="3" t="s">
        <v>72</v>
      </c>
      <c r="B83" s="3" t="s">
        <v>73</v>
      </c>
      <c r="C83" s="3" t="s">
        <v>74</v>
      </c>
      <c r="D83" s="3"/>
      <c r="E83" s="11" t="str">
        <f>"009942558747"</f>
        <v>009942558747</v>
      </c>
      <c r="F83" s="4">
        <v>44788</v>
      </c>
      <c r="G83" s="3">
        <v>202305</v>
      </c>
      <c r="H83" s="3" t="s">
        <v>79</v>
      </c>
      <c r="I83" s="3" t="s">
        <v>80</v>
      </c>
      <c r="J83" s="3" t="s">
        <v>94</v>
      </c>
      <c r="K83" s="3" t="s">
        <v>78</v>
      </c>
      <c r="L83" s="3" t="s">
        <v>389</v>
      </c>
      <c r="M83" s="3" t="s">
        <v>390</v>
      </c>
      <c r="N83" s="3" t="s">
        <v>93</v>
      </c>
      <c r="O83" s="3" t="s">
        <v>109</v>
      </c>
      <c r="P83" s="3" t="str">
        <f>"INV184901                     "</f>
        <v xml:space="preserve">INV184901             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131.34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1</v>
      </c>
      <c r="BI83" s="3">
        <v>2</v>
      </c>
      <c r="BJ83" s="3">
        <v>8.9</v>
      </c>
      <c r="BK83" s="3">
        <v>9</v>
      </c>
      <c r="BL83" s="3">
        <v>315.02999999999997</v>
      </c>
      <c r="BM83" s="3">
        <v>47.25</v>
      </c>
      <c r="BN83" s="3">
        <v>362.28</v>
      </c>
      <c r="BO83" s="3">
        <v>362.28</v>
      </c>
      <c r="BP83" s="3"/>
      <c r="BQ83" s="3" t="s">
        <v>456</v>
      </c>
      <c r="BR83" s="3" t="s">
        <v>96</v>
      </c>
      <c r="BS83" s="4">
        <v>44789</v>
      </c>
      <c r="BT83" s="5">
        <v>0.39444444444444443</v>
      </c>
      <c r="BU83" s="3" t="s">
        <v>457</v>
      </c>
      <c r="BV83" s="3" t="s">
        <v>99</v>
      </c>
      <c r="BW83" s="3"/>
      <c r="BX83" s="3"/>
      <c r="BY83" s="3">
        <v>44417.279999999999</v>
      </c>
      <c r="BZ83" s="3" t="s">
        <v>408</v>
      </c>
      <c r="CA83" s="3" t="s">
        <v>458</v>
      </c>
      <c r="CB83" s="3"/>
      <c r="CC83" s="3" t="s">
        <v>390</v>
      </c>
      <c r="CD83" s="3">
        <v>1448</v>
      </c>
      <c r="CE83" s="3" t="s">
        <v>90</v>
      </c>
      <c r="CF83" s="4">
        <v>44790</v>
      </c>
      <c r="CG83" s="3"/>
      <c r="CH83" s="3"/>
      <c r="CI83" s="8">
        <v>1</v>
      </c>
      <c r="CJ83" s="8">
        <v>1</v>
      </c>
      <c r="CK83" s="8">
        <v>31</v>
      </c>
      <c r="CL83" s="3" t="s">
        <v>85</v>
      </c>
      <c r="CM83" s="3"/>
      <c r="CN83" s="3"/>
    </row>
    <row r="84" spans="1:92" x14ac:dyDescent="0.3">
      <c r="A84" s="3" t="s">
        <v>72</v>
      </c>
      <c r="B84" s="3" t="s">
        <v>73</v>
      </c>
      <c r="C84" s="3" t="s">
        <v>74</v>
      </c>
      <c r="D84" s="3"/>
      <c r="E84" s="11" t="str">
        <f>"009942558755"</f>
        <v>009942558755</v>
      </c>
      <c r="F84" s="4">
        <v>44788</v>
      </c>
      <c r="G84" s="3">
        <v>202305</v>
      </c>
      <c r="H84" s="3" t="s">
        <v>79</v>
      </c>
      <c r="I84" s="3" t="s">
        <v>80</v>
      </c>
      <c r="J84" s="3" t="s">
        <v>94</v>
      </c>
      <c r="K84" s="3" t="s">
        <v>78</v>
      </c>
      <c r="L84" s="3" t="s">
        <v>153</v>
      </c>
      <c r="M84" s="3" t="s">
        <v>154</v>
      </c>
      <c r="N84" s="3" t="s">
        <v>93</v>
      </c>
      <c r="O84" s="3" t="s">
        <v>95</v>
      </c>
      <c r="P84" s="3" t="str">
        <f>"INV184991                     "</f>
        <v xml:space="preserve">INV184991   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5.25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60.2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1</v>
      </c>
      <c r="BI84" s="3">
        <v>1.4</v>
      </c>
      <c r="BJ84" s="3">
        <v>7</v>
      </c>
      <c r="BK84" s="3">
        <v>7</v>
      </c>
      <c r="BL84" s="3">
        <v>149.65</v>
      </c>
      <c r="BM84" s="3">
        <v>22.45</v>
      </c>
      <c r="BN84" s="3">
        <v>172.1</v>
      </c>
      <c r="BO84" s="3">
        <v>172.1</v>
      </c>
      <c r="BP84" s="3"/>
      <c r="BQ84" s="3" t="s">
        <v>459</v>
      </c>
      <c r="BR84" s="3" t="s">
        <v>96</v>
      </c>
      <c r="BS84" s="4">
        <v>44790</v>
      </c>
      <c r="BT84" s="5">
        <v>0.36736111111111108</v>
      </c>
      <c r="BU84" s="3" t="s">
        <v>460</v>
      </c>
      <c r="BV84" s="3" t="s">
        <v>99</v>
      </c>
      <c r="BW84" s="3"/>
      <c r="BX84" s="3"/>
      <c r="BY84" s="3">
        <v>34777.599999999999</v>
      </c>
      <c r="BZ84" s="3" t="s">
        <v>408</v>
      </c>
      <c r="CA84" s="3" t="s">
        <v>461</v>
      </c>
      <c r="CB84" s="3"/>
      <c r="CC84" s="3" t="s">
        <v>154</v>
      </c>
      <c r="CD84" s="3">
        <v>1609</v>
      </c>
      <c r="CE84" s="3" t="s">
        <v>90</v>
      </c>
      <c r="CF84" s="4">
        <v>44791</v>
      </c>
      <c r="CG84" s="3"/>
      <c r="CH84" s="3"/>
      <c r="CI84" s="8">
        <v>2</v>
      </c>
      <c r="CJ84" s="8">
        <v>2</v>
      </c>
      <c r="CK84" s="8">
        <v>41</v>
      </c>
      <c r="CL84" s="3" t="s">
        <v>85</v>
      </c>
      <c r="CM84" s="3"/>
      <c r="CN84" s="3"/>
    </row>
    <row r="85" spans="1:92" x14ac:dyDescent="0.3">
      <c r="A85" s="3" t="s">
        <v>72</v>
      </c>
      <c r="B85" s="3" t="s">
        <v>73</v>
      </c>
      <c r="C85" s="3" t="s">
        <v>74</v>
      </c>
      <c r="D85" s="3"/>
      <c r="E85" s="11" t="str">
        <f>"009942558752"</f>
        <v>009942558752</v>
      </c>
      <c r="F85" s="4">
        <v>44788</v>
      </c>
      <c r="G85" s="3">
        <v>202305</v>
      </c>
      <c r="H85" s="3" t="s">
        <v>79</v>
      </c>
      <c r="I85" s="3" t="s">
        <v>80</v>
      </c>
      <c r="J85" s="3" t="s">
        <v>94</v>
      </c>
      <c r="K85" s="3" t="s">
        <v>78</v>
      </c>
      <c r="L85" s="3" t="s">
        <v>79</v>
      </c>
      <c r="M85" s="3" t="s">
        <v>80</v>
      </c>
      <c r="N85" s="3" t="s">
        <v>93</v>
      </c>
      <c r="O85" s="3" t="s">
        <v>109</v>
      </c>
      <c r="P85" s="3" t="str">
        <f>"INV184988                     "</f>
        <v xml:space="preserve">INV184988        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35.25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1</v>
      </c>
      <c r="BI85" s="3">
        <v>2.6</v>
      </c>
      <c r="BJ85" s="3">
        <v>12</v>
      </c>
      <c r="BK85" s="3">
        <v>12</v>
      </c>
      <c r="BL85" s="3">
        <v>84.55</v>
      </c>
      <c r="BM85" s="3">
        <v>12.68</v>
      </c>
      <c r="BN85" s="3">
        <v>97.23</v>
      </c>
      <c r="BO85" s="3">
        <v>97.23</v>
      </c>
      <c r="BP85" s="3"/>
      <c r="BQ85" s="3" t="s">
        <v>462</v>
      </c>
      <c r="BR85" s="3" t="s">
        <v>96</v>
      </c>
      <c r="BS85" s="4">
        <v>44789</v>
      </c>
      <c r="BT85" s="5">
        <v>0.43124999999999997</v>
      </c>
      <c r="BU85" s="3" t="s">
        <v>463</v>
      </c>
      <c r="BV85" s="3" t="s">
        <v>99</v>
      </c>
      <c r="BW85" s="3"/>
      <c r="BX85" s="3"/>
      <c r="BY85" s="3">
        <v>59977.88</v>
      </c>
      <c r="BZ85" s="3" t="s">
        <v>408</v>
      </c>
      <c r="CA85" s="3" t="s">
        <v>89</v>
      </c>
      <c r="CB85" s="3"/>
      <c r="CC85" s="3" t="s">
        <v>80</v>
      </c>
      <c r="CD85" s="3">
        <v>7975</v>
      </c>
      <c r="CE85" s="3" t="s">
        <v>90</v>
      </c>
      <c r="CF85" s="4">
        <v>44790</v>
      </c>
      <c r="CG85" s="3"/>
      <c r="CH85" s="3"/>
      <c r="CI85" s="8">
        <v>1</v>
      </c>
      <c r="CJ85" s="8">
        <v>1</v>
      </c>
      <c r="CK85" s="8">
        <v>32</v>
      </c>
      <c r="CL85" s="3" t="s">
        <v>85</v>
      </c>
      <c r="CM85" s="3"/>
      <c r="CN85" s="3"/>
    </row>
    <row r="86" spans="1:92" x14ac:dyDescent="0.3">
      <c r="A86" s="3" t="s">
        <v>72</v>
      </c>
      <c r="B86" s="3" t="s">
        <v>73</v>
      </c>
      <c r="C86" s="3" t="s">
        <v>74</v>
      </c>
      <c r="D86" s="3"/>
      <c r="E86" s="11" t="str">
        <f>"009942558749"</f>
        <v>009942558749</v>
      </c>
      <c r="F86" s="4">
        <v>44788</v>
      </c>
      <c r="G86" s="3">
        <v>202305</v>
      </c>
      <c r="H86" s="3" t="s">
        <v>79</v>
      </c>
      <c r="I86" s="3" t="s">
        <v>80</v>
      </c>
      <c r="J86" s="3" t="s">
        <v>94</v>
      </c>
      <c r="K86" s="3" t="s">
        <v>78</v>
      </c>
      <c r="L86" s="3" t="s">
        <v>404</v>
      </c>
      <c r="M86" s="3" t="s">
        <v>405</v>
      </c>
      <c r="N86" s="3" t="s">
        <v>464</v>
      </c>
      <c r="O86" s="3" t="s">
        <v>95</v>
      </c>
      <c r="P86" s="3" t="str">
        <f>"INV184980                     "</f>
        <v xml:space="preserve">INV184980        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5.25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60.2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1</v>
      </c>
      <c r="BI86" s="3">
        <v>2.7</v>
      </c>
      <c r="BJ86" s="3">
        <v>13.9</v>
      </c>
      <c r="BK86" s="3">
        <v>14</v>
      </c>
      <c r="BL86" s="3">
        <v>149.65</v>
      </c>
      <c r="BM86" s="3">
        <v>22.45</v>
      </c>
      <c r="BN86" s="3">
        <v>172.1</v>
      </c>
      <c r="BO86" s="3">
        <v>172.1</v>
      </c>
      <c r="BP86" s="3"/>
      <c r="BQ86" s="3" t="s">
        <v>465</v>
      </c>
      <c r="BR86" s="3" t="s">
        <v>96</v>
      </c>
      <c r="BS86" s="4">
        <v>44791</v>
      </c>
      <c r="BT86" s="5">
        <v>0.41666666666666669</v>
      </c>
      <c r="BU86" s="6">
        <v>9942558749</v>
      </c>
      <c r="BV86" s="3" t="s">
        <v>85</v>
      </c>
      <c r="BW86" s="3" t="s">
        <v>319</v>
      </c>
      <c r="BX86" s="3" t="s">
        <v>294</v>
      </c>
      <c r="BY86" s="3">
        <v>69308.75</v>
      </c>
      <c r="BZ86" s="3" t="s">
        <v>408</v>
      </c>
      <c r="CA86" s="3" t="s">
        <v>466</v>
      </c>
      <c r="CB86" s="3"/>
      <c r="CC86" s="3" t="s">
        <v>405</v>
      </c>
      <c r="CD86" s="3">
        <v>157</v>
      </c>
      <c r="CE86" s="3" t="s">
        <v>90</v>
      </c>
      <c r="CF86" s="4">
        <v>44792</v>
      </c>
      <c r="CG86" s="3"/>
      <c r="CH86" s="3"/>
      <c r="CI86" s="8">
        <v>2</v>
      </c>
      <c r="CJ86" s="8">
        <v>3</v>
      </c>
      <c r="CK86" s="8">
        <v>41</v>
      </c>
      <c r="CL86" s="3" t="s">
        <v>85</v>
      </c>
      <c r="CM86" s="3"/>
      <c r="CN86" s="3"/>
    </row>
    <row r="87" spans="1:92" x14ac:dyDescent="0.3">
      <c r="A87" s="3" t="s">
        <v>72</v>
      </c>
      <c r="B87" s="3" t="s">
        <v>73</v>
      </c>
      <c r="C87" s="3" t="s">
        <v>74</v>
      </c>
      <c r="D87" s="3"/>
      <c r="E87" s="11" t="str">
        <f>"009942558756"</f>
        <v>009942558756</v>
      </c>
      <c r="F87" s="4">
        <v>44788</v>
      </c>
      <c r="G87" s="3">
        <v>202305</v>
      </c>
      <c r="H87" s="3" t="s">
        <v>79</v>
      </c>
      <c r="I87" s="3" t="s">
        <v>80</v>
      </c>
      <c r="J87" s="3" t="s">
        <v>94</v>
      </c>
      <c r="K87" s="3" t="s">
        <v>78</v>
      </c>
      <c r="L87" s="3" t="s">
        <v>125</v>
      </c>
      <c r="M87" s="3" t="s">
        <v>126</v>
      </c>
      <c r="N87" s="3" t="s">
        <v>467</v>
      </c>
      <c r="O87" s="3" t="s">
        <v>109</v>
      </c>
      <c r="P87" s="3" t="str">
        <f>"INV184998                     "</f>
        <v xml:space="preserve">INV184998        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175.12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2.8</v>
      </c>
      <c r="BJ87" s="3">
        <v>11.8</v>
      </c>
      <c r="BK87" s="3">
        <v>12</v>
      </c>
      <c r="BL87" s="3">
        <v>420.04</v>
      </c>
      <c r="BM87" s="3">
        <v>63.01</v>
      </c>
      <c r="BN87" s="3">
        <v>483.05</v>
      </c>
      <c r="BO87" s="3">
        <v>483.05</v>
      </c>
      <c r="BP87" s="3"/>
      <c r="BQ87" s="3" t="s">
        <v>468</v>
      </c>
      <c r="BR87" s="3" t="s">
        <v>96</v>
      </c>
      <c r="BS87" s="4">
        <v>44789</v>
      </c>
      <c r="BT87" s="5">
        <v>0.37638888888888888</v>
      </c>
      <c r="BU87" s="3" t="s">
        <v>469</v>
      </c>
      <c r="BV87" s="3" t="s">
        <v>99</v>
      </c>
      <c r="BW87" s="3"/>
      <c r="BX87" s="3"/>
      <c r="BY87" s="3">
        <v>59031.9</v>
      </c>
      <c r="BZ87" s="3" t="s">
        <v>408</v>
      </c>
      <c r="CA87" s="3" t="s">
        <v>470</v>
      </c>
      <c r="CB87" s="3"/>
      <c r="CC87" s="3" t="s">
        <v>126</v>
      </c>
      <c r="CD87" s="3">
        <v>2000</v>
      </c>
      <c r="CE87" s="3" t="s">
        <v>90</v>
      </c>
      <c r="CF87" s="4">
        <v>44790</v>
      </c>
      <c r="CG87" s="3"/>
      <c r="CH87" s="3"/>
      <c r="CI87" s="8">
        <v>1</v>
      </c>
      <c r="CJ87" s="8">
        <v>1</v>
      </c>
      <c r="CK87" s="8">
        <v>31</v>
      </c>
      <c r="CL87" s="3" t="s">
        <v>85</v>
      </c>
      <c r="CM87" s="3"/>
      <c r="CN87" s="3"/>
    </row>
    <row r="88" spans="1:92" x14ac:dyDescent="0.3">
      <c r="A88" s="3" t="s">
        <v>72</v>
      </c>
      <c r="B88" s="3" t="s">
        <v>73</v>
      </c>
      <c r="C88" s="3" t="s">
        <v>74</v>
      </c>
      <c r="D88" s="3"/>
      <c r="E88" s="11" t="str">
        <f>"009942558750"</f>
        <v>009942558750</v>
      </c>
      <c r="F88" s="4">
        <v>44788</v>
      </c>
      <c r="G88" s="3">
        <v>202305</v>
      </c>
      <c r="H88" s="3" t="s">
        <v>79</v>
      </c>
      <c r="I88" s="3" t="s">
        <v>80</v>
      </c>
      <c r="J88" s="3" t="s">
        <v>94</v>
      </c>
      <c r="K88" s="3" t="s">
        <v>78</v>
      </c>
      <c r="L88" s="3" t="s">
        <v>444</v>
      </c>
      <c r="M88" s="3" t="s">
        <v>445</v>
      </c>
      <c r="N88" s="3" t="s">
        <v>471</v>
      </c>
      <c r="O88" s="3" t="s">
        <v>95</v>
      </c>
      <c r="P88" s="3" t="str">
        <f>"INV184986                     "</f>
        <v xml:space="preserve">INV184986        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5.25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84.91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15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1</v>
      </c>
      <c r="BI88" s="3">
        <v>0.1</v>
      </c>
      <c r="BJ88" s="3">
        <v>1</v>
      </c>
      <c r="BK88" s="3">
        <v>1</v>
      </c>
      <c r="BL88" s="3">
        <v>223.91</v>
      </c>
      <c r="BM88" s="3">
        <v>33.590000000000003</v>
      </c>
      <c r="BN88" s="3">
        <v>257.5</v>
      </c>
      <c r="BO88" s="3">
        <v>257.5</v>
      </c>
      <c r="BP88" s="3"/>
      <c r="BQ88" s="3" t="s">
        <v>472</v>
      </c>
      <c r="BR88" s="3" t="s">
        <v>96</v>
      </c>
      <c r="BS88" s="4">
        <v>44790</v>
      </c>
      <c r="BT88" s="5">
        <v>0.70833333333333337</v>
      </c>
      <c r="BU88" s="3" t="s">
        <v>473</v>
      </c>
      <c r="BV88" s="3" t="s">
        <v>99</v>
      </c>
      <c r="BW88" s="3"/>
      <c r="BX88" s="3"/>
      <c r="BY88" s="3">
        <v>4808.96</v>
      </c>
      <c r="BZ88" s="3" t="s">
        <v>474</v>
      </c>
      <c r="CA88" s="3" t="s">
        <v>475</v>
      </c>
      <c r="CB88" s="3"/>
      <c r="CC88" s="3" t="s">
        <v>445</v>
      </c>
      <c r="CD88" s="3">
        <v>216</v>
      </c>
      <c r="CE88" s="3" t="s">
        <v>90</v>
      </c>
      <c r="CF88" s="4">
        <v>44791</v>
      </c>
      <c r="CG88" s="3"/>
      <c r="CH88" s="3"/>
      <c r="CI88" s="8">
        <v>3</v>
      </c>
      <c r="CJ88" s="8">
        <v>2</v>
      </c>
      <c r="CK88" s="8">
        <v>43</v>
      </c>
      <c r="CL88" s="3" t="s">
        <v>85</v>
      </c>
      <c r="CM88" s="3"/>
      <c r="CN88" s="3"/>
    </row>
    <row r="89" spans="1:92" x14ac:dyDescent="0.3">
      <c r="A89" s="3" t="s">
        <v>72</v>
      </c>
      <c r="B89" s="3" t="s">
        <v>73</v>
      </c>
      <c r="C89" s="3" t="s">
        <v>74</v>
      </c>
      <c r="D89" s="3"/>
      <c r="E89" s="11" t="str">
        <f>"009942377709"</f>
        <v>009942377709</v>
      </c>
      <c r="F89" s="4">
        <v>44788</v>
      </c>
      <c r="G89" s="3">
        <v>202305</v>
      </c>
      <c r="H89" s="3" t="s">
        <v>421</v>
      </c>
      <c r="I89" s="3" t="s">
        <v>421</v>
      </c>
      <c r="J89" s="3" t="s">
        <v>476</v>
      </c>
      <c r="K89" s="3" t="s">
        <v>78</v>
      </c>
      <c r="L89" s="3" t="s">
        <v>477</v>
      </c>
      <c r="M89" s="3" t="s">
        <v>478</v>
      </c>
      <c r="N89" s="3" t="s">
        <v>479</v>
      </c>
      <c r="O89" s="3" t="s">
        <v>82</v>
      </c>
      <c r="P89" s="3" t="str">
        <f>"CPT0218550523                 "</f>
        <v xml:space="preserve">CPT0218550523    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116.7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1</v>
      </c>
      <c r="BI89" s="3">
        <v>2.2000000000000002</v>
      </c>
      <c r="BJ89" s="3">
        <v>7.1</v>
      </c>
      <c r="BK89" s="3">
        <v>7.5</v>
      </c>
      <c r="BL89" s="3">
        <v>279.92</v>
      </c>
      <c r="BM89" s="3">
        <v>41.99</v>
      </c>
      <c r="BN89" s="3">
        <v>321.91000000000003</v>
      </c>
      <c r="BO89" s="3">
        <v>321.91000000000003</v>
      </c>
      <c r="BP89" s="3"/>
      <c r="BQ89" s="3" t="s">
        <v>480</v>
      </c>
      <c r="BR89" s="3" t="s">
        <v>481</v>
      </c>
      <c r="BS89" s="4">
        <v>44789</v>
      </c>
      <c r="BT89" s="5">
        <v>0.42986111111111108</v>
      </c>
      <c r="BU89" s="3" t="s">
        <v>482</v>
      </c>
      <c r="BV89" s="3" t="s">
        <v>99</v>
      </c>
      <c r="BW89" s="3"/>
      <c r="BX89" s="3"/>
      <c r="BY89" s="3">
        <v>35578.730000000003</v>
      </c>
      <c r="BZ89" s="3" t="s">
        <v>88</v>
      </c>
      <c r="CA89" s="3" t="s">
        <v>483</v>
      </c>
      <c r="CB89" s="3"/>
      <c r="CC89" s="3" t="s">
        <v>478</v>
      </c>
      <c r="CD89" s="3">
        <v>9300</v>
      </c>
      <c r="CE89" s="3" t="s">
        <v>90</v>
      </c>
      <c r="CF89" s="4">
        <v>44790</v>
      </c>
      <c r="CG89" s="3"/>
      <c r="CH89" s="3"/>
      <c r="CI89" s="8">
        <v>1</v>
      </c>
      <c r="CJ89" s="8">
        <v>1</v>
      </c>
      <c r="CK89" s="8">
        <v>21</v>
      </c>
      <c r="CL89" s="3" t="s">
        <v>85</v>
      </c>
      <c r="CM89" s="3"/>
      <c r="CN89" s="3"/>
    </row>
    <row r="90" spans="1:92" x14ac:dyDescent="0.3">
      <c r="A90" s="3" t="s">
        <v>72</v>
      </c>
      <c r="B90" s="3" t="s">
        <v>73</v>
      </c>
      <c r="C90" s="3" t="s">
        <v>74</v>
      </c>
      <c r="D90" s="3"/>
      <c r="E90" s="11" t="str">
        <f>"009942558757"</f>
        <v>009942558757</v>
      </c>
      <c r="F90" s="4">
        <v>44788</v>
      </c>
      <c r="G90" s="3">
        <v>202305</v>
      </c>
      <c r="H90" s="3" t="s">
        <v>79</v>
      </c>
      <c r="I90" s="3" t="s">
        <v>80</v>
      </c>
      <c r="J90" s="3" t="s">
        <v>94</v>
      </c>
      <c r="K90" s="3" t="s">
        <v>78</v>
      </c>
      <c r="L90" s="3" t="s">
        <v>484</v>
      </c>
      <c r="M90" s="3" t="s">
        <v>485</v>
      </c>
      <c r="N90" s="3" t="s">
        <v>93</v>
      </c>
      <c r="O90" s="3" t="s">
        <v>95</v>
      </c>
      <c r="P90" s="3" t="str">
        <f>"INV184992                     "</f>
        <v xml:space="preserve">INV184992        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5.25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60.2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1</v>
      </c>
      <c r="BI90" s="3">
        <v>0.6</v>
      </c>
      <c r="BJ90" s="3">
        <v>1.1000000000000001</v>
      </c>
      <c r="BK90" s="3">
        <v>2</v>
      </c>
      <c r="BL90" s="3">
        <v>149.65</v>
      </c>
      <c r="BM90" s="3">
        <v>22.45</v>
      </c>
      <c r="BN90" s="3">
        <v>172.1</v>
      </c>
      <c r="BO90" s="3">
        <v>172.1</v>
      </c>
      <c r="BP90" s="3"/>
      <c r="BQ90" s="3" t="s">
        <v>486</v>
      </c>
      <c r="BR90" s="3" t="s">
        <v>96</v>
      </c>
      <c r="BS90" s="4">
        <v>44790</v>
      </c>
      <c r="BT90" s="5">
        <v>0.4597222222222222</v>
      </c>
      <c r="BU90" s="3" t="s">
        <v>487</v>
      </c>
      <c r="BV90" s="3" t="s">
        <v>99</v>
      </c>
      <c r="BW90" s="3"/>
      <c r="BX90" s="3"/>
      <c r="BY90" s="3">
        <v>5311.74</v>
      </c>
      <c r="BZ90" s="3" t="s">
        <v>424</v>
      </c>
      <c r="CA90" s="3" t="s">
        <v>488</v>
      </c>
      <c r="CB90" s="3"/>
      <c r="CC90" s="3" t="s">
        <v>485</v>
      </c>
      <c r="CD90" s="3">
        <v>3610</v>
      </c>
      <c r="CE90" s="3" t="s">
        <v>90</v>
      </c>
      <c r="CF90" s="4">
        <v>44790</v>
      </c>
      <c r="CG90" s="3"/>
      <c r="CH90" s="3"/>
      <c r="CI90" s="8">
        <v>3</v>
      </c>
      <c r="CJ90" s="8">
        <v>2</v>
      </c>
      <c r="CK90" s="8">
        <v>41</v>
      </c>
      <c r="CL90" s="3" t="s">
        <v>85</v>
      </c>
      <c r="CM90" s="3"/>
      <c r="CN90" s="3"/>
    </row>
    <row r="91" spans="1:92" x14ac:dyDescent="0.3">
      <c r="A91" s="3" t="s">
        <v>72</v>
      </c>
      <c r="B91" s="3" t="s">
        <v>73</v>
      </c>
      <c r="C91" s="3" t="s">
        <v>74</v>
      </c>
      <c r="D91" s="3"/>
      <c r="E91" s="11" t="str">
        <f>"009942558762"</f>
        <v>009942558762</v>
      </c>
      <c r="F91" s="4">
        <v>44789</v>
      </c>
      <c r="G91" s="3">
        <v>202305</v>
      </c>
      <c r="H91" s="3" t="s">
        <v>79</v>
      </c>
      <c r="I91" s="3" t="s">
        <v>80</v>
      </c>
      <c r="J91" s="3" t="s">
        <v>94</v>
      </c>
      <c r="K91" s="3" t="s">
        <v>78</v>
      </c>
      <c r="L91" s="3" t="s">
        <v>125</v>
      </c>
      <c r="M91" s="3" t="s">
        <v>126</v>
      </c>
      <c r="N91" s="3" t="s">
        <v>93</v>
      </c>
      <c r="O91" s="3" t="s">
        <v>109</v>
      </c>
      <c r="P91" s="3" t="str">
        <f>"INV185013                     "</f>
        <v xml:space="preserve">INV185013   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58.37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1</v>
      </c>
      <c r="BI91" s="3">
        <v>0.1</v>
      </c>
      <c r="BJ91" s="3">
        <v>0.9</v>
      </c>
      <c r="BK91" s="3">
        <v>1</v>
      </c>
      <c r="BL91" s="3">
        <v>140.01</v>
      </c>
      <c r="BM91" s="3">
        <v>21</v>
      </c>
      <c r="BN91" s="3">
        <v>161.01</v>
      </c>
      <c r="BO91" s="3">
        <v>161.01</v>
      </c>
      <c r="BP91" s="3"/>
      <c r="BQ91" s="3" t="s">
        <v>489</v>
      </c>
      <c r="BR91" s="3" t="s">
        <v>96</v>
      </c>
      <c r="BS91" s="4">
        <v>44790</v>
      </c>
      <c r="BT91" s="5">
        <v>0.43333333333333335</v>
      </c>
      <c r="BU91" s="3" t="s">
        <v>490</v>
      </c>
      <c r="BV91" s="3" t="s">
        <v>99</v>
      </c>
      <c r="BW91" s="3"/>
      <c r="BX91" s="3"/>
      <c r="BY91" s="3">
        <v>4482.5600000000004</v>
      </c>
      <c r="BZ91" s="3" t="s">
        <v>408</v>
      </c>
      <c r="CA91" s="3" t="s">
        <v>491</v>
      </c>
      <c r="CB91" s="3"/>
      <c r="CC91" s="3" t="s">
        <v>126</v>
      </c>
      <c r="CD91" s="3">
        <v>2192</v>
      </c>
      <c r="CE91" s="3" t="s">
        <v>90</v>
      </c>
      <c r="CF91" s="4">
        <v>44791</v>
      </c>
      <c r="CG91" s="3"/>
      <c r="CH91" s="3"/>
      <c r="CI91" s="8">
        <v>1</v>
      </c>
      <c r="CJ91" s="8">
        <v>1</v>
      </c>
      <c r="CK91" s="8">
        <v>31</v>
      </c>
      <c r="CL91" s="3" t="s">
        <v>85</v>
      </c>
      <c r="CM91" s="3"/>
      <c r="CN91" s="3"/>
    </row>
    <row r="92" spans="1:92" x14ac:dyDescent="0.3">
      <c r="A92" s="3" t="s">
        <v>72</v>
      </c>
      <c r="B92" s="3" t="s">
        <v>73</v>
      </c>
      <c r="C92" s="3" t="s">
        <v>74</v>
      </c>
      <c r="D92" s="3"/>
      <c r="E92" s="11" t="str">
        <f>"009942558760"</f>
        <v>009942558760</v>
      </c>
      <c r="F92" s="4">
        <v>44789</v>
      </c>
      <c r="G92" s="3">
        <v>202305</v>
      </c>
      <c r="H92" s="3" t="s">
        <v>79</v>
      </c>
      <c r="I92" s="3" t="s">
        <v>80</v>
      </c>
      <c r="J92" s="3" t="s">
        <v>94</v>
      </c>
      <c r="K92" s="3" t="s">
        <v>78</v>
      </c>
      <c r="L92" s="3" t="s">
        <v>492</v>
      </c>
      <c r="M92" s="3" t="s">
        <v>493</v>
      </c>
      <c r="N92" s="3" t="s">
        <v>93</v>
      </c>
      <c r="O92" s="3" t="s">
        <v>95</v>
      </c>
      <c r="P92" s="3" t="str">
        <f>"INV185011                     "</f>
        <v xml:space="preserve">INV185011   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5.25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60.2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3.2</v>
      </c>
      <c r="BJ92" s="3">
        <v>14.3</v>
      </c>
      <c r="BK92" s="3">
        <v>15</v>
      </c>
      <c r="BL92" s="3">
        <v>149.65</v>
      </c>
      <c r="BM92" s="3">
        <v>22.45</v>
      </c>
      <c r="BN92" s="3">
        <v>172.1</v>
      </c>
      <c r="BO92" s="3">
        <v>172.1</v>
      </c>
      <c r="BP92" s="3"/>
      <c r="BQ92" s="3" t="s">
        <v>494</v>
      </c>
      <c r="BR92" s="3" t="s">
        <v>96</v>
      </c>
      <c r="BS92" s="4">
        <v>44792</v>
      </c>
      <c r="BT92" s="5">
        <v>0.52777777777777779</v>
      </c>
      <c r="BU92" s="3" t="s">
        <v>495</v>
      </c>
      <c r="BV92" s="3" t="s">
        <v>99</v>
      </c>
      <c r="BW92" s="3"/>
      <c r="BX92" s="3"/>
      <c r="BY92" s="3">
        <v>71631.899999999994</v>
      </c>
      <c r="BZ92" s="3" t="s">
        <v>408</v>
      </c>
      <c r="CA92" s="3" t="s">
        <v>496</v>
      </c>
      <c r="CB92" s="3"/>
      <c r="CC92" s="3" t="s">
        <v>493</v>
      </c>
      <c r="CD92" s="3">
        <v>699</v>
      </c>
      <c r="CE92" s="3" t="s">
        <v>90</v>
      </c>
      <c r="CF92" s="4">
        <v>44792</v>
      </c>
      <c r="CG92" s="3"/>
      <c r="CH92" s="3"/>
      <c r="CI92" s="8">
        <v>3</v>
      </c>
      <c r="CJ92" s="8">
        <v>3</v>
      </c>
      <c r="CK92" s="8">
        <v>41</v>
      </c>
      <c r="CL92" s="3" t="s">
        <v>85</v>
      </c>
      <c r="CM92" s="3"/>
      <c r="CN92" s="3"/>
    </row>
    <row r="93" spans="1:92" x14ac:dyDescent="0.3">
      <c r="A93" s="3" t="s">
        <v>72</v>
      </c>
      <c r="B93" s="3" t="s">
        <v>73</v>
      </c>
      <c r="C93" s="3" t="s">
        <v>74</v>
      </c>
      <c r="D93" s="3"/>
      <c r="E93" s="11" t="str">
        <f>"009942558768"</f>
        <v>009942558768</v>
      </c>
      <c r="F93" s="4">
        <v>44789</v>
      </c>
      <c r="G93" s="3">
        <v>202305</v>
      </c>
      <c r="H93" s="3" t="s">
        <v>79</v>
      </c>
      <c r="I93" s="3" t="s">
        <v>80</v>
      </c>
      <c r="J93" s="3" t="s">
        <v>94</v>
      </c>
      <c r="K93" s="3" t="s">
        <v>78</v>
      </c>
      <c r="L93" s="3" t="s">
        <v>125</v>
      </c>
      <c r="M93" s="3" t="s">
        <v>126</v>
      </c>
      <c r="N93" s="3" t="s">
        <v>497</v>
      </c>
      <c r="O93" s="3" t="s">
        <v>109</v>
      </c>
      <c r="P93" s="3" t="str">
        <f>"INV185047                     "</f>
        <v xml:space="preserve">INV185047           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58.37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</v>
      </c>
      <c r="BI93" s="3">
        <v>0.3</v>
      </c>
      <c r="BJ93" s="3">
        <v>1.7</v>
      </c>
      <c r="BK93" s="3">
        <v>2</v>
      </c>
      <c r="BL93" s="3">
        <v>140.01</v>
      </c>
      <c r="BM93" s="3">
        <v>21</v>
      </c>
      <c r="BN93" s="3">
        <v>161.01</v>
      </c>
      <c r="BO93" s="3">
        <v>161.01</v>
      </c>
      <c r="BP93" s="3"/>
      <c r="BQ93" s="3" t="s">
        <v>498</v>
      </c>
      <c r="BR93" s="3" t="s">
        <v>96</v>
      </c>
      <c r="BS93" s="4">
        <v>44790</v>
      </c>
      <c r="BT93" s="5">
        <v>0.73611111111111116</v>
      </c>
      <c r="BU93" s="3" t="s">
        <v>499</v>
      </c>
      <c r="BV93" s="3" t="s">
        <v>85</v>
      </c>
      <c r="BW93" s="3" t="s">
        <v>236</v>
      </c>
      <c r="BX93" s="3" t="s">
        <v>500</v>
      </c>
      <c r="BY93" s="3">
        <v>8336.25</v>
      </c>
      <c r="BZ93" s="3" t="s">
        <v>408</v>
      </c>
      <c r="CA93" s="3" t="s">
        <v>501</v>
      </c>
      <c r="CB93" s="3"/>
      <c r="CC93" s="3" t="s">
        <v>126</v>
      </c>
      <c r="CD93" s="3">
        <v>2197</v>
      </c>
      <c r="CE93" s="3" t="s">
        <v>90</v>
      </c>
      <c r="CF93" s="4">
        <v>44791</v>
      </c>
      <c r="CG93" s="3"/>
      <c r="CH93" s="3"/>
      <c r="CI93" s="8">
        <v>1</v>
      </c>
      <c r="CJ93" s="8">
        <v>1</v>
      </c>
      <c r="CK93" s="8">
        <v>31</v>
      </c>
      <c r="CL93" s="3" t="s">
        <v>85</v>
      </c>
      <c r="CM93" s="3"/>
      <c r="CN93" s="3"/>
    </row>
    <row r="94" spans="1:92" x14ac:dyDescent="0.3">
      <c r="A94" s="3" t="s">
        <v>72</v>
      </c>
      <c r="B94" s="3" t="s">
        <v>73</v>
      </c>
      <c r="C94" s="3" t="s">
        <v>74</v>
      </c>
      <c r="D94" s="3"/>
      <c r="E94" s="11" t="str">
        <f>"009942558764"</f>
        <v>009942558764</v>
      </c>
      <c r="F94" s="4">
        <v>44789</v>
      </c>
      <c r="G94" s="3">
        <v>202305</v>
      </c>
      <c r="H94" s="3" t="s">
        <v>79</v>
      </c>
      <c r="I94" s="3" t="s">
        <v>80</v>
      </c>
      <c r="J94" s="3" t="s">
        <v>94</v>
      </c>
      <c r="K94" s="3" t="s">
        <v>78</v>
      </c>
      <c r="L94" s="3" t="s">
        <v>107</v>
      </c>
      <c r="M94" s="3" t="s">
        <v>108</v>
      </c>
      <c r="N94" s="3" t="s">
        <v>93</v>
      </c>
      <c r="O94" s="3" t="s">
        <v>109</v>
      </c>
      <c r="P94" s="3" t="str">
        <f>"INV185015                     "</f>
        <v xml:space="preserve">INV185015           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58.37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1</v>
      </c>
      <c r="BI94" s="3">
        <v>0.4</v>
      </c>
      <c r="BJ94" s="3">
        <v>2.4</v>
      </c>
      <c r="BK94" s="3">
        <v>3</v>
      </c>
      <c r="BL94" s="3">
        <v>140.01</v>
      </c>
      <c r="BM94" s="3">
        <v>21</v>
      </c>
      <c r="BN94" s="3">
        <v>161.01</v>
      </c>
      <c r="BO94" s="3">
        <v>161.01</v>
      </c>
      <c r="BP94" s="3"/>
      <c r="BQ94" s="3" t="s">
        <v>502</v>
      </c>
      <c r="BR94" s="3" t="s">
        <v>96</v>
      </c>
      <c r="BS94" s="4">
        <v>44790</v>
      </c>
      <c r="BT94" s="5">
        <v>0.38680555555555557</v>
      </c>
      <c r="BU94" s="3" t="s">
        <v>503</v>
      </c>
      <c r="BV94" s="3" t="s">
        <v>99</v>
      </c>
      <c r="BW94" s="3"/>
      <c r="BX94" s="3"/>
      <c r="BY94" s="3">
        <v>12089</v>
      </c>
      <c r="BZ94" s="3" t="s">
        <v>408</v>
      </c>
      <c r="CA94" s="3" t="s">
        <v>504</v>
      </c>
      <c r="CB94" s="3"/>
      <c r="CC94" s="3" t="s">
        <v>108</v>
      </c>
      <c r="CD94" s="3">
        <v>1692</v>
      </c>
      <c r="CE94" s="3" t="s">
        <v>90</v>
      </c>
      <c r="CF94" s="4">
        <v>44791</v>
      </c>
      <c r="CG94" s="3"/>
      <c r="CH94" s="3"/>
      <c r="CI94" s="8">
        <v>1</v>
      </c>
      <c r="CJ94" s="8">
        <v>1</v>
      </c>
      <c r="CK94" s="8">
        <v>31</v>
      </c>
      <c r="CL94" s="3" t="s">
        <v>85</v>
      </c>
      <c r="CM94" s="3"/>
      <c r="CN94" s="3"/>
    </row>
    <row r="95" spans="1:92" x14ac:dyDescent="0.3">
      <c r="A95" s="3" t="s">
        <v>72</v>
      </c>
      <c r="B95" s="3" t="s">
        <v>73</v>
      </c>
      <c r="C95" s="3" t="s">
        <v>74</v>
      </c>
      <c r="D95" s="3"/>
      <c r="E95" s="11" t="str">
        <f>"009942558761"</f>
        <v>009942558761</v>
      </c>
      <c r="F95" s="4">
        <v>44789</v>
      </c>
      <c r="G95" s="3">
        <v>202305</v>
      </c>
      <c r="H95" s="3" t="s">
        <v>79</v>
      </c>
      <c r="I95" s="3" t="s">
        <v>80</v>
      </c>
      <c r="J95" s="3" t="s">
        <v>94</v>
      </c>
      <c r="K95" s="3" t="s">
        <v>78</v>
      </c>
      <c r="L95" s="3" t="s">
        <v>505</v>
      </c>
      <c r="M95" s="3" t="s">
        <v>506</v>
      </c>
      <c r="N95" s="3" t="s">
        <v>93</v>
      </c>
      <c r="O95" s="3" t="s">
        <v>109</v>
      </c>
      <c r="P95" s="3" t="str">
        <f>"INV185012                     "</f>
        <v xml:space="preserve">INV185012       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43.79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0.1</v>
      </c>
      <c r="BJ95" s="3">
        <v>0.9</v>
      </c>
      <c r="BK95" s="3">
        <v>1</v>
      </c>
      <c r="BL95" s="3">
        <v>105.03</v>
      </c>
      <c r="BM95" s="3">
        <v>15.75</v>
      </c>
      <c r="BN95" s="3">
        <v>120.78</v>
      </c>
      <c r="BO95" s="3">
        <v>120.78</v>
      </c>
      <c r="BP95" s="3"/>
      <c r="BQ95" s="3" t="s">
        <v>507</v>
      </c>
      <c r="BR95" s="3" t="s">
        <v>96</v>
      </c>
      <c r="BS95" s="4">
        <v>44796</v>
      </c>
      <c r="BT95" s="5">
        <v>0.57013888888888886</v>
      </c>
      <c r="BU95" s="3" t="s">
        <v>508</v>
      </c>
      <c r="BV95" s="3" t="s">
        <v>85</v>
      </c>
      <c r="BW95" s="3" t="s">
        <v>509</v>
      </c>
      <c r="BX95" s="3" t="s">
        <v>510</v>
      </c>
      <c r="BY95" s="3">
        <v>4712.3999999999996</v>
      </c>
      <c r="BZ95" s="3" t="s">
        <v>408</v>
      </c>
      <c r="CA95" s="3" t="s">
        <v>511</v>
      </c>
      <c r="CB95" s="3"/>
      <c r="CC95" s="3" t="s">
        <v>506</v>
      </c>
      <c r="CD95" s="3">
        <v>6875</v>
      </c>
      <c r="CE95" s="3" t="s">
        <v>90</v>
      </c>
      <c r="CF95" s="4">
        <v>44797</v>
      </c>
      <c r="CG95" s="3"/>
      <c r="CH95" s="3"/>
      <c r="CI95" s="8">
        <v>2</v>
      </c>
      <c r="CJ95" s="8">
        <v>5</v>
      </c>
      <c r="CK95" s="8">
        <v>34</v>
      </c>
      <c r="CL95" s="3" t="s">
        <v>85</v>
      </c>
      <c r="CM95" s="3"/>
      <c r="CN95" s="3"/>
    </row>
    <row r="96" spans="1:92" x14ac:dyDescent="0.3">
      <c r="A96" s="3" t="s">
        <v>72</v>
      </c>
      <c r="B96" s="3" t="s">
        <v>73</v>
      </c>
      <c r="C96" s="3" t="s">
        <v>74</v>
      </c>
      <c r="D96" s="3"/>
      <c r="E96" s="11" t="str">
        <f>"009942558766"</f>
        <v>009942558766</v>
      </c>
      <c r="F96" s="4">
        <v>44789</v>
      </c>
      <c r="G96" s="3">
        <v>202305</v>
      </c>
      <c r="H96" s="3" t="s">
        <v>79</v>
      </c>
      <c r="I96" s="3" t="s">
        <v>80</v>
      </c>
      <c r="J96" s="3" t="s">
        <v>94</v>
      </c>
      <c r="K96" s="3" t="s">
        <v>78</v>
      </c>
      <c r="L96" s="3" t="s">
        <v>120</v>
      </c>
      <c r="M96" s="3" t="s">
        <v>121</v>
      </c>
      <c r="N96" s="3" t="s">
        <v>512</v>
      </c>
      <c r="O96" s="3" t="s">
        <v>109</v>
      </c>
      <c r="P96" s="3" t="str">
        <f>"INV185023                     "</f>
        <v xml:space="preserve">INV185023        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58.37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1</v>
      </c>
      <c r="BI96" s="3">
        <v>0.1</v>
      </c>
      <c r="BJ96" s="3">
        <v>0.8</v>
      </c>
      <c r="BK96" s="3">
        <v>1</v>
      </c>
      <c r="BL96" s="3">
        <v>140.01</v>
      </c>
      <c r="BM96" s="3">
        <v>21</v>
      </c>
      <c r="BN96" s="3">
        <v>161.01</v>
      </c>
      <c r="BO96" s="3">
        <v>161.01</v>
      </c>
      <c r="BP96" s="3"/>
      <c r="BQ96" s="3" t="s">
        <v>513</v>
      </c>
      <c r="BR96" s="3" t="s">
        <v>96</v>
      </c>
      <c r="BS96" s="4">
        <v>44790</v>
      </c>
      <c r="BT96" s="5">
        <v>0.42986111111111108</v>
      </c>
      <c r="BU96" s="3" t="s">
        <v>514</v>
      </c>
      <c r="BV96" s="3" t="s">
        <v>99</v>
      </c>
      <c r="BW96" s="3"/>
      <c r="BX96" s="3"/>
      <c r="BY96" s="3">
        <v>3771.75</v>
      </c>
      <c r="BZ96" s="3" t="s">
        <v>408</v>
      </c>
      <c r="CA96" s="3" t="s">
        <v>295</v>
      </c>
      <c r="CB96" s="3"/>
      <c r="CC96" s="3" t="s">
        <v>121</v>
      </c>
      <c r="CD96" s="3">
        <v>43</v>
      </c>
      <c r="CE96" s="3" t="s">
        <v>90</v>
      </c>
      <c r="CF96" s="4">
        <v>44790</v>
      </c>
      <c r="CG96" s="3"/>
      <c r="CH96" s="3"/>
      <c r="CI96" s="8">
        <v>1</v>
      </c>
      <c r="CJ96" s="8">
        <v>1</v>
      </c>
      <c r="CK96" s="8">
        <v>31</v>
      </c>
      <c r="CL96" s="3" t="s">
        <v>85</v>
      </c>
      <c r="CM96" s="3"/>
      <c r="CN96" s="3"/>
    </row>
    <row r="97" spans="1:92" x14ac:dyDescent="0.3">
      <c r="A97" s="3" t="s">
        <v>72</v>
      </c>
      <c r="B97" s="3" t="s">
        <v>73</v>
      </c>
      <c r="C97" s="3" t="s">
        <v>74</v>
      </c>
      <c r="D97" s="3"/>
      <c r="E97" s="11" t="str">
        <f>"009942558765"</f>
        <v>009942558765</v>
      </c>
      <c r="F97" s="4">
        <v>44789</v>
      </c>
      <c r="G97" s="3">
        <v>202305</v>
      </c>
      <c r="H97" s="3" t="s">
        <v>79</v>
      </c>
      <c r="I97" s="3" t="s">
        <v>80</v>
      </c>
      <c r="J97" s="3" t="s">
        <v>94</v>
      </c>
      <c r="K97" s="3" t="s">
        <v>78</v>
      </c>
      <c r="L97" s="3" t="s">
        <v>279</v>
      </c>
      <c r="M97" s="3" t="s">
        <v>280</v>
      </c>
      <c r="N97" s="3" t="s">
        <v>515</v>
      </c>
      <c r="O97" s="3" t="s">
        <v>95</v>
      </c>
      <c r="P97" s="3" t="str">
        <f>"INV185019                     "</f>
        <v xml:space="preserve">INV185019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5.25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84.91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1</v>
      </c>
      <c r="BI97" s="3">
        <v>1.2</v>
      </c>
      <c r="BJ97" s="3">
        <v>7.9</v>
      </c>
      <c r="BK97" s="3">
        <v>8</v>
      </c>
      <c r="BL97" s="3">
        <v>208.91</v>
      </c>
      <c r="BM97" s="3">
        <v>31.34</v>
      </c>
      <c r="BN97" s="3">
        <v>240.25</v>
      </c>
      <c r="BO97" s="3">
        <v>240.25</v>
      </c>
      <c r="BP97" s="3"/>
      <c r="BQ97" s="3" t="s">
        <v>516</v>
      </c>
      <c r="BR97" s="3" t="s">
        <v>96</v>
      </c>
      <c r="BS97" s="4">
        <v>44792</v>
      </c>
      <c r="BT97" s="5">
        <v>0.46388888888888885</v>
      </c>
      <c r="BU97" s="3" t="s">
        <v>135</v>
      </c>
      <c r="BV97" s="3" t="s">
        <v>99</v>
      </c>
      <c r="BW97" s="3"/>
      <c r="BX97" s="3"/>
      <c r="BY97" s="3">
        <v>39644.5</v>
      </c>
      <c r="BZ97" s="3" t="s">
        <v>408</v>
      </c>
      <c r="CA97" s="3"/>
      <c r="CB97" s="3"/>
      <c r="CC97" s="3" t="s">
        <v>280</v>
      </c>
      <c r="CD97" s="3">
        <v>300</v>
      </c>
      <c r="CE97" s="3" t="s">
        <v>90</v>
      </c>
      <c r="CF97" s="4">
        <v>44795</v>
      </c>
      <c r="CG97" s="3"/>
      <c r="CH97" s="3"/>
      <c r="CI97" s="8">
        <v>3</v>
      </c>
      <c r="CJ97" s="8">
        <v>3</v>
      </c>
      <c r="CK97" s="8">
        <v>43</v>
      </c>
      <c r="CL97" s="3" t="s">
        <v>85</v>
      </c>
      <c r="CM97" s="3"/>
      <c r="CN97" s="3"/>
    </row>
    <row r="98" spans="1:92" x14ac:dyDescent="0.3">
      <c r="A98" s="3" t="s">
        <v>72</v>
      </c>
      <c r="B98" s="3" t="s">
        <v>73</v>
      </c>
      <c r="C98" s="3" t="s">
        <v>74</v>
      </c>
      <c r="D98" s="3"/>
      <c r="E98" s="11" t="str">
        <f>"009942558763"</f>
        <v>009942558763</v>
      </c>
      <c r="F98" s="4">
        <v>44789</v>
      </c>
      <c r="G98" s="3">
        <v>202305</v>
      </c>
      <c r="H98" s="3" t="s">
        <v>79</v>
      </c>
      <c r="I98" s="3" t="s">
        <v>80</v>
      </c>
      <c r="J98" s="3" t="s">
        <v>94</v>
      </c>
      <c r="K98" s="3" t="s">
        <v>78</v>
      </c>
      <c r="L98" s="3" t="s">
        <v>120</v>
      </c>
      <c r="M98" s="3" t="s">
        <v>121</v>
      </c>
      <c r="N98" s="3" t="s">
        <v>93</v>
      </c>
      <c r="O98" s="3" t="s">
        <v>109</v>
      </c>
      <c r="P98" s="3" t="str">
        <f>"INV185014                     "</f>
        <v xml:space="preserve">INV185014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58.37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0.4</v>
      </c>
      <c r="BJ98" s="3">
        <v>1.1000000000000001</v>
      </c>
      <c r="BK98" s="3">
        <v>2</v>
      </c>
      <c r="BL98" s="3">
        <v>140.01</v>
      </c>
      <c r="BM98" s="3">
        <v>21</v>
      </c>
      <c r="BN98" s="3">
        <v>161.01</v>
      </c>
      <c r="BO98" s="3">
        <v>161.01</v>
      </c>
      <c r="BP98" s="3"/>
      <c r="BQ98" s="3" t="s">
        <v>517</v>
      </c>
      <c r="BR98" s="3" t="s">
        <v>96</v>
      </c>
      <c r="BS98" s="4">
        <v>44790</v>
      </c>
      <c r="BT98" s="5">
        <v>0.48958333333333331</v>
      </c>
      <c r="BU98" s="3" t="s">
        <v>518</v>
      </c>
      <c r="BV98" s="3" t="s">
        <v>99</v>
      </c>
      <c r="BW98" s="3"/>
      <c r="BX98" s="3"/>
      <c r="BY98" s="3">
        <v>5438.75</v>
      </c>
      <c r="BZ98" s="3" t="s">
        <v>408</v>
      </c>
      <c r="CA98" s="3" t="s">
        <v>124</v>
      </c>
      <c r="CB98" s="3"/>
      <c r="CC98" s="3" t="s">
        <v>121</v>
      </c>
      <c r="CD98" s="3">
        <v>81</v>
      </c>
      <c r="CE98" s="3" t="s">
        <v>90</v>
      </c>
      <c r="CF98" s="4">
        <v>44790</v>
      </c>
      <c r="CG98" s="3"/>
      <c r="CH98" s="3"/>
      <c r="CI98" s="8">
        <v>1</v>
      </c>
      <c r="CJ98" s="8">
        <v>1</v>
      </c>
      <c r="CK98" s="8">
        <v>31</v>
      </c>
      <c r="CL98" s="3" t="s">
        <v>85</v>
      </c>
      <c r="CM98" s="3"/>
      <c r="CN98" s="3"/>
    </row>
    <row r="99" spans="1:92" x14ac:dyDescent="0.3">
      <c r="A99" s="3" t="s">
        <v>72</v>
      </c>
      <c r="B99" s="3" t="s">
        <v>73</v>
      </c>
      <c r="C99" s="3" t="s">
        <v>74</v>
      </c>
      <c r="D99" s="3"/>
      <c r="E99" s="11" t="str">
        <f>"009942558767"</f>
        <v>009942558767</v>
      </c>
      <c r="F99" s="4">
        <v>44789</v>
      </c>
      <c r="G99" s="3">
        <v>202305</v>
      </c>
      <c r="H99" s="3" t="s">
        <v>79</v>
      </c>
      <c r="I99" s="3" t="s">
        <v>80</v>
      </c>
      <c r="J99" s="3" t="s">
        <v>94</v>
      </c>
      <c r="K99" s="3" t="s">
        <v>78</v>
      </c>
      <c r="L99" s="3" t="s">
        <v>79</v>
      </c>
      <c r="M99" s="3" t="s">
        <v>80</v>
      </c>
      <c r="N99" s="3" t="s">
        <v>519</v>
      </c>
      <c r="O99" s="3" t="s">
        <v>95</v>
      </c>
      <c r="P99" s="3" t="str">
        <f>"AVO NEDBANK                   "</f>
        <v xml:space="preserve">AVO NEDBANK      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5.25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46.45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1</v>
      </c>
      <c r="BI99" s="3">
        <v>1.8</v>
      </c>
      <c r="BJ99" s="3">
        <v>8.6999999999999993</v>
      </c>
      <c r="BK99" s="3">
        <v>9</v>
      </c>
      <c r="BL99" s="3">
        <v>116.67</v>
      </c>
      <c r="BM99" s="3">
        <v>17.5</v>
      </c>
      <c r="BN99" s="3">
        <v>134.16999999999999</v>
      </c>
      <c r="BO99" s="3">
        <v>134.16999999999999</v>
      </c>
      <c r="BP99" s="3"/>
      <c r="BQ99" s="3" t="s">
        <v>520</v>
      </c>
      <c r="BR99" s="3" t="s">
        <v>96</v>
      </c>
      <c r="BS99" s="4">
        <v>44790</v>
      </c>
      <c r="BT99" s="5">
        <v>0.44444444444444442</v>
      </c>
      <c r="BU99" s="3" t="s">
        <v>521</v>
      </c>
      <c r="BV99" s="3" t="s">
        <v>99</v>
      </c>
      <c r="BW99" s="3"/>
      <c r="BX99" s="3"/>
      <c r="BY99" s="3">
        <v>43547.28</v>
      </c>
      <c r="BZ99" s="3" t="s">
        <v>408</v>
      </c>
      <c r="CA99" s="3" t="s">
        <v>522</v>
      </c>
      <c r="CB99" s="3"/>
      <c r="CC99" s="3" t="s">
        <v>80</v>
      </c>
      <c r="CD99" s="3">
        <v>7780</v>
      </c>
      <c r="CE99" s="3" t="s">
        <v>90</v>
      </c>
      <c r="CF99" s="4">
        <v>44791</v>
      </c>
      <c r="CG99" s="3"/>
      <c r="CH99" s="3"/>
      <c r="CI99" s="8">
        <v>1</v>
      </c>
      <c r="CJ99" s="8">
        <v>1</v>
      </c>
      <c r="CK99" s="8">
        <v>42</v>
      </c>
      <c r="CL99" s="3" t="s">
        <v>85</v>
      </c>
      <c r="CM99" s="3"/>
      <c r="CN99" s="3"/>
    </row>
    <row r="100" spans="1:92" x14ac:dyDescent="0.3">
      <c r="A100" s="3" t="s">
        <v>72</v>
      </c>
      <c r="B100" s="3" t="s">
        <v>73</v>
      </c>
      <c r="C100" s="3" t="s">
        <v>74</v>
      </c>
      <c r="D100" s="3"/>
      <c r="E100" s="11" t="str">
        <f>"080010565607"</f>
        <v>080010565607</v>
      </c>
      <c r="F100" s="4">
        <v>44790</v>
      </c>
      <c r="G100" s="3">
        <v>202305</v>
      </c>
      <c r="H100" s="3" t="s">
        <v>125</v>
      </c>
      <c r="I100" s="3" t="s">
        <v>126</v>
      </c>
      <c r="J100" s="3" t="s">
        <v>523</v>
      </c>
      <c r="K100" s="3" t="s">
        <v>78</v>
      </c>
      <c r="L100" s="3" t="s">
        <v>380</v>
      </c>
      <c r="M100" s="3" t="s">
        <v>381</v>
      </c>
      <c r="N100" s="3" t="s">
        <v>524</v>
      </c>
      <c r="O100" s="3" t="s">
        <v>95</v>
      </c>
      <c r="P100" s="3" t="str">
        <f>"x                             "</f>
        <v xml:space="preserve">x                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5.25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84.91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1</v>
      </c>
      <c r="BI100" s="3">
        <v>3.3</v>
      </c>
      <c r="BJ100" s="3">
        <v>4</v>
      </c>
      <c r="BK100" s="3">
        <v>4</v>
      </c>
      <c r="BL100" s="3">
        <v>208.91</v>
      </c>
      <c r="BM100" s="3">
        <v>31.34</v>
      </c>
      <c r="BN100" s="3">
        <v>240.25</v>
      </c>
      <c r="BO100" s="3">
        <v>240.25</v>
      </c>
      <c r="BP100" s="3" t="s">
        <v>426</v>
      </c>
      <c r="BQ100" s="3" t="s">
        <v>525</v>
      </c>
      <c r="BR100" s="3" t="s">
        <v>526</v>
      </c>
      <c r="BS100" s="4">
        <v>44792</v>
      </c>
      <c r="BT100" s="5">
        <v>0.41666666666666669</v>
      </c>
      <c r="BU100" s="3" t="s">
        <v>527</v>
      </c>
      <c r="BV100" s="3" t="s">
        <v>99</v>
      </c>
      <c r="BW100" s="3"/>
      <c r="BX100" s="3"/>
      <c r="BY100" s="3">
        <v>19841.38</v>
      </c>
      <c r="BZ100" s="3"/>
      <c r="CA100" s="3" t="s">
        <v>528</v>
      </c>
      <c r="CB100" s="3"/>
      <c r="CC100" s="3" t="s">
        <v>381</v>
      </c>
      <c r="CD100" s="3">
        <v>3867</v>
      </c>
      <c r="CE100" s="3" t="s">
        <v>529</v>
      </c>
      <c r="CF100" s="4">
        <v>44795</v>
      </c>
      <c r="CG100" s="3"/>
      <c r="CH100" s="3"/>
      <c r="CI100" s="8">
        <v>3</v>
      </c>
      <c r="CJ100" s="8">
        <v>2</v>
      </c>
      <c r="CK100" s="8">
        <v>43</v>
      </c>
      <c r="CL100" s="3" t="s">
        <v>85</v>
      </c>
      <c r="CM100" s="3"/>
      <c r="CN100" s="3"/>
    </row>
    <row r="101" spans="1:92" x14ac:dyDescent="0.3">
      <c r="A101" s="3" t="s">
        <v>72</v>
      </c>
      <c r="B101" s="3" t="s">
        <v>73</v>
      </c>
      <c r="C101" s="3" t="s">
        <v>74</v>
      </c>
      <c r="D101" s="3"/>
      <c r="E101" s="11" t="str">
        <f>"009942358034"</f>
        <v>009942358034</v>
      </c>
      <c r="F101" s="4">
        <v>44790</v>
      </c>
      <c r="G101" s="3">
        <v>202305</v>
      </c>
      <c r="H101" s="3" t="s">
        <v>79</v>
      </c>
      <c r="I101" s="3" t="s">
        <v>80</v>
      </c>
      <c r="J101" s="3" t="s">
        <v>192</v>
      </c>
      <c r="K101" s="3" t="s">
        <v>78</v>
      </c>
      <c r="L101" s="3" t="s">
        <v>530</v>
      </c>
      <c r="M101" s="3" t="s">
        <v>531</v>
      </c>
      <c r="N101" s="3" t="s">
        <v>532</v>
      </c>
      <c r="O101" s="3" t="s">
        <v>95</v>
      </c>
      <c r="P101" s="3" t="str">
        <f>"REF:BWSAR00112477 JOB:11765   "</f>
        <v xml:space="preserve">REF:BWSAR00112477 JOB:11765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15</v>
      </c>
      <c r="AB101" s="3">
        <v>0</v>
      </c>
      <c r="AC101" s="3">
        <v>0</v>
      </c>
      <c r="AD101" s="3">
        <v>0</v>
      </c>
      <c r="AE101" s="3">
        <v>5.25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202.09</v>
      </c>
      <c r="AP101" s="3">
        <v>0</v>
      </c>
      <c r="AQ101" s="3"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2</v>
      </c>
      <c r="BI101" s="3">
        <v>29.5</v>
      </c>
      <c r="BJ101" s="3">
        <v>41.3</v>
      </c>
      <c r="BK101" s="3">
        <v>42</v>
      </c>
      <c r="BL101" s="3">
        <v>504.98</v>
      </c>
      <c r="BM101" s="3">
        <v>75.75</v>
      </c>
      <c r="BN101" s="3">
        <v>580.73</v>
      </c>
      <c r="BO101" s="3">
        <v>580.73</v>
      </c>
      <c r="BP101" s="3"/>
      <c r="BQ101" s="3" t="s">
        <v>533</v>
      </c>
      <c r="BR101" s="3" t="s">
        <v>197</v>
      </c>
      <c r="BS101" s="4">
        <v>44791</v>
      </c>
      <c r="BT101" s="5">
        <v>0.54236111111111118</v>
      </c>
      <c r="BU101" s="3" t="s">
        <v>534</v>
      </c>
      <c r="BV101" s="3" t="s">
        <v>99</v>
      </c>
      <c r="BW101" s="3"/>
      <c r="BX101" s="3"/>
      <c r="BY101" s="3">
        <v>206610.9</v>
      </c>
      <c r="BZ101" s="3" t="s">
        <v>399</v>
      </c>
      <c r="CA101" s="3"/>
      <c r="CB101" s="3"/>
      <c r="CC101" s="3" t="s">
        <v>531</v>
      </c>
      <c r="CD101" s="3">
        <v>7340</v>
      </c>
      <c r="CE101" s="3" t="s">
        <v>90</v>
      </c>
      <c r="CF101" s="4">
        <v>44796</v>
      </c>
      <c r="CG101" s="3"/>
      <c r="CH101" s="3"/>
      <c r="CI101" s="8">
        <v>2</v>
      </c>
      <c r="CJ101" s="8">
        <v>1</v>
      </c>
      <c r="CK101" s="8">
        <v>43</v>
      </c>
      <c r="CL101" s="3" t="s">
        <v>85</v>
      </c>
      <c r="CM101" s="3"/>
      <c r="CN101" s="3"/>
    </row>
    <row r="102" spans="1:92" x14ac:dyDescent="0.3">
      <c r="A102" s="3" t="s">
        <v>72</v>
      </c>
      <c r="B102" s="3" t="s">
        <v>73</v>
      </c>
      <c r="C102" s="3" t="s">
        <v>74</v>
      </c>
      <c r="D102" s="3"/>
      <c r="E102" s="11" t="str">
        <f>"009942358036"</f>
        <v>009942358036</v>
      </c>
      <c r="F102" s="4">
        <v>44790</v>
      </c>
      <c r="G102" s="3">
        <v>202305</v>
      </c>
      <c r="H102" s="3" t="s">
        <v>79</v>
      </c>
      <c r="I102" s="3" t="s">
        <v>80</v>
      </c>
      <c r="J102" s="3" t="s">
        <v>192</v>
      </c>
      <c r="K102" s="3" t="s">
        <v>78</v>
      </c>
      <c r="L102" s="3" t="s">
        <v>212</v>
      </c>
      <c r="M102" s="3" t="s">
        <v>213</v>
      </c>
      <c r="N102" s="3" t="s">
        <v>535</v>
      </c>
      <c r="O102" s="3" t="s">
        <v>95</v>
      </c>
      <c r="P102" s="3" t="str">
        <f>"REF:FHSAR00078643 JOB:11767   "</f>
        <v xml:space="preserve">REF:FHSAR00078643 JOB:11767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15</v>
      </c>
      <c r="AB102" s="3">
        <v>0</v>
      </c>
      <c r="AC102" s="3">
        <v>0</v>
      </c>
      <c r="AD102" s="3">
        <v>0</v>
      </c>
      <c r="AE102" s="3">
        <v>5.25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78.599999999999994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1</v>
      </c>
      <c r="BI102" s="3">
        <v>15.4</v>
      </c>
      <c r="BJ102" s="3">
        <v>21.7</v>
      </c>
      <c r="BK102" s="3">
        <v>22</v>
      </c>
      <c r="BL102" s="3">
        <v>208.78</v>
      </c>
      <c r="BM102" s="3">
        <v>31.32</v>
      </c>
      <c r="BN102" s="3">
        <v>240.1</v>
      </c>
      <c r="BO102" s="3">
        <v>240.1</v>
      </c>
      <c r="BP102" s="3"/>
      <c r="BQ102" s="3" t="s">
        <v>103</v>
      </c>
      <c r="BR102" s="3" t="s">
        <v>197</v>
      </c>
      <c r="BS102" s="4">
        <v>44791</v>
      </c>
      <c r="BT102" s="5">
        <v>0.57430555555555551</v>
      </c>
      <c r="BU102" s="3" t="s">
        <v>536</v>
      </c>
      <c r="BV102" s="3" t="s">
        <v>99</v>
      </c>
      <c r="BW102" s="3"/>
      <c r="BX102" s="3"/>
      <c r="BY102" s="3">
        <v>108391.5</v>
      </c>
      <c r="BZ102" s="3" t="s">
        <v>399</v>
      </c>
      <c r="CA102" s="3" t="s">
        <v>218</v>
      </c>
      <c r="CB102" s="3"/>
      <c r="CC102" s="3" t="s">
        <v>213</v>
      </c>
      <c r="CD102" s="3">
        <v>7200</v>
      </c>
      <c r="CE102" s="3" t="s">
        <v>90</v>
      </c>
      <c r="CF102" s="4">
        <v>44792</v>
      </c>
      <c r="CG102" s="3"/>
      <c r="CH102" s="3"/>
      <c r="CI102" s="8">
        <v>2</v>
      </c>
      <c r="CJ102" s="8">
        <v>1</v>
      </c>
      <c r="CK102" s="8">
        <v>44</v>
      </c>
      <c r="CL102" s="3" t="s">
        <v>85</v>
      </c>
      <c r="CM102" s="3"/>
      <c r="CN102" s="3"/>
    </row>
    <row r="103" spans="1:92" x14ac:dyDescent="0.3">
      <c r="A103" s="3" t="s">
        <v>72</v>
      </c>
      <c r="B103" s="3" t="s">
        <v>73</v>
      </c>
      <c r="C103" s="3" t="s">
        <v>74</v>
      </c>
      <c r="D103" s="3"/>
      <c r="E103" s="11" t="str">
        <f>"009942358033"</f>
        <v>009942358033</v>
      </c>
      <c r="F103" s="4">
        <v>44790</v>
      </c>
      <c r="G103" s="3">
        <v>202305</v>
      </c>
      <c r="H103" s="3" t="s">
        <v>79</v>
      </c>
      <c r="I103" s="3" t="s">
        <v>80</v>
      </c>
      <c r="J103" s="3" t="s">
        <v>192</v>
      </c>
      <c r="K103" s="3" t="s">
        <v>78</v>
      </c>
      <c r="L103" s="3" t="s">
        <v>537</v>
      </c>
      <c r="M103" s="3" t="s">
        <v>538</v>
      </c>
      <c r="N103" s="3" t="s">
        <v>539</v>
      </c>
      <c r="O103" s="3" t="s">
        <v>95</v>
      </c>
      <c r="P103" s="3" t="str">
        <f>"REF:BPSAR00127718 JOB:11764   "</f>
        <v xml:space="preserve">REF:BPSAR00127718 JOB:11764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15</v>
      </c>
      <c r="AB103" s="3">
        <v>0</v>
      </c>
      <c r="AC103" s="3">
        <v>0</v>
      </c>
      <c r="AD103" s="3">
        <v>0</v>
      </c>
      <c r="AE103" s="3">
        <v>5.25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66.489999999999995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1</v>
      </c>
      <c r="BI103" s="3">
        <v>11.4</v>
      </c>
      <c r="BJ103" s="3">
        <v>14.9</v>
      </c>
      <c r="BK103" s="3">
        <v>15</v>
      </c>
      <c r="BL103" s="3">
        <v>179.73</v>
      </c>
      <c r="BM103" s="3">
        <v>26.96</v>
      </c>
      <c r="BN103" s="3">
        <v>206.69</v>
      </c>
      <c r="BO103" s="3">
        <v>206.69</v>
      </c>
      <c r="BP103" s="3"/>
      <c r="BQ103" s="3" t="s">
        <v>540</v>
      </c>
      <c r="BR103" s="3" t="s">
        <v>197</v>
      </c>
      <c r="BS103" s="4">
        <v>44791</v>
      </c>
      <c r="BT103" s="5">
        <v>0.38194444444444442</v>
      </c>
      <c r="BU103" s="3" t="s">
        <v>541</v>
      </c>
      <c r="BV103" s="3" t="s">
        <v>99</v>
      </c>
      <c r="BW103" s="3"/>
      <c r="BX103" s="3"/>
      <c r="BY103" s="3">
        <v>74339.48</v>
      </c>
      <c r="BZ103" s="3" t="s">
        <v>399</v>
      </c>
      <c r="CA103" s="3"/>
      <c r="CB103" s="3"/>
      <c r="CC103" s="3" t="s">
        <v>538</v>
      </c>
      <c r="CD103" s="3">
        <v>7320</v>
      </c>
      <c r="CE103" s="3" t="s">
        <v>90</v>
      </c>
      <c r="CF103" s="4">
        <v>44795</v>
      </c>
      <c r="CG103" s="3"/>
      <c r="CH103" s="3"/>
      <c r="CI103" s="8">
        <v>2</v>
      </c>
      <c r="CJ103" s="8">
        <v>1</v>
      </c>
      <c r="CK103" s="8">
        <v>44</v>
      </c>
      <c r="CL103" s="3" t="s">
        <v>85</v>
      </c>
      <c r="CM103" s="3"/>
      <c r="CN103" s="3"/>
    </row>
    <row r="104" spans="1:92" x14ac:dyDescent="0.3">
      <c r="A104" s="3" t="s">
        <v>72</v>
      </c>
      <c r="B104" s="3" t="s">
        <v>73</v>
      </c>
      <c r="C104" s="3" t="s">
        <v>74</v>
      </c>
      <c r="D104" s="3"/>
      <c r="E104" s="11" t="str">
        <f>"009942358035"</f>
        <v>009942358035</v>
      </c>
      <c r="F104" s="4">
        <v>44790</v>
      </c>
      <c r="G104" s="3">
        <v>202305</v>
      </c>
      <c r="H104" s="3" t="s">
        <v>79</v>
      </c>
      <c r="I104" s="3" t="s">
        <v>80</v>
      </c>
      <c r="J104" s="3" t="s">
        <v>192</v>
      </c>
      <c r="K104" s="3" t="s">
        <v>78</v>
      </c>
      <c r="L104" s="3" t="s">
        <v>542</v>
      </c>
      <c r="M104" s="3" t="s">
        <v>543</v>
      </c>
      <c r="N104" s="3" t="s">
        <v>544</v>
      </c>
      <c r="O104" s="3" t="s">
        <v>95</v>
      </c>
      <c r="P104" s="3" t="str">
        <f>"REF:508AR00150588 JOB:11766   "</f>
        <v xml:space="preserve">REF:508AR00150588 JOB:11766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15</v>
      </c>
      <c r="AB104" s="3">
        <v>0</v>
      </c>
      <c r="AC104" s="3">
        <v>0</v>
      </c>
      <c r="AD104" s="3">
        <v>0</v>
      </c>
      <c r="AE104" s="3">
        <v>5.25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66.489999999999995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14.4</v>
      </c>
      <c r="BJ104" s="3">
        <v>14.6</v>
      </c>
      <c r="BK104" s="3">
        <v>15</v>
      </c>
      <c r="BL104" s="3">
        <v>179.73</v>
      </c>
      <c r="BM104" s="3">
        <v>26.96</v>
      </c>
      <c r="BN104" s="3">
        <v>206.69</v>
      </c>
      <c r="BO104" s="3">
        <v>206.69</v>
      </c>
      <c r="BP104" s="3"/>
      <c r="BQ104" s="3" t="s">
        <v>103</v>
      </c>
      <c r="BR104" s="3" t="s">
        <v>197</v>
      </c>
      <c r="BS104" s="4">
        <v>44791</v>
      </c>
      <c r="BT104" s="5">
        <v>0.61319444444444449</v>
      </c>
      <c r="BU104" s="3" t="s">
        <v>545</v>
      </c>
      <c r="BV104" s="3" t="s">
        <v>99</v>
      </c>
      <c r="BW104" s="3"/>
      <c r="BX104" s="3"/>
      <c r="BY104" s="3">
        <v>73203.13</v>
      </c>
      <c r="BZ104" s="3" t="s">
        <v>399</v>
      </c>
      <c r="CA104" s="3" t="s">
        <v>546</v>
      </c>
      <c r="CB104" s="3"/>
      <c r="CC104" s="3" t="s">
        <v>543</v>
      </c>
      <c r="CD104" s="3">
        <v>7670</v>
      </c>
      <c r="CE104" s="3" t="s">
        <v>90</v>
      </c>
      <c r="CF104" s="4">
        <v>44792</v>
      </c>
      <c r="CG104" s="3"/>
      <c r="CH104" s="3"/>
      <c r="CI104" s="8">
        <v>1</v>
      </c>
      <c r="CJ104" s="8">
        <v>1</v>
      </c>
      <c r="CK104" s="8">
        <v>44</v>
      </c>
      <c r="CL104" s="3" t="s">
        <v>85</v>
      </c>
      <c r="CM104" s="3"/>
      <c r="CN104" s="3"/>
    </row>
    <row r="105" spans="1:92" x14ac:dyDescent="0.3">
      <c r="A105" s="3" t="s">
        <v>72</v>
      </c>
      <c r="B105" s="3" t="s">
        <v>73</v>
      </c>
      <c r="C105" s="3" t="s">
        <v>74</v>
      </c>
      <c r="D105" s="3"/>
      <c r="E105" s="11" t="str">
        <f>"009942358037"</f>
        <v>009942358037</v>
      </c>
      <c r="F105" s="4">
        <v>44790</v>
      </c>
      <c r="G105" s="3">
        <v>202305</v>
      </c>
      <c r="H105" s="3" t="s">
        <v>79</v>
      </c>
      <c r="I105" s="3" t="s">
        <v>80</v>
      </c>
      <c r="J105" s="3" t="s">
        <v>192</v>
      </c>
      <c r="K105" s="3" t="s">
        <v>78</v>
      </c>
      <c r="L105" s="3" t="s">
        <v>547</v>
      </c>
      <c r="M105" s="3" t="s">
        <v>548</v>
      </c>
      <c r="N105" s="3" t="s">
        <v>549</v>
      </c>
      <c r="O105" s="3" t="s">
        <v>95</v>
      </c>
      <c r="P105" s="3" t="str">
        <f>"RE:THIRD GENERATION P0124209  "</f>
        <v xml:space="preserve">RE:THIRD GENERATION P0124209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15</v>
      </c>
      <c r="AB105" s="3">
        <v>0</v>
      </c>
      <c r="AC105" s="3">
        <v>0</v>
      </c>
      <c r="AD105" s="3">
        <v>0</v>
      </c>
      <c r="AE105" s="3">
        <v>5.25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109.75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1</v>
      </c>
      <c r="BI105" s="3">
        <v>39.6</v>
      </c>
      <c r="BJ105" s="3">
        <v>37.6</v>
      </c>
      <c r="BK105" s="3">
        <v>40</v>
      </c>
      <c r="BL105" s="3">
        <v>283.49</v>
      </c>
      <c r="BM105" s="3">
        <v>42.52</v>
      </c>
      <c r="BN105" s="3">
        <v>326.01</v>
      </c>
      <c r="BO105" s="3">
        <v>326.01</v>
      </c>
      <c r="BP105" s="3"/>
      <c r="BQ105" s="3" t="s">
        <v>550</v>
      </c>
      <c r="BR105" s="3" t="s">
        <v>197</v>
      </c>
      <c r="BS105" s="4">
        <v>44791</v>
      </c>
      <c r="BT105" s="5">
        <v>0.36388888888888887</v>
      </c>
      <c r="BU105" s="3" t="s">
        <v>551</v>
      </c>
      <c r="BV105" s="3" t="s">
        <v>99</v>
      </c>
      <c r="BW105" s="3"/>
      <c r="BX105" s="3"/>
      <c r="BY105" s="3">
        <v>188125</v>
      </c>
      <c r="BZ105" s="3" t="s">
        <v>399</v>
      </c>
      <c r="CA105" s="3"/>
      <c r="CB105" s="3"/>
      <c r="CC105" s="3" t="s">
        <v>548</v>
      </c>
      <c r="CD105" s="3">
        <v>6740</v>
      </c>
      <c r="CE105" s="3" t="s">
        <v>90</v>
      </c>
      <c r="CF105" s="4">
        <v>44799</v>
      </c>
      <c r="CG105" s="3"/>
      <c r="CH105" s="3"/>
      <c r="CI105" s="8">
        <v>2</v>
      </c>
      <c r="CJ105" s="8">
        <v>1</v>
      </c>
      <c r="CK105" s="8">
        <v>44</v>
      </c>
      <c r="CL105" s="3" t="s">
        <v>85</v>
      </c>
      <c r="CM105" s="3"/>
      <c r="CN105" s="3"/>
    </row>
    <row r="106" spans="1:92" x14ac:dyDescent="0.3">
      <c r="A106" s="3" t="s">
        <v>72</v>
      </c>
      <c r="B106" s="3" t="s">
        <v>73</v>
      </c>
      <c r="C106" s="3" t="s">
        <v>74</v>
      </c>
      <c r="D106" s="3"/>
      <c r="E106" s="11" t="str">
        <f>"009942358038"</f>
        <v>009942358038</v>
      </c>
      <c r="F106" s="4">
        <v>44790</v>
      </c>
      <c r="G106" s="3">
        <v>202305</v>
      </c>
      <c r="H106" s="3" t="s">
        <v>79</v>
      </c>
      <c r="I106" s="3" t="s">
        <v>80</v>
      </c>
      <c r="J106" s="3" t="s">
        <v>192</v>
      </c>
      <c r="K106" s="3" t="s">
        <v>78</v>
      </c>
      <c r="L106" s="3" t="s">
        <v>547</v>
      </c>
      <c r="M106" s="3" t="s">
        <v>548</v>
      </c>
      <c r="N106" s="3" t="s">
        <v>552</v>
      </c>
      <c r="O106" s="3" t="s">
        <v>95</v>
      </c>
      <c r="P106" s="3" t="str">
        <f>"REF:PO4101-24728 4101-JOB:1174"</f>
        <v>REF:PO4101-24728 4101-JOB:1174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15</v>
      </c>
      <c r="AB106" s="3">
        <v>0</v>
      </c>
      <c r="AC106" s="3">
        <v>0</v>
      </c>
      <c r="AD106" s="3">
        <v>0</v>
      </c>
      <c r="AE106" s="3">
        <v>5.25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83.79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1</v>
      </c>
      <c r="BI106" s="3">
        <v>25</v>
      </c>
      <c r="BJ106" s="3">
        <v>20.3</v>
      </c>
      <c r="BK106" s="3">
        <v>25</v>
      </c>
      <c r="BL106" s="3">
        <v>221.23</v>
      </c>
      <c r="BM106" s="3">
        <v>33.18</v>
      </c>
      <c r="BN106" s="3">
        <v>254.41</v>
      </c>
      <c r="BO106" s="3">
        <v>254.41</v>
      </c>
      <c r="BP106" s="3"/>
      <c r="BQ106" s="3" t="s">
        <v>553</v>
      </c>
      <c r="BR106" s="3" t="s">
        <v>197</v>
      </c>
      <c r="BS106" s="4">
        <v>44791</v>
      </c>
      <c r="BT106" s="5">
        <v>0.33611111111111108</v>
      </c>
      <c r="BU106" s="3" t="s">
        <v>554</v>
      </c>
      <c r="BV106" s="3" t="s">
        <v>99</v>
      </c>
      <c r="BW106" s="3"/>
      <c r="BX106" s="3"/>
      <c r="BY106" s="3">
        <v>101600</v>
      </c>
      <c r="BZ106" s="3" t="s">
        <v>399</v>
      </c>
      <c r="CA106" s="3"/>
      <c r="CB106" s="3"/>
      <c r="CC106" s="3" t="s">
        <v>548</v>
      </c>
      <c r="CD106" s="3">
        <v>6740</v>
      </c>
      <c r="CE106" s="3" t="s">
        <v>90</v>
      </c>
      <c r="CF106" s="4">
        <v>44799</v>
      </c>
      <c r="CG106" s="3"/>
      <c r="CH106" s="3"/>
      <c r="CI106" s="8">
        <v>2</v>
      </c>
      <c r="CJ106" s="8">
        <v>1</v>
      </c>
      <c r="CK106" s="8">
        <v>44</v>
      </c>
      <c r="CL106" s="3" t="s">
        <v>85</v>
      </c>
      <c r="CM106" s="3"/>
      <c r="CN106" s="3"/>
    </row>
    <row r="107" spans="1:92" x14ac:dyDescent="0.3">
      <c r="A107" s="3" t="s">
        <v>72</v>
      </c>
      <c r="B107" s="3" t="s">
        <v>73</v>
      </c>
      <c r="C107" s="3" t="s">
        <v>74</v>
      </c>
      <c r="D107" s="3"/>
      <c r="E107" s="11" t="str">
        <f>"009942558772"</f>
        <v>009942558772</v>
      </c>
      <c r="F107" s="4">
        <v>44790</v>
      </c>
      <c r="G107" s="3">
        <v>202305</v>
      </c>
      <c r="H107" s="3" t="s">
        <v>79</v>
      </c>
      <c r="I107" s="3" t="s">
        <v>80</v>
      </c>
      <c r="J107" s="3" t="s">
        <v>94</v>
      </c>
      <c r="K107" s="3" t="s">
        <v>78</v>
      </c>
      <c r="L107" s="3" t="s">
        <v>439</v>
      </c>
      <c r="M107" s="3" t="s">
        <v>440</v>
      </c>
      <c r="N107" s="3" t="s">
        <v>555</v>
      </c>
      <c r="O107" s="3" t="s">
        <v>95</v>
      </c>
      <c r="P107" s="3" t="str">
        <f>"AVO:20583                     "</f>
        <v xml:space="preserve">AVO:20583                    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5.25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84.91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1</v>
      </c>
      <c r="BI107" s="3">
        <v>0.3</v>
      </c>
      <c r="BJ107" s="3">
        <v>1.8</v>
      </c>
      <c r="BK107" s="3">
        <v>2</v>
      </c>
      <c r="BL107" s="3">
        <v>208.91</v>
      </c>
      <c r="BM107" s="3">
        <v>31.34</v>
      </c>
      <c r="BN107" s="3">
        <v>240.25</v>
      </c>
      <c r="BO107" s="3">
        <v>240.25</v>
      </c>
      <c r="BP107" s="3"/>
      <c r="BQ107" s="3" t="s">
        <v>556</v>
      </c>
      <c r="BR107" s="3" t="s">
        <v>96</v>
      </c>
      <c r="BS107" s="4">
        <v>44795</v>
      </c>
      <c r="BT107" s="5">
        <v>0.60069444444444442</v>
      </c>
      <c r="BU107" s="3" t="s">
        <v>557</v>
      </c>
      <c r="BV107" s="3" t="s">
        <v>99</v>
      </c>
      <c r="BW107" s="3"/>
      <c r="BX107" s="3"/>
      <c r="BY107" s="3">
        <v>8790.6</v>
      </c>
      <c r="BZ107" s="3" t="s">
        <v>408</v>
      </c>
      <c r="CA107" s="3"/>
      <c r="CB107" s="3"/>
      <c r="CC107" s="3" t="s">
        <v>440</v>
      </c>
      <c r="CD107" s="3">
        <v>4186</v>
      </c>
      <c r="CE107" s="3" t="s">
        <v>90</v>
      </c>
      <c r="CF107" s="4">
        <v>44796</v>
      </c>
      <c r="CG107" s="3"/>
      <c r="CH107" s="3"/>
      <c r="CI107" s="8">
        <v>3</v>
      </c>
      <c r="CJ107" s="8">
        <v>3</v>
      </c>
      <c r="CK107" s="8">
        <v>43</v>
      </c>
      <c r="CL107" s="3" t="s">
        <v>85</v>
      </c>
      <c r="CM107" s="3"/>
      <c r="CN107" s="3"/>
    </row>
    <row r="108" spans="1:92" x14ac:dyDescent="0.3">
      <c r="A108" s="3" t="s">
        <v>72</v>
      </c>
      <c r="B108" s="3" t="s">
        <v>73</v>
      </c>
      <c r="C108" s="3" t="s">
        <v>74</v>
      </c>
      <c r="D108" s="3"/>
      <c r="E108" s="11" t="str">
        <f>"009942558770"</f>
        <v>009942558770</v>
      </c>
      <c r="F108" s="4">
        <v>44790</v>
      </c>
      <c r="G108" s="3">
        <v>202305</v>
      </c>
      <c r="H108" s="3" t="s">
        <v>79</v>
      </c>
      <c r="I108" s="3" t="s">
        <v>80</v>
      </c>
      <c r="J108" s="3" t="s">
        <v>94</v>
      </c>
      <c r="K108" s="3" t="s">
        <v>78</v>
      </c>
      <c r="L108" s="3" t="s">
        <v>79</v>
      </c>
      <c r="M108" s="3" t="s">
        <v>80</v>
      </c>
      <c r="N108" s="3" t="s">
        <v>93</v>
      </c>
      <c r="O108" s="3" t="s">
        <v>109</v>
      </c>
      <c r="P108" s="3" t="str">
        <f>"INV185053                     "</f>
        <v xml:space="preserve">INV185053        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24.32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1</v>
      </c>
      <c r="BI108" s="3">
        <v>0.2</v>
      </c>
      <c r="BJ108" s="3">
        <v>1</v>
      </c>
      <c r="BK108" s="3">
        <v>1</v>
      </c>
      <c r="BL108" s="3">
        <v>58.34</v>
      </c>
      <c r="BM108" s="3">
        <v>8.75</v>
      </c>
      <c r="BN108" s="3">
        <v>67.09</v>
      </c>
      <c r="BO108" s="3">
        <v>67.09</v>
      </c>
      <c r="BP108" s="3"/>
      <c r="BQ108" s="3" t="s">
        <v>558</v>
      </c>
      <c r="BR108" s="3" t="s">
        <v>96</v>
      </c>
      <c r="BS108" s="4">
        <v>44791</v>
      </c>
      <c r="BT108" s="5">
        <v>0.46666666666666662</v>
      </c>
      <c r="BU108" s="3" t="s">
        <v>559</v>
      </c>
      <c r="BV108" s="3" t="s">
        <v>99</v>
      </c>
      <c r="BW108" s="3"/>
      <c r="BX108" s="3"/>
      <c r="BY108" s="3">
        <v>5030.1000000000004</v>
      </c>
      <c r="BZ108" s="3" t="s">
        <v>408</v>
      </c>
      <c r="CA108" s="3" t="s">
        <v>560</v>
      </c>
      <c r="CB108" s="3"/>
      <c r="CC108" s="3" t="s">
        <v>80</v>
      </c>
      <c r="CD108" s="3">
        <v>7580</v>
      </c>
      <c r="CE108" s="3" t="s">
        <v>90</v>
      </c>
      <c r="CF108" s="4">
        <v>44792</v>
      </c>
      <c r="CG108" s="3"/>
      <c r="CH108" s="3"/>
      <c r="CI108" s="8">
        <v>1</v>
      </c>
      <c r="CJ108" s="8">
        <v>1</v>
      </c>
      <c r="CK108" s="8">
        <v>32</v>
      </c>
      <c r="CL108" s="3" t="s">
        <v>85</v>
      </c>
      <c r="CM108" s="3"/>
      <c r="CN108" s="3"/>
    </row>
    <row r="109" spans="1:92" x14ac:dyDescent="0.3">
      <c r="A109" s="3" t="s">
        <v>72</v>
      </c>
      <c r="B109" s="3" t="s">
        <v>73</v>
      </c>
      <c r="C109" s="3" t="s">
        <v>74</v>
      </c>
      <c r="D109" s="3"/>
      <c r="E109" s="11" t="str">
        <f>"009942558769"</f>
        <v>009942558769</v>
      </c>
      <c r="F109" s="4">
        <v>44790</v>
      </c>
      <c r="G109" s="3">
        <v>202305</v>
      </c>
      <c r="H109" s="3" t="s">
        <v>79</v>
      </c>
      <c r="I109" s="3" t="s">
        <v>80</v>
      </c>
      <c r="J109" s="3" t="s">
        <v>94</v>
      </c>
      <c r="K109" s="3" t="s">
        <v>78</v>
      </c>
      <c r="L109" s="3" t="s">
        <v>112</v>
      </c>
      <c r="M109" s="3" t="s">
        <v>113</v>
      </c>
      <c r="N109" s="3" t="s">
        <v>93</v>
      </c>
      <c r="O109" s="3" t="s">
        <v>109</v>
      </c>
      <c r="P109" s="3" t="str">
        <f>"INV185062                     "</f>
        <v xml:space="preserve">INV185062        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60.32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15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1</v>
      </c>
      <c r="BI109" s="3">
        <v>0.3</v>
      </c>
      <c r="BJ109" s="3">
        <v>1.2</v>
      </c>
      <c r="BK109" s="3">
        <v>2</v>
      </c>
      <c r="BL109" s="3">
        <v>159.68</v>
      </c>
      <c r="BM109" s="3">
        <v>23.95</v>
      </c>
      <c r="BN109" s="3">
        <v>183.63</v>
      </c>
      <c r="BO109" s="3">
        <v>183.63</v>
      </c>
      <c r="BP109" s="3"/>
      <c r="BQ109" s="3" t="s">
        <v>561</v>
      </c>
      <c r="BR109" s="3" t="s">
        <v>96</v>
      </c>
      <c r="BS109" s="4">
        <v>44791</v>
      </c>
      <c r="BT109" s="5">
        <v>0.6743055555555556</v>
      </c>
      <c r="BU109" s="3" t="s">
        <v>562</v>
      </c>
      <c r="BV109" s="3" t="s">
        <v>85</v>
      </c>
      <c r="BW109" s="3" t="s">
        <v>236</v>
      </c>
      <c r="BX109" s="3" t="s">
        <v>237</v>
      </c>
      <c r="BY109" s="3">
        <v>5829.3</v>
      </c>
      <c r="BZ109" s="3" t="s">
        <v>474</v>
      </c>
      <c r="CA109" s="3" t="s">
        <v>563</v>
      </c>
      <c r="CB109" s="3"/>
      <c r="CC109" s="3" t="s">
        <v>113</v>
      </c>
      <c r="CD109" s="3">
        <v>1754</v>
      </c>
      <c r="CE109" s="3" t="s">
        <v>90</v>
      </c>
      <c r="CF109" s="4">
        <v>44791</v>
      </c>
      <c r="CG109" s="3"/>
      <c r="CH109" s="3"/>
      <c r="CI109" s="8">
        <v>1</v>
      </c>
      <c r="CJ109" s="8">
        <v>1</v>
      </c>
      <c r="CK109" s="8">
        <v>33</v>
      </c>
      <c r="CL109" s="3" t="s">
        <v>85</v>
      </c>
      <c r="CM109" s="3"/>
      <c r="CN109" s="3"/>
    </row>
    <row r="110" spans="1:92" x14ac:dyDescent="0.3">
      <c r="A110" s="3" t="s">
        <v>72</v>
      </c>
      <c r="B110" s="3" t="s">
        <v>73</v>
      </c>
      <c r="C110" s="3" t="s">
        <v>74</v>
      </c>
      <c r="D110" s="3"/>
      <c r="E110" s="11" t="str">
        <f>"009942558771"</f>
        <v>009942558771</v>
      </c>
      <c r="F110" s="4">
        <v>44790</v>
      </c>
      <c r="G110" s="3">
        <v>202305</v>
      </c>
      <c r="H110" s="3" t="s">
        <v>79</v>
      </c>
      <c r="I110" s="3" t="s">
        <v>80</v>
      </c>
      <c r="J110" s="3" t="s">
        <v>94</v>
      </c>
      <c r="K110" s="3" t="s">
        <v>78</v>
      </c>
      <c r="L110" s="3" t="s">
        <v>125</v>
      </c>
      <c r="M110" s="3" t="s">
        <v>126</v>
      </c>
      <c r="N110" s="3" t="s">
        <v>564</v>
      </c>
      <c r="O110" s="3" t="s">
        <v>109</v>
      </c>
      <c r="P110" s="3" t="str">
        <f>"INV8992                       "</f>
        <v xml:space="preserve">INV8992          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87.56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1.3</v>
      </c>
      <c r="BJ110" s="3">
        <v>5.3</v>
      </c>
      <c r="BK110" s="3">
        <v>6</v>
      </c>
      <c r="BL110" s="3">
        <v>210.02</v>
      </c>
      <c r="BM110" s="3">
        <v>31.5</v>
      </c>
      <c r="BN110" s="3">
        <v>241.52</v>
      </c>
      <c r="BO110" s="3">
        <v>241.52</v>
      </c>
      <c r="BP110" s="3"/>
      <c r="BQ110" s="3" t="s">
        <v>565</v>
      </c>
      <c r="BR110" s="3" t="s">
        <v>96</v>
      </c>
      <c r="BS110" s="4">
        <v>44791</v>
      </c>
      <c r="BT110" s="5">
        <v>0.55763888888888891</v>
      </c>
      <c r="BU110" s="3" t="s">
        <v>566</v>
      </c>
      <c r="BV110" s="3" t="s">
        <v>85</v>
      </c>
      <c r="BW110" s="3" t="s">
        <v>236</v>
      </c>
      <c r="BX110" s="3" t="s">
        <v>500</v>
      </c>
      <c r="BY110" s="3">
        <v>26565.5</v>
      </c>
      <c r="BZ110" s="3" t="s">
        <v>408</v>
      </c>
      <c r="CA110" s="3" t="s">
        <v>260</v>
      </c>
      <c r="CB110" s="3"/>
      <c r="CC110" s="3" t="s">
        <v>126</v>
      </c>
      <c r="CD110" s="3">
        <v>2007</v>
      </c>
      <c r="CE110" s="3" t="s">
        <v>90</v>
      </c>
      <c r="CF110" s="4">
        <v>44792</v>
      </c>
      <c r="CG110" s="3"/>
      <c r="CH110" s="3"/>
      <c r="CI110" s="8">
        <v>1</v>
      </c>
      <c r="CJ110" s="8">
        <v>1</v>
      </c>
      <c r="CK110" s="8">
        <v>31</v>
      </c>
      <c r="CL110" s="3" t="s">
        <v>85</v>
      </c>
      <c r="CM110" s="3"/>
      <c r="CN110" s="3"/>
    </row>
    <row r="111" spans="1:92" x14ac:dyDescent="0.3">
      <c r="A111" s="3" t="s">
        <v>72</v>
      </c>
      <c r="B111" s="3" t="s">
        <v>73</v>
      </c>
      <c r="C111" s="3" t="s">
        <v>74</v>
      </c>
      <c r="D111" s="3"/>
      <c r="E111" s="11" t="str">
        <f>"009941533663"</f>
        <v>009941533663</v>
      </c>
      <c r="F111" s="4">
        <v>44790</v>
      </c>
      <c r="G111" s="3">
        <v>202305</v>
      </c>
      <c r="H111" s="3" t="s">
        <v>125</v>
      </c>
      <c r="I111" s="3" t="s">
        <v>126</v>
      </c>
      <c r="J111" s="3" t="s">
        <v>567</v>
      </c>
      <c r="K111" s="3" t="s">
        <v>78</v>
      </c>
      <c r="L111" s="3" t="s">
        <v>79</v>
      </c>
      <c r="M111" s="3" t="s">
        <v>80</v>
      </c>
      <c r="N111" s="3" t="s">
        <v>81</v>
      </c>
      <c r="O111" s="3" t="s">
        <v>82</v>
      </c>
      <c r="P111" s="3" t="str">
        <f>"JNX021887102                  "</f>
        <v xml:space="preserve">JNX021887102     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77.81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1</v>
      </c>
      <c r="BI111" s="3">
        <v>2.2000000000000002</v>
      </c>
      <c r="BJ111" s="3">
        <v>4.7</v>
      </c>
      <c r="BK111" s="3">
        <v>5</v>
      </c>
      <c r="BL111" s="3">
        <v>186.63</v>
      </c>
      <c r="BM111" s="3">
        <v>27.99</v>
      </c>
      <c r="BN111" s="3">
        <v>214.62</v>
      </c>
      <c r="BO111" s="3">
        <v>214.62</v>
      </c>
      <c r="BP111" s="3"/>
      <c r="BQ111" s="3" t="s">
        <v>291</v>
      </c>
      <c r="BR111" s="3" t="s">
        <v>291</v>
      </c>
      <c r="BS111" s="4">
        <v>44791</v>
      </c>
      <c r="BT111" s="5">
        <v>0.41666666666666669</v>
      </c>
      <c r="BU111" s="3" t="s">
        <v>358</v>
      </c>
      <c r="BV111" s="3" t="s">
        <v>99</v>
      </c>
      <c r="BW111" s="3"/>
      <c r="BX111" s="3"/>
      <c r="BY111" s="3">
        <v>23670.31</v>
      </c>
      <c r="BZ111" s="3" t="s">
        <v>88</v>
      </c>
      <c r="CA111" s="3"/>
      <c r="CB111" s="3"/>
      <c r="CC111" s="3" t="s">
        <v>80</v>
      </c>
      <c r="CD111" s="3">
        <v>7945</v>
      </c>
      <c r="CE111" s="3" t="s">
        <v>90</v>
      </c>
      <c r="CF111" s="4">
        <v>44792</v>
      </c>
      <c r="CG111" s="3"/>
      <c r="CH111" s="3"/>
      <c r="CI111" s="8">
        <v>1</v>
      </c>
      <c r="CJ111" s="8">
        <v>1</v>
      </c>
      <c r="CK111" s="8">
        <v>21</v>
      </c>
      <c r="CL111" s="3" t="s">
        <v>85</v>
      </c>
      <c r="CM111" s="3"/>
      <c r="CN111" s="3"/>
    </row>
    <row r="112" spans="1:92" x14ac:dyDescent="0.3">
      <c r="A112" s="3" t="s">
        <v>72</v>
      </c>
      <c r="B112" s="3" t="s">
        <v>73</v>
      </c>
      <c r="C112" s="3" t="s">
        <v>74</v>
      </c>
      <c r="D112" s="3"/>
      <c r="E112" s="11" t="str">
        <f>"009942560133"</f>
        <v>009942560133</v>
      </c>
      <c r="F112" s="4">
        <v>44790</v>
      </c>
      <c r="G112" s="3">
        <v>202305</v>
      </c>
      <c r="H112" s="3" t="s">
        <v>79</v>
      </c>
      <c r="I112" s="3" t="s">
        <v>80</v>
      </c>
      <c r="J112" s="3" t="s">
        <v>568</v>
      </c>
      <c r="K112" s="3" t="s">
        <v>78</v>
      </c>
      <c r="L112" s="3" t="s">
        <v>569</v>
      </c>
      <c r="M112" s="3" t="s">
        <v>570</v>
      </c>
      <c r="N112" s="3" t="s">
        <v>93</v>
      </c>
      <c r="O112" s="3" t="s">
        <v>95</v>
      </c>
      <c r="P112" s="3" t="str">
        <f>"                              "</f>
        <v xml:space="preserve">            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5.25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219.45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2</v>
      </c>
      <c r="BI112" s="3">
        <v>23.3</v>
      </c>
      <c r="BJ112" s="3">
        <v>45.7</v>
      </c>
      <c r="BK112" s="3">
        <v>46</v>
      </c>
      <c r="BL112" s="3">
        <v>531.62</v>
      </c>
      <c r="BM112" s="3">
        <v>79.739999999999995</v>
      </c>
      <c r="BN112" s="3">
        <v>611.36</v>
      </c>
      <c r="BO112" s="3">
        <v>611.36</v>
      </c>
      <c r="BP112" s="3"/>
      <c r="BQ112" s="3" t="s">
        <v>571</v>
      </c>
      <c r="BR112" s="3" t="s">
        <v>103</v>
      </c>
      <c r="BS112" s="4">
        <v>44797</v>
      </c>
      <c r="BT112" s="5">
        <v>0.58333333333333337</v>
      </c>
      <c r="BU112" s="3" t="s">
        <v>572</v>
      </c>
      <c r="BV112" s="3" t="s">
        <v>99</v>
      </c>
      <c r="BW112" s="3"/>
      <c r="BX112" s="3"/>
      <c r="BY112" s="3">
        <v>228621.77</v>
      </c>
      <c r="BZ112" s="3" t="s">
        <v>408</v>
      </c>
      <c r="CA112" s="3"/>
      <c r="CB112" s="3"/>
      <c r="CC112" s="3" t="s">
        <v>570</v>
      </c>
      <c r="CD112" s="3">
        <v>7005</v>
      </c>
      <c r="CE112" s="3" t="s">
        <v>90</v>
      </c>
      <c r="CF112" s="4">
        <v>44802</v>
      </c>
      <c r="CG112" s="3"/>
      <c r="CH112" s="3"/>
      <c r="CI112" s="8">
        <v>6</v>
      </c>
      <c r="CJ112" s="8">
        <v>5</v>
      </c>
      <c r="CK112" s="8">
        <v>43</v>
      </c>
      <c r="CL112" s="3" t="s">
        <v>85</v>
      </c>
      <c r="CM112" s="3"/>
      <c r="CN112" s="3"/>
    </row>
    <row r="113" spans="1:92" x14ac:dyDescent="0.3">
      <c r="A113" s="3" t="s">
        <v>72</v>
      </c>
      <c r="B113" s="3" t="s">
        <v>73</v>
      </c>
      <c r="C113" s="3" t="s">
        <v>74</v>
      </c>
      <c r="D113" s="3"/>
      <c r="E113" s="11" t="str">
        <f>"009942558739"</f>
        <v>009942558739</v>
      </c>
      <c r="F113" s="4">
        <v>44785</v>
      </c>
      <c r="G113" s="3">
        <v>202305</v>
      </c>
      <c r="H113" s="3" t="s">
        <v>79</v>
      </c>
      <c r="I113" s="3" t="s">
        <v>80</v>
      </c>
      <c r="J113" s="3" t="s">
        <v>94</v>
      </c>
      <c r="K113" s="3" t="s">
        <v>78</v>
      </c>
      <c r="L113" s="3" t="s">
        <v>79</v>
      </c>
      <c r="M113" s="3" t="s">
        <v>80</v>
      </c>
      <c r="N113" s="3" t="s">
        <v>93</v>
      </c>
      <c r="O113" s="3" t="s">
        <v>95</v>
      </c>
      <c r="P113" s="3" t="str">
        <f>"INV184855                     "</f>
        <v xml:space="preserve">INV184855        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5.25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46.45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1</v>
      </c>
      <c r="BI113" s="3">
        <v>2.8</v>
      </c>
      <c r="BJ113" s="3">
        <v>12.4</v>
      </c>
      <c r="BK113" s="3">
        <v>13</v>
      </c>
      <c r="BL113" s="3">
        <v>116.67</v>
      </c>
      <c r="BM113" s="3">
        <v>17.5</v>
      </c>
      <c r="BN113" s="3">
        <v>134.16999999999999</v>
      </c>
      <c r="BO113" s="3">
        <v>134.16999999999999</v>
      </c>
      <c r="BP113" s="3"/>
      <c r="BQ113" s="3" t="s">
        <v>573</v>
      </c>
      <c r="BR113" s="3" t="s">
        <v>96</v>
      </c>
      <c r="BS113" s="4">
        <v>44796</v>
      </c>
      <c r="BT113" s="5">
        <v>0.70833333333333337</v>
      </c>
      <c r="BU113" s="3" t="s">
        <v>573</v>
      </c>
      <c r="BV113" s="3" t="s">
        <v>85</v>
      </c>
      <c r="BW113" s="3" t="s">
        <v>509</v>
      </c>
      <c r="BX113" s="3" t="s">
        <v>574</v>
      </c>
      <c r="BY113" s="3">
        <v>61962.71</v>
      </c>
      <c r="BZ113" s="3" t="s">
        <v>408</v>
      </c>
      <c r="CA113" s="3"/>
      <c r="CB113" s="3"/>
      <c r="CC113" s="3" t="s">
        <v>80</v>
      </c>
      <c r="CD113" s="3">
        <v>7460</v>
      </c>
      <c r="CE113" s="3" t="s">
        <v>90</v>
      </c>
      <c r="CF113" s="4">
        <v>44797</v>
      </c>
      <c r="CG113" s="3"/>
      <c r="CH113" s="3"/>
      <c r="CI113" s="8">
        <v>1</v>
      </c>
      <c r="CJ113" s="8">
        <v>7</v>
      </c>
      <c r="CK113" s="8">
        <v>42</v>
      </c>
      <c r="CL113" s="3" t="s">
        <v>85</v>
      </c>
      <c r="CM113" s="3"/>
      <c r="CN113" s="3"/>
    </row>
    <row r="114" spans="1:92" x14ac:dyDescent="0.3">
      <c r="A114" s="3" t="s">
        <v>72</v>
      </c>
      <c r="B114" s="3" t="s">
        <v>73</v>
      </c>
      <c r="C114" s="3" t="s">
        <v>74</v>
      </c>
      <c r="D114" s="3"/>
      <c r="E114" s="11" t="str">
        <f>"009942558740"</f>
        <v>009942558740</v>
      </c>
      <c r="F114" s="4">
        <v>44785</v>
      </c>
      <c r="G114" s="3">
        <v>202305</v>
      </c>
      <c r="H114" s="3" t="s">
        <v>79</v>
      </c>
      <c r="I114" s="3" t="s">
        <v>80</v>
      </c>
      <c r="J114" s="3" t="s">
        <v>94</v>
      </c>
      <c r="K114" s="3" t="s">
        <v>78</v>
      </c>
      <c r="L114" s="3" t="s">
        <v>91</v>
      </c>
      <c r="M114" s="3" t="s">
        <v>92</v>
      </c>
      <c r="N114" s="3" t="s">
        <v>93</v>
      </c>
      <c r="O114" s="3" t="s">
        <v>82</v>
      </c>
      <c r="P114" s="3" t="str">
        <f>"RETURN                        "</f>
        <v xml:space="preserve">RETURN           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31.13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</v>
      </c>
      <c r="BI114" s="3">
        <v>1</v>
      </c>
      <c r="BJ114" s="3">
        <v>0.2</v>
      </c>
      <c r="BK114" s="3">
        <v>1</v>
      </c>
      <c r="BL114" s="3">
        <v>74.67</v>
      </c>
      <c r="BM114" s="3">
        <v>11.2</v>
      </c>
      <c r="BN114" s="3">
        <v>85.87</v>
      </c>
      <c r="BO114" s="3">
        <v>85.87</v>
      </c>
      <c r="BP114" s="3"/>
      <c r="BQ114" s="3" t="s">
        <v>97</v>
      </c>
      <c r="BR114" s="3" t="s">
        <v>96</v>
      </c>
      <c r="BS114" s="4">
        <v>44791</v>
      </c>
      <c r="BT114" s="5">
        <v>0.64444444444444449</v>
      </c>
      <c r="BU114" s="3" t="s">
        <v>575</v>
      </c>
      <c r="BV114" s="3" t="s">
        <v>85</v>
      </c>
      <c r="BW114" s="3"/>
      <c r="BX114" s="3"/>
      <c r="BY114" s="3">
        <v>1200</v>
      </c>
      <c r="BZ114" s="3" t="s">
        <v>88</v>
      </c>
      <c r="CA114" s="3" t="s">
        <v>466</v>
      </c>
      <c r="CB114" s="3"/>
      <c r="CC114" s="3" t="s">
        <v>92</v>
      </c>
      <c r="CD114" s="3">
        <v>2146</v>
      </c>
      <c r="CE114" s="3" t="s">
        <v>90</v>
      </c>
      <c r="CF114" s="4">
        <v>44797</v>
      </c>
      <c r="CG114" s="3"/>
      <c r="CH114" s="3"/>
      <c r="CI114" s="8">
        <v>1</v>
      </c>
      <c r="CJ114" s="8">
        <v>4</v>
      </c>
      <c r="CK114" s="8">
        <v>21</v>
      </c>
      <c r="CL114" s="3" t="s">
        <v>85</v>
      </c>
      <c r="CM114" s="3"/>
      <c r="CN114" s="3"/>
    </row>
    <row r="115" spans="1:92" x14ac:dyDescent="0.3">
      <c r="A115" s="3" t="s">
        <v>72</v>
      </c>
      <c r="B115" s="3" t="s">
        <v>73</v>
      </c>
      <c r="C115" s="3" t="s">
        <v>74</v>
      </c>
      <c r="D115" s="3"/>
      <c r="E115" s="11" t="str">
        <f>"009942650566"</f>
        <v>009942650566</v>
      </c>
      <c r="F115" s="4">
        <v>44791</v>
      </c>
      <c r="G115" s="3">
        <v>202305</v>
      </c>
      <c r="H115" s="3" t="s">
        <v>125</v>
      </c>
      <c r="I115" s="3" t="s">
        <v>126</v>
      </c>
      <c r="J115" s="3" t="s">
        <v>275</v>
      </c>
      <c r="K115" s="3" t="s">
        <v>78</v>
      </c>
      <c r="L115" s="3" t="s">
        <v>79</v>
      </c>
      <c r="M115" s="3" t="s">
        <v>80</v>
      </c>
      <c r="N115" s="3" t="s">
        <v>81</v>
      </c>
      <c r="O115" s="3" t="s">
        <v>82</v>
      </c>
      <c r="P115" s="3" t="str">
        <f>"                              "</f>
        <v xml:space="preserve">            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108.92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1</v>
      </c>
      <c r="BI115" s="3">
        <v>3</v>
      </c>
      <c r="BJ115" s="3">
        <v>6.8</v>
      </c>
      <c r="BK115" s="3">
        <v>7</v>
      </c>
      <c r="BL115" s="3">
        <v>261.26</v>
      </c>
      <c r="BM115" s="3">
        <v>39.19</v>
      </c>
      <c r="BN115" s="3">
        <v>300.45</v>
      </c>
      <c r="BO115" s="3">
        <v>300.45</v>
      </c>
      <c r="BP115" s="3"/>
      <c r="BQ115" s="3"/>
      <c r="BR115" s="3" t="s">
        <v>565</v>
      </c>
      <c r="BS115" s="4">
        <v>44792</v>
      </c>
      <c r="BT115" s="5">
        <v>0.4152777777777778</v>
      </c>
      <c r="BU115" s="3" t="s">
        <v>98</v>
      </c>
      <c r="BV115" s="3" t="s">
        <v>99</v>
      </c>
      <c r="BW115" s="3"/>
      <c r="BX115" s="3"/>
      <c r="BY115" s="3">
        <v>34188</v>
      </c>
      <c r="BZ115" s="3" t="s">
        <v>88</v>
      </c>
      <c r="CA115" s="3" t="s">
        <v>89</v>
      </c>
      <c r="CB115" s="3"/>
      <c r="CC115" s="3" t="s">
        <v>80</v>
      </c>
      <c r="CD115" s="3">
        <v>7945</v>
      </c>
      <c r="CE115" s="3" t="s">
        <v>90</v>
      </c>
      <c r="CF115" s="4">
        <v>44795</v>
      </c>
      <c r="CG115" s="3"/>
      <c r="CH115" s="3"/>
      <c r="CI115" s="8">
        <v>1</v>
      </c>
      <c r="CJ115" s="8">
        <v>1</v>
      </c>
      <c r="CK115" s="8">
        <v>21</v>
      </c>
      <c r="CL115" s="3" t="s">
        <v>85</v>
      </c>
      <c r="CM115" s="3"/>
      <c r="CN115" s="3"/>
    </row>
    <row r="116" spans="1:92" x14ac:dyDescent="0.3">
      <c r="A116" s="3" t="s">
        <v>72</v>
      </c>
      <c r="B116" s="3" t="s">
        <v>73</v>
      </c>
      <c r="C116" s="3" t="s">
        <v>74</v>
      </c>
      <c r="D116" s="3"/>
      <c r="E116" s="11" t="str">
        <f>"009942558777"</f>
        <v>009942558777</v>
      </c>
      <c r="F116" s="4">
        <v>44791</v>
      </c>
      <c r="G116" s="3">
        <v>202305</v>
      </c>
      <c r="H116" s="3" t="s">
        <v>79</v>
      </c>
      <c r="I116" s="3" t="s">
        <v>80</v>
      </c>
      <c r="J116" s="3" t="s">
        <v>94</v>
      </c>
      <c r="K116" s="3" t="s">
        <v>78</v>
      </c>
      <c r="L116" s="3" t="s">
        <v>91</v>
      </c>
      <c r="M116" s="3" t="s">
        <v>92</v>
      </c>
      <c r="N116" s="3" t="s">
        <v>576</v>
      </c>
      <c r="O116" s="3" t="s">
        <v>95</v>
      </c>
      <c r="P116" s="3" t="str">
        <f>"INV185118                     "</f>
        <v xml:space="preserve">INV185118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5.25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60.2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1</v>
      </c>
      <c r="BI116" s="3">
        <v>1.5</v>
      </c>
      <c r="BJ116" s="3">
        <v>8</v>
      </c>
      <c r="BK116" s="3">
        <v>8</v>
      </c>
      <c r="BL116" s="3">
        <v>149.65</v>
      </c>
      <c r="BM116" s="3">
        <v>22.45</v>
      </c>
      <c r="BN116" s="3">
        <v>172.1</v>
      </c>
      <c r="BO116" s="3">
        <v>172.1</v>
      </c>
      <c r="BP116" s="3"/>
      <c r="BQ116" s="3" t="s">
        <v>577</v>
      </c>
      <c r="BR116" s="3" t="s">
        <v>96</v>
      </c>
      <c r="BS116" s="4">
        <v>44795</v>
      </c>
      <c r="BT116" s="5">
        <v>0.32777777777777778</v>
      </c>
      <c r="BU116" s="3" t="s">
        <v>578</v>
      </c>
      <c r="BV116" s="3" t="s">
        <v>99</v>
      </c>
      <c r="BW116" s="3"/>
      <c r="BX116" s="3"/>
      <c r="BY116" s="3">
        <v>40002.6</v>
      </c>
      <c r="BZ116" s="3" t="s">
        <v>408</v>
      </c>
      <c r="CA116" s="3" t="s">
        <v>579</v>
      </c>
      <c r="CB116" s="3"/>
      <c r="CC116" s="3" t="s">
        <v>92</v>
      </c>
      <c r="CD116" s="3">
        <v>2146</v>
      </c>
      <c r="CE116" s="3" t="s">
        <v>90</v>
      </c>
      <c r="CF116" s="4">
        <v>44796</v>
      </c>
      <c r="CG116" s="3"/>
      <c r="CH116" s="3"/>
      <c r="CI116" s="8">
        <v>2</v>
      </c>
      <c r="CJ116" s="8">
        <v>2</v>
      </c>
      <c r="CK116" s="8">
        <v>41</v>
      </c>
      <c r="CL116" s="3" t="s">
        <v>85</v>
      </c>
      <c r="CM116" s="3"/>
      <c r="CN116" s="3"/>
    </row>
    <row r="117" spans="1:92" x14ac:dyDescent="0.3">
      <c r="A117" s="3" t="s">
        <v>72</v>
      </c>
      <c r="B117" s="3" t="s">
        <v>73</v>
      </c>
      <c r="C117" s="3" t="s">
        <v>74</v>
      </c>
      <c r="D117" s="3"/>
      <c r="E117" s="11" t="str">
        <f>"009942558773"</f>
        <v>009942558773</v>
      </c>
      <c r="F117" s="4">
        <v>44791</v>
      </c>
      <c r="G117" s="3">
        <v>202305</v>
      </c>
      <c r="H117" s="3" t="s">
        <v>79</v>
      </c>
      <c r="I117" s="3" t="s">
        <v>80</v>
      </c>
      <c r="J117" s="3" t="s">
        <v>94</v>
      </c>
      <c r="K117" s="3" t="s">
        <v>78</v>
      </c>
      <c r="L117" s="3" t="s">
        <v>125</v>
      </c>
      <c r="M117" s="3" t="s">
        <v>126</v>
      </c>
      <c r="N117" s="3" t="s">
        <v>93</v>
      </c>
      <c r="O117" s="3" t="s">
        <v>95</v>
      </c>
      <c r="P117" s="3" t="str">
        <f>"INV185103                     "</f>
        <v xml:space="preserve">INV185103        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5.25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60.2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1</v>
      </c>
      <c r="BI117" s="3">
        <v>2.2000000000000002</v>
      </c>
      <c r="BJ117" s="3">
        <v>13.1</v>
      </c>
      <c r="BK117" s="3">
        <v>14</v>
      </c>
      <c r="BL117" s="3">
        <v>149.65</v>
      </c>
      <c r="BM117" s="3">
        <v>22.45</v>
      </c>
      <c r="BN117" s="3">
        <v>172.1</v>
      </c>
      <c r="BO117" s="3">
        <v>172.1</v>
      </c>
      <c r="BP117" s="3"/>
      <c r="BQ117" s="3" t="s">
        <v>580</v>
      </c>
      <c r="BR117" s="3" t="s">
        <v>96</v>
      </c>
      <c r="BS117" s="4">
        <v>44795</v>
      </c>
      <c r="BT117" s="5">
        <v>0.69444444444444453</v>
      </c>
      <c r="BU117" s="3" t="s">
        <v>581</v>
      </c>
      <c r="BV117" s="3" t="s">
        <v>99</v>
      </c>
      <c r="BW117" s="3"/>
      <c r="BX117" s="3"/>
      <c r="BY117" s="3">
        <v>65488.5</v>
      </c>
      <c r="BZ117" s="3" t="s">
        <v>408</v>
      </c>
      <c r="CA117" s="3" t="s">
        <v>582</v>
      </c>
      <c r="CB117" s="3"/>
      <c r="CC117" s="3" t="s">
        <v>126</v>
      </c>
      <c r="CD117" s="3">
        <v>2001</v>
      </c>
      <c r="CE117" s="3" t="s">
        <v>90</v>
      </c>
      <c r="CF117" s="4">
        <v>44796</v>
      </c>
      <c r="CG117" s="3"/>
      <c r="CH117" s="3"/>
      <c r="CI117" s="8">
        <v>2</v>
      </c>
      <c r="CJ117" s="8">
        <v>2</v>
      </c>
      <c r="CK117" s="8">
        <v>41</v>
      </c>
      <c r="CL117" s="3" t="s">
        <v>85</v>
      </c>
      <c r="CM117" s="3"/>
      <c r="CN117" s="3"/>
    </row>
    <row r="118" spans="1:92" x14ac:dyDescent="0.3">
      <c r="A118" s="3" t="s">
        <v>72</v>
      </c>
      <c r="B118" s="3" t="s">
        <v>73</v>
      </c>
      <c r="C118" s="3" t="s">
        <v>74</v>
      </c>
      <c r="D118" s="3"/>
      <c r="E118" s="11" t="str">
        <f>"009942558774"</f>
        <v>009942558774</v>
      </c>
      <c r="F118" s="4">
        <v>44791</v>
      </c>
      <c r="G118" s="3">
        <v>202305</v>
      </c>
      <c r="H118" s="3" t="s">
        <v>79</v>
      </c>
      <c r="I118" s="3" t="s">
        <v>80</v>
      </c>
      <c r="J118" s="3" t="s">
        <v>94</v>
      </c>
      <c r="K118" s="3" t="s">
        <v>78</v>
      </c>
      <c r="L118" s="3" t="s">
        <v>583</v>
      </c>
      <c r="M118" s="3" t="s">
        <v>583</v>
      </c>
      <c r="N118" s="3" t="s">
        <v>584</v>
      </c>
      <c r="O118" s="3" t="s">
        <v>95</v>
      </c>
      <c r="P118" s="3" t="str">
        <f>"INV185045                     "</f>
        <v xml:space="preserve">INV185045        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5.25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84.91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1</v>
      </c>
      <c r="BI118" s="3">
        <v>1.4</v>
      </c>
      <c r="BJ118" s="3">
        <v>4.9000000000000004</v>
      </c>
      <c r="BK118" s="3">
        <v>5</v>
      </c>
      <c r="BL118" s="3">
        <v>208.91</v>
      </c>
      <c r="BM118" s="3">
        <v>31.34</v>
      </c>
      <c r="BN118" s="3">
        <v>240.25</v>
      </c>
      <c r="BO118" s="3">
        <v>240.25</v>
      </c>
      <c r="BP118" s="3"/>
      <c r="BQ118" s="3" t="s">
        <v>585</v>
      </c>
      <c r="BR118" s="3" t="s">
        <v>96</v>
      </c>
      <c r="BS118" s="4">
        <v>44796</v>
      </c>
      <c r="BT118" s="5">
        <v>0.46736111111111112</v>
      </c>
      <c r="BU118" s="3" t="s">
        <v>586</v>
      </c>
      <c r="BV118" s="3" t="s">
        <v>99</v>
      </c>
      <c r="BW118" s="3"/>
      <c r="BX118" s="3"/>
      <c r="BY118" s="3">
        <v>24371.49</v>
      </c>
      <c r="BZ118" s="3" t="s">
        <v>408</v>
      </c>
      <c r="CA118" s="3"/>
      <c r="CB118" s="3"/>
      <c r="CC118" s="3" t="s">
        <v>583</v>
      </c>
      <c r="CD118" s="3">
        <v>5700</v>
      </c>
      <c r="CE118" s="3" t="s">
        <v>90</v>
      </c>
      <c r="CF118" s="4">
        <v>44798</v>
      </c>
      <c r="CG118" s="3"/>
      <c r="CH118" s="3"/>
      <c r="CI118" s="8">
        <v>3</v>
      </c>
      <c r="CJ118" s="8">
        <v>3</v>
      </c>
      <c r="CK118" s="8">
        <v>43</v>
      </c>
      <c r="CL118" s="3" t="s">
        <v>85</v>
      </c>
      <c r="CM118" s="3"/>
      <c r="CN118" s="3"/>
    </row>
    <row r="119" spans="1:92" x14ac:dyDescent="0.3">
      <c r="A119" s="3" t="s">
        <v>72</v>
      </c>
      <c r="B119" s="3" t="s">
        <v>73</v>
      </c>
      <c r="C119" s="3" t="s">
        <v>74</v>
      </c>
      <c r="D119" s="3"/>
      <c r="E119" s="11" t="str">
        <f>"009942558775"</f>
        <v>009942558775</v>
      </c>
      <c r="F119" s="4">
        <v>44791</v>
      </c>
      <c r="G119" s="3">
        <v>202305</v>
      </c>
      <c r="H119" s="3" t="s">
        <v>79</v>
      </c>
      <c r="I119" s="3" t="s">
        <v>80</v>
      </c>
      <c r="J119" s="3" t="s">
        <v>94</v>
      </c>
      <c r="K119" s="3" t="s">
        <v>78</v>
      </c>
      <c r="L119" s="3" t="s">
        <v>587</v>
      </c>
      <c r="M119" s="3" t="s">
        <v>588</v>
      </c>
      <c r="N119" s="3" t="s">
        <v>93</v>
      </c>
      <c r="O119" s="3" t="s">
        <v>95</v>
      </c>
      <c r="P119" s="3" t="str">
        <f>"INV185092                     "</f>
        <v xml:space="preserve">INV185092        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5.25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84.91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1</v>
      </c>
      <c r="BI119" s="3">
        <v>0.3</v>
      </c>
      <c r="BJ119" s="3">
        <v>0.7</v>
      </c>
      <c r="BK119" s="3">
        <v>1</v>
      </c>
      <c r="BL119" s="3">
        <v>208.91</v>
      </c>
      <c r="BM119" s="3">
        <v>31.34</v>
      </c>
      <c r="BN119" s="3">
        <v>240.25</v>
      </c>
      <c r="BO119" s="3">
        <v>240.25</v>
      </c>
      <c r="BP119" s="3"/>
      <c r="BQ119" s="3" t="s">
        <v>589</v>
      </c>
      <c r="BR119" s="3" t="s">
        <v>96</v>
      </c>
      <c r="BS119" s="4">
        <v>44796</v>
      </c>
      <c r="BT119" s="5">
        <v>0.59791666666666665</v>
      </c>
      <c r="BU119" s="3" t="s">
        <v>590</v>
      </c>
      <c r="BV119" s="3" t="s">
        <v>99</v>
      </c>
      <c r="BW119" s="3"/>
      <c r="BX119" s="3"/>
      <c r="BY119" s="3">
        <v>3672.27</v>
      </c>
      <c r="BZ119" s="3" t="s">
        <v>408</v>
      </c>
      <c r="CA119" s="3" t="s">
        <v>591</v>
      </c>
      <c r="CB119" s="3"/>
      <c r="CC119" s="3" t="s">
        <v>588</v>
      </c>
      <c r="CD119" s="3">
        <v>601</v>
      </c>
      <c r="CE119" s="3" t="s">
        <v>90</v>
      </c>
      <c r="CF119" s="4">
        <v>44796</v>
      </c>
      <c r="CG119" s="3"/>
      <c r="CH119" s="3"/>
      <c r="CI119" s="8">
        <v>3</v>
      </c>
      <c r="CJ119" s="8">
        <v>3</v>
      </c>
      <c r="CK119" s="8">
        <v>43</v>
      </c>
      <c r="CL119" s="3" t="s">
        <v>85</v>
      </c>
      <c r="CM119" s="3"/>
      <c r="CN119" s="3"/>
    </row>
    <row r="120" spans="1:92" x14ac:dyDescent="0.3">
      <c r="A120" s="3" t="s">
        <v>72</v>
      </c>
      <c r="B120" s="3" t="s">
        <v>73</v>
      </c>
      <c r="C120" s="3" t="s">
        <v>74</v>
      </c>
      <c r="D120" s="3"/>
      <c r="E120" s="11" t="str">
        <f>"009942558776"</f>
        <v>009942558776</v>
      </c>
      <c r="F120" s="4">
        <v>44791</v>
      </c>
      <c r="G120" s="3">
        <v>202305</v>
      </c>
      <c r="H120" s="3" t="s">
        <v>79</v>
      </c>
      <c r="I120" s="3" t="s">
        <v>80</v>
      </c>
      <c r="J120" s="3" t="s">
        <v>94</v>
      </c>
      <c r="K120" s="3" t="s">
        <v>78</v>
      </c>
      <c r="L120" s="3" t="s">
        <v>125</v>
      </c>
      <c r="M120" s="3" t="s">
        <v>126</v>
      </c>
      <c r="N120" s="3" t="s">
        <v>592</v>
      </c>
      <c r="O120" s="3" t="s">
        <v>109</v>
      </c>
      <c r="P120" s="3" t="str">
        <f>"SPARES                        "</f>
        <v xml:space="preserve">SPARES              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58.37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0.3</v>
      </c>
      <c r="BJ120" s="3">
        <v>0.7</v>
      </c>
      <c r="BK120" s="3">
        <v>1</v>
      </c>
      <c r="BL120" s="3">
        <v>140.01</v>
      </c>
      <c r="BM120" s="3">
        <v>21</v>
      </c>
      <c r="BN120" s="3">
        <v>161.01</v>
      </c>
      <c r="BO120" s="3">
        <v>161.01</v>
      </c>
      <c r="BP120" s="3"/>
      <c r="BQ120" s="3" t="s">
        <v>565</v>
      </c>
      <c r="BR120" s="3" t="s">
        <v>96</v>
      </c>
      <c r="BS120" s="4">
        <v>44792</v>
      </c>
      <c r="BT120" s="5">
        <v>0.40625</v>
      </c>
      <c r="BU120" s="3" t="s">
        <v>277</v>
      </c>
      <c r="BV120" s="3" t="s">
        <v>99</v>
      </c>
      <c r="BW120" s="3"/>
      <c r="BX120" s="3"/>
      <c r="BY120" s="3">
        <v>3728.89</v>
      </c>
      <c r="BZ120" s="3" t="s">
        <v>408</v>
      </c>
      <c r="CA120" s="3" t="s">
        <v>260</v>
      </c>
      <c r="CB120" s="3"/>
      <c r="CC120" s="3" t="s">
        <v>126</v>
      </c>
      <c r="CD120" s="3">
        <v>2007</v>
      </c>
      <c r="CE120" s="3" t="s">
        <v>90</v>
      </c>
      <c r="CF120" s="4">
        <v>44793</v>
      </c>
      <c r="CG120" s="3"/>
      <c r="CH120" s="3"/>
      <c r="CI120" s="8">
        <v>1</v>
      </c>
      <c r="CJ120" s="8">
        <v>1</v>
      </c>
      <c r="CK120" s="8">
        <v>31</v>
      </c>
      <c r="CL120" s="3" t="s">
        <v>85</v>
      </c>
      <c r="CM120" s="3"/>
      <c r="CN120" s="3"/>
    </row>
    <row r="121" spans="1:92" x14ac:dyDescent="0.3">
      <c r="A121" s="3" t="s">
        <v>72</v>
      </c>
      <c r="B121" s="3" t="s">
        <v>73</v>
      </c>
      <c r="C121" s="3" t="s">
        <v>74</v>
      </c>
      <c r="D121" s="3"/>
      <c r="E121" s="11" t="str">
        <f>"R009942558749"</f>
        <v>R009942558749</v>
      </c>
      <c r="F121" s="4">
        <v>44791</v>
      </c>
      <c r="G121" s="3">
        <v>202305</v>
      </c>
      <c r="H121" s="3" t="s">
        <v>79</v>
      </c>
      <c r="I121" s="3" t="s">
        <v>80</v>
      </c>
      <c r="J121" s="3" t="s">
        <v>593</v>
      </c>
      <c r="K121" s="3" t="s">
        <v>78</v>
      </c>
      <c r="L121" s="3" t="s">
        <v>404</v>
      </c>
      <c r="M121" s="3" t="s">
        <v>405</v>
      </c>
      <c r="N121" s="3" t="s">
        <v>594</v>
      </c>
      <c r="O121" s="3" t="s">
        <v>95</v>
      </c>
      <c r="P121" s="3" t="str">
        <f>"INV184980                     "</f>
        <v xml:space="preserve">INV184980      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5.25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60.2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1</v>
      </c>
      <c r="BI121" s="3">
        <v>2.7</v>
      </c>
      <c r="BJ121" s="3">
        <v>13.9</v>
      </c>
      <c r="BK121" s="3">
        <v>14</v>
      </c>
      <c r="BL121" s="3">
        <v>149.65</v>
      </c>
      <c r="BM121" s="3">
        <v>22.45</v>
      </c>
      <c r="BN121" s="3">
        <v>172.1</v>
      </c>
      <c r="BO121" s="3">
        <v>172.1</v>
      </c>
      <c r="BP121" s="3"/>
      <c r="BQ121" s="3" t="s">
        <v>595</v>
      </c>
      <c r="BR121" s="3" t="s">
        <v>465</v>
      </c>
      <c r="BS121" s="4">
        <v>44791</v>
      </c>
      <c r="BT121" s="5">
        <v>0.39930555555555558</v>
      </c>
      <c r="BU121" s="3" t="s">
        <v>596</v>
      </c>
      <c r="BV121" s="3" t="s">
        <v>99</v>
      </c>
      <c r="BW121" s="3"/>
      <c r="BX121" s="3"/>
      <c r="BY121" s="3">
        <v>69308.75</v>
      </c>
      <c r="BZ121" s="3" t="s">
        <v>424</v>
      </c>
      <c r="CA121" s="3" t="s">
        <v>597</v>
      </c>
      <c r="CB121" s="3"/>
      <c r="CC121" s="3" t="s">
        <v>405</v>
      </c>
      <c r="CD121" s="3">
        <v>46</v>
      </c>
      <c r="CE121" s="3" t="s">
        <v>90</v>
      </c>
      <c r="CF121" s="4">
        <v>44791</v>
      </c>
      <c r="CG121" s="3"/>
      <c r="CH121" s="3"/>
      <c r="CI121" s="8">
        <v>2</v>
      </c>
      <c r="CJ121" s="8">
        <v>0</v>
      </c>
      <c r="CK121" s="8">
        <v>41</v>
      </c>
      <c r="CL121" s="3" t="s">
        <v>85</v>
      </c>
      <c r="CM121" s="3"/>
      <c r="CN121" s="3"/>
    </row>
    <row r="122" spans="1:92" x14ac:dyDescent="0.3">
      <c r="A122" s="3" t="s">
        <v>72</v>
      </c>
      <c r="B122" s="3" t="s">
        <v>73</v>
      </c>
      <c r="C122" s="3" t="s">
        <v>74</v>
      </c>
      <c r="D122" s="3"/>
      <c r="E122" s="11" t="str">
        <f>"009942323473"</f>
        <v>009942323473</v>
      </c>
      <c r="F122" s="4">
        <v>44789</v>
      </c>
      <c r="G122" s="3">
        <v>202305</v>
      </c>
      <c r="H122" s="3" t="s">
        <v>142</v>
      </c>
      <c r="I122" s="3" t="s">
        <v>143</v>
      </c>
      <c r="J122" s="3" t="s">
        <v>78</v>
      </c>
      <c r="K122" s="3" t="s">
        <v>78</v>
      </c>
      <c r="L122" s="3" t="s">
        <v>79</v>
      </c>
      <c r="M122" s="3" t="s">
        <v>80</v>
      </c>
      <c r="N122" s="3" t="s">
        <v>81</v>
      </c>
      <c r="O122" s="3" t="s">
        <v>95</v>
      </c>
      <c r="P122" s="3" t="str">
        <f>"                              "</f>
        <v xml:space="preserve">                 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5.25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84.91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1</v>
      </c>
      <c r="BI122" s="3">
        <v>1</v>
      </c>
      <c r="BJ122" s="3">
        <v>9.6</v>
      </c>
      <c r="BK122" s="3">
        <v>10</v>
      </c>
      <c r="BL122" s="3">
        <v>208.91</v>
      </c>
      <c r="BM122" s="3">
        <v>31.34</v>
      </c>
      <c r="BN122" s="3">
        <v>240.25</v>
      </c>
      <c r="BO122" s="3">
        <v>240.25</v>
      </c>
      <c r="BP122" s="3"/>
      <c r="BQ122" s="3"/>
      <c r="BR122" s="3" t="s">
        <v>598</v>
      </c>
      <c r="BS122" s="4">
        <v>44792</v>
      </c>
      <c r="BT122" s="5">
        <v>0.4152777777777778</v>
      </c>
      <c r="BU122" s="3" t="s">
        <v>84</v>
      </c>
      <c r="BV122" s="3" t="s">
        <v>99</v>
      </c>
      <c r="BW122" s="3"/>
      <c r="BX122" s="3"/>
      <c r="BY122" s="3">
        <v>48000</v>
      </c>
      <c r="BZ122" s="3" t="s">
        <v>408</v>
      </c>
      <c r="CA122" s="3" t="s">
        <v>89</v>
      </c>
      <c r="CB122" s="3"/>
      <c r="CC122" s="3" t="s">
        <v>80</v>
      </c>
      <c r="CD122" s="3">
        <v>7945</v>
      </c>
      <c r="CE122" s="3" t="s">
        <v>90</v>
      </c>
      <c r="CF122" s="4">
        <v>44795</v>
      </c>
      <c r="CG122" s="3"/>
      <c r="CH122" s="3"/>
      <c r="CI122" s="8">
        <v>3</v>
      </c>
      <c r="CJ122" s="8">
        <v>3</v>
      </c>
      <c r="CK122" s="8">
        <v>43</v>
      </c>
      <c r="CL122" s="3" t="s">
        <v>85</v>
      </c>
      <c r="CM122" s="3"/>
      <c r="CN122" s="3"/>
    </row>
    <row r="123" spans="1:92" x14ac:dyDescent="0.3">
      <c r="A123" s="3" t="s">
        <v>72</v>
      </c>
      <c r="B123" s="3" t="s">
        <v>73</v>
      </c>
      <c r="C123" s="3" t="s">
        <v>74</v>
      </c>
      <c r="D123" s="3"/>
      <c r="E123" s="11" t="str">
        <f>"009942558786"</f>
        <v>009942558786</v>
      </c>
      <c r="F123" s="4">
        <v>44792</v>
      </c>
      <c r="G123" s="3">
        <v>202305</v>
      </c>
      <c r="H123" s="3" t="s">
        <v>79</v>
      </c>
      <c r="I123" s="3" t="s">
        <v>80</v>
      </c>
      <c r="J123" s="3" t="s">
        <v>94</v>
      </c>
      <c r="K123" s="3" t="s">
        <v>78</v>
      </c>
      <c r="L123" s="3" t="s">
        <v>421</v>
      </c>
      <c r="M123" s="3" t="s">
        <v>421</v>
      </c>
      <c r="N123" s="3" t="s">
        <v>93</v>
      </c>
      <c r="O123" s="3" t="s">
        <v>95</v>
      </c>
      <c r="P123" s="3" t="str">
        <f>"SOQ4041-WB                    "</f>
        <v xml:space="preserve">SOQ4041-WB      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5.25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76.87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1</v>
      </c>
      <c r="BI123" s="3">
        <v>5.8</v>
      </c>
      <c r="BJ123" s="3">
        <v>20.7</v>
      </c>
      <c r="BK123" s="3">
        <v>21</v>
      </c>
      <c r="BL123" s="3">
        <v>189.63</v>
      </c>
      <c r="BM123" s="3">
        <v>28.44</v>
      </c>
      <c r="BN123" s="3">
        <v>218.07</v>
      </c>
      <c r="BO123" s="3">
        <v>218.07</v>
      </c>
      <c r="BP123" s="3"/>
      <c r="BQ123" s="3" t="s">
        <v>599</v>
      </c>
      <c r="BR123" s="3" t="s">
        <v>96</v>
      </c>
      <c r="BS123" s="4">
        <v>44795</v>
      </c>
      <c r="BT123" s="5">
        <v>0.48680555555555555</v>
      </c>
      <c r="BU123" s="3" t="s">
        <v>600</v>
      </c>
      <c r="BV123" s="3" t="s">
        <v>99</v>
      </c>
      <c r="BW123" s="3"/>
      <c r="BX123" s="3"/>
      <c r="BY123" s="3">
        <v>103368</v>
      </c>
      <c r="BZ123" s="3" t="s">
        <v>408</v>
      </c>
      <c r="CA123" s="3" t="s">
        <v>601</v>
      </c>
      <c r="CB123" s="3"/>
      <c r="CC123" s="3" t="s">
        <v>421</v>
      </c>
      <c r="CD123" s="3">
        <v>7620</v>
      </c>
      <c r="CE123" s="3" t="s">
        <v>90</v>
      </c>
      <c r="CF123" s="4">
        <v>44796</v>
      </c>
      <c r="CG123" s="3"/>
      <c r="CH123" s="3"/>
      <c r="CI123" s="8">
        <v>1</v>
      </c>
      <c r="CJ123" s="8">
        <v>1</v>
      </c>
      <c r="CK123" s="8">
        <v>44</v>
      </c>
      <c r="CL123" s="3" t="s">
        <v>85</v>
      </c>
      <c r="CM123" s="3"/>
      <c r="CN123" s="3"/>
    </row>
    <row r="124" spans="1:92" x14ac:dyDescent="0.3">
      <c r="A124" s="3" t="s">
        <v>72</v>
      </c>
      <c r="B124" s="3" t="s">
        <v>73</v>
      </c>
      <c r="C124" s="3" t="s">
        <v>74</v>
      </c>
      <c r="D124" s="3"/>
      <c r="E124" s="11" t="str">
        <f>"009942558779"</f>
        <v>009942558779</v>
      </c>
      <c r="F124" s="4">
        <v>44792</v>
      </c>
      <c r="G124" s="3">
        <v>202305</v>
      </c>
      <c r="H124" s="3" t="s">
        <v>79</v>
      </c>
      <c r="I124" s="3" t="s">
        <v>80</v>
      </c>
      <c r="J124" s="3" t="s">
        <v>94</v>
      </c>
      <c r="K124" s="3" t="s">
        <v>78</v>
      </c>
      <c r="L124" s="3" t="s">
        <v>79</v>
      </c>
      <c r="M124" s="3" t="s">
        <v>80</v>
      </c>
      <c r="N124" s="3" t="s">
        <v>93</v>
      </c>
      <c r="O124" s="3" t="s">
        <v>109</v>
      </c>
      <c r="P124" s="3" t="str">
        <f>"INV185125                     "</f>
        <v xml:space="preserve">INV185125        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24.32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1</v>
      </c>
      <c r="BI124" s="3">
        <v>0.4</v>
      </c>
      <c r="BJ124" s="3">
        <v>2.7</v>
      </c>
      <c r="BK124" s="3">
        <v>3</v>
      </c>
      <c r="BL124" s="3">
        <v>58.34</v>
      </c>
      <c r="BM124" s="3">
        <v>8.75</v>
      </c>
      <c r="BN124" s="3">
        <v>67.09</v>
      </c>
      <c r="BO124" s="3">
        <v>67.09</v>
      </c>
      <c r="BP124" s="3"/>
      <c r="BQ124" s="3" t="s">
        <v>602</v>
      </c>
      <c r="BR124" s="3" t="s">
        <v>96</v>
      </c>
      <c r="BS124" s="4">
        <v>44795</v>
      </c>
      <c r="BT124" s="5">
        <v>0.44375000000000003</v>
      </c>
      <c r="BU124" s="3" t="s">
        <v>603</v>
      </c>
      <c r="BV124" s="3" t="s">
        <v>99</v>
      </c>
      <c r="BW124" s="3"/>
      <c r="BX124" s="3"/>
      <c r="BY124" s="3">
        <v>13544.7</v>
      </c>
      <c r="BZ124" s="3" t="s">
        <v>408</v>
      </c>
      <c r="CA124" s="3"/>
      <c r="CB124" s="3"/>
      <c r="CC124" s="3" t="s">
        <v>80</v>
      </c>
      <c r="CD124" s="3">
        <v>7966</v>
      </c>
      <c r="CE124" s="3" t="s">
        <v>90</v>
      </c>
      <c r="CF124" s="4">
        <v>44796</v>
      </c>
      <c r="CG124" s="3"/>
      <c r="CH124" s="3"/>
      <c r="CI124" s="8">
        <v>1</v>
      </c>
      <c r="CJ124" s="8">
        <v>1</v>
      </c>
      <c r="CK124" s="8">
        <v>32</v>
      </c>
      <c r="CL124" s="3" t="s">
        <v>85</v>
      </c>
      <c r="CM124" s="3"/>
      <c r="CN124" s="3"/>
    </row>
    <row r="125" spans="1:92" x14ac:dyDescent="0.3">
      <c r="A125" s="3" t="s">
        <v>72</v>
      </c>
      <c r="B125" s="3" t="s">
        <v>73</v>
      </c>
      <c r="C125" s="3" t="s">
        <v>74</v>
      </c>
      <c r="D125" s="3"/>
      <c r="E125" s="11" t="str">
        <f>"009942558782"</f>
        <v>009942558782</v>
      </c>
      <c r="F125" s="4">
        <v>44792</v>
      </c>
      <c r="G125" s="3">
        <v>202305</v>
      </c>
      <c r="H125" s="3" t="s">
        <v>79</v>
      </c>
      <c r="I125" s="3" t="s">
        <v>80</v>
      </c>
      <c r="J125" s="3" t="s">
        <v>94</v>
      </c>
      <c r="K125" s="3" t="s">
        <v>78</v>
      </c>
      <c r="L125" s="3" t="s">
        <v>332</v>
      </c>
      <c r="M125" s="3" t="s">
        <v>333</v>
      </c>
      <c r="N125" s="3" t="s">
        <v>93</v>
      </c>
      <c r="O125" s="3" t="s">
        <v>95</v>
      </c>
      <c r="P125" s="3" t="str">
        <f>"INV185143                     "</f>
        <v xml:space="preserve">INV185143        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5.25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60.2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1</v>
      </c>
      <c r="BI125" s="3">
        <v>2.5</v>
      </c>
      <c r="BJ125" s="3">
        <v>12.4</v>
      </c>
      <c r="BK125" s="3">
        <v>13</v>
      </c>
      <c r="BL125" s="3">
        <v>149.65</v>
      </c>
      <c r="BM125" s="3">
        <v>22.45</v>
      </c>
      <c r="BN125" s="3">
        <v>172.1</v>
      </c>
      <c r="BO125" s="3">
        <v>172.1</v>
      </c>
      <c r="BP125" s="3" t="s">
        <v>604</v>
      </c>
      <c r="BQ125" s="3" t="s">
        <v>605</v>
      </c>
      <c r="BR125" s="3" t="s">
        <v>96</v>
      </c>
      <c r="BS125" s="4">
        <v>44795</v>
      </c>
      <c r="BT125" s="5">
        <v>0.61875000000000002</v>
      </c>
      <c r="BU125" s="3" t="s">
        <v>606</v>
      </c>
      <c r="BV125" s="3" t="s">
        <v>99</v>
      </c>
      <c r="BW125" s="3"/>
      <c r="BX125" s="3"/>
      <c r="BY125" s="3">
        <v>61992</v>
      </c>
      <c r="BZ125" s="3" t="s">
        <v>408</v>
      </c>
      <c r="CA125" s="3" t="s">
        <v>607</v>
      </c>
      <c r="CB125" s="3"/>
      <c r="CC125" s="3" t="s">
        <v>333</v>
      </c>
      <c r="CD125" s="3">
        <v>1501</v>
      </c>
      <c r="CE125" s="3" t="s">
        <v>90</v>
      </c>
      <c r="CF125" s="4">
        <v>44795</v>
      </c>
      <c r="CG125" s="3"/>
      <c r="CH125" s="3"/>
      <c r="CI125" s="8">
        <v>2</v>
      </c>
      <c r="CJ125" s="8">
        <v>1</v>
      </c>
      <c r="CK125" s="8">
        <v>41</v>
      </c>
      <c r="CL125" s="3" t="s">
        <v>85</v>
      </c>
      <c r="CM125" s="3"/>
      <c r="CN125" s="3"/>
    </row>
    <row r="126" spans="1:92" x14ac:dyDescent="0.3">
      <c r="A126" s="3" t="s">
        <v>72</v>
      </c>
      <c r="B126" s="3" t="s">
        <v>73</v>
      </c>
      <c r="C126" s="3" t="s">
        <v>74</v>
      </c>
      <c r="D126" s="3"/>
      <c r="E126" s="11" t="str">
        <f>"009942558780"</f>
        <v>009942558780</v>
      </c>
      <c r="F126" s="4">
        <v>44792</v>
      </c>
      <c r="G126" s="3">
        <v>202305</v>
      </c>
      <c r="H126" s="3" t="s">
        <v>79</v>
      </c>
      <c r="I126" s="3" t="s">
        <v>80</v>
      </c>
      <c r="J126" s="3" t="s">
        <v>94</v>
      </c>
      <c r="K126" s="3" t="s">
        <v>78</v>
      </c>
      <c r="L126" s="3" t="s">
        <v>79</v>
      </c>
      <c r="M126" s="3" t="s">
        <v>80</v>
      </c>
      <c r="N126" s="3" t="s">
        <v>93</v>
      </c>
      <c r="O126" s="3" t="s">
        <v>109</v>
      </c>
      <c r="P126" s="3" t="str">
        <f>"INV185137                     "</f>
        <v xml:space="preserve">INV185137   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32.520000000000003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1</v>
      </c>
      <c r="BI126" s="3">
        <v>2.2999999999999998</v>
      </c>
      <c r="BJ126" s="3">
        <v>11</v>
      </c>
      <c r="BK126" s="3">
        <v>11</v>
      </c>
      <c r="BL126" s="3">
        <v>78</v>
      </c>
      <c r="BM126" s="3">
        <v>11.7</v>
      </c>
      <c r="BN126" s="3">
        <v>89.7</v>
      </c>
      <c r="BO126" s="3">
        <v>89.7</v>
      </c>
      <c r="BP126" s="3"/>
      <c r="BQ126" s="3" t="s">
        <v>608</v>
      </c>
      <c r="BR126" s="3" t="s">
        <v>96</v>
      </c>
      <c r="BS126" s="4">
        <v>44795</v>
      </c>
      <c r="BT126" s="5">
        <v>0.51874999999999993</v>
      </c>
      <c r="BU126" s="3" t="s">
        <v>609</v>
      </c>
      <c r="BV126" s="3" t="s">
        <v>99</v>
      </c>
      <c r="BW126" s="3"/>
      <c r="BX126" s="3"/>
      <c r="BY126" s="3">
        <v>55237.95</v>
      </c>
      <c r="BZ126" s="3" t="s">
        <v>408</v>
      </c>
      <c r="CA126" s="3" t="s">
        <v>610</v>
      </c>
      <c r="CB126" s="3"/>
      <c r="CC126" s="3" t="s">
        <v>80</v>
      </c>
      <c r="CD126" s="3">
        <v>8005</v>
      </c>
      <c r="CE126" s="3" t="s">
        <v>90</v>
      </c>
      <c r="CF126" s="4">
        <v>44796</v>
      </c>
      <c r="CG126" s="3"/>
      <c r="CH126" s="3"/>
      <c r="CI126" s="8">
        <v>1</v>
      </c>
      <c r="CJ126" s="8">
        <v>1</v>
      </c>
      <c r="CK126" s="8">
        <v>32</v>
      </c>
      <c r="CL126" s="3" t="s">
        <v>85</v>
      </c>
      <c r="CM126" s="3"/>
      <c r="CN126" s="3"/>
    </row>
    <row r="127" spans="1:92" x14ac:dyDescent="0.3">
      <c r="A127" s="3" t="s">
        <v>72</v>
      </c>
      <c r="B127" s="3" t="s">
        <v>73</v>
      </c>
      <c r="C127" s="3" t="s">
        <v>74</v>
      </c>
      <c r="D127" s="3"/>
      <c r="E127" s="11" t="str">
        <f>"009942558785"</f>
        <v>009942558785</v>
      </c>
      <c r="F127" s="4">
        <v>44792</v>
      </c>
      <c r="G127" s="3">
        <v>202305</v>
      </c>
      <c r="H127" s="3" t="s">
        <v>79</v>
      </c>
      <c r="I127" s="3" t="s">
        <v>80</v>
      </c>
      <c r="J127" s="3" t="s">
        <v>94</v>
      </c>
      <c r="K127" s="3" t="s">
        <v>78</v>
      </c>
      <c r="L127" s="3" t="s">
        <v>611</v>
      </c>
      <c r="M127" s="3" t="s">
        <v>612</v>
      </c>
      <c r="N127" s="3" t="s">
        <v>613</v>
      </c>
      <c r="O127" s="3" t="s">
        <v>95</v>
      </c>
      <c r="P127" s="3" t="str">
        <f>"INV9008                       "</f>
        <v xml:space="preserve">INV9008     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5.25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94.94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1</v>
      </c>
      <c r="BI127" s="3">
        <v>8.3000000000000007</v>
      </c>
      <c r="BJ127" s="3">
        <v>28.1</v>
      </c>
      <c r="BK127" s="3">
        <v>29</v>
      </c>
      <c r="BL127" s="3">
        <v>232.97</v>
      </c>
      <c r="BM127" s="3">
        <v>34.950000000000003</v>
      </c>
      <c r="BN127" s="3">
        <v>267.92</v>
      </c>
      <c r="BO127" s="3">
        <v>267.92</v>
      </c>
      <c r="BP127" s="3"/>
      <c r="BQ127" s="3" t="s">
        <v>417</v>
      </c>
      <c r="BR127" s="3" t="s">
        <v>96</v>
      </c>
      <c r="BS127" s="4">
        <v>44795</v>
      </c>
      <c r="BT127" s="5">
        <v>0.625</v>
      </c>
      <c r="BU127" s="3" t="s">
        <v>614</v>
      </c>
      <c r="BV127" s="3" t="s">
        <v>99</v>
      </c>
      <c r="BW127" s="3"/>
      <c r="BX127" s="3"/>
      <c r="BY127" s="3">
        <v>140734.13</v>
      </c>
      <c r="BZ127" s="3" t="s">
        <v>408</v>
      </c>
      <c r="CA127" s="3" t="s">
        <v>615</v>
      </c>
      <c r="CB127" s="3"/>
      <c r="CC127" s="3" t="s">
        <v>612</v>
      </c>
      <c r="CD127" s="3">
        <v>6546</v>
      </c>
      <c r="CE127" s="3" t="s">
        <v>90</v>
      </c>
      <c r="CF127" s="4">
        <v>44802</v>
      </c>
      <c r="CG127" s="3"/>
      <c r="CH127" s="3"/>
      <c r="CI127" s="8">
        <v>1</v>
      </c>
      <c r="CJ127" s="8">
        <v>1</v>
      </c>
      <c r="CK127" s="8">
        <v>41</v>
      </c>
      <c r="CL127" s="3" t="s">
        <v>85</v>
      </c>
      <c r="CM127" s="3"/>
      <c r="CN127" s="3"/>
    </row>
    <row r="128" spans="1:92" x14ac:dyDescent="0.3">
      <c r="A128" s="3" t="s">
        <v>72</v>
      </c>
      <c r="B128" s="3" t="s">
        <v>73</v>
      </c>
      <c r="C128" s="3" t="s">
        <v>74</v>
      </c>
      <c r="D128" s="3"/>
      <c r="E128" s="11" t="str">
        <f>"009942558778"</f>
        <v>009942558778</v>
      </c>
      <c r="F128" s="4">
        <v>44792</v>
      </c>
      <c r="G128" s="3">
        <v>202305</v>
      </c>
      <c r="H128" s="3" t="s">
        <v>79</v>
      </c>
      <c r="I128" s="3" t="s">
        <v>80</v>
      </c>
      <c r="J128" s="3" t="s">
        <v>94</v>
      </c>
      <c r="K128" s="3" t="s">
        <v>78</v>
      </c>
      <c r="L128" s="3" t="s">
        <v>125</v>
      </c>
      <c r="M128" s="3" t="s">
        <v>126</v>
      </c>
      <c r="N128" s="3" t="s">
        <v>93</v>
      </c>
      <c r="O128" s="3" t="s">
        <v>109</v>
      </c>
      <c r="P128" s="3" t="str">
        <f>"INV185124                     "</f>
        <v xml:space="preserve">INV185124        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58.37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1</v>
      </c>
      <c r="BI128" s="3">
        <v>0.2</v>
      </c>
      <c r="BJ128" s="3">
        <v>0.9</v>
      </c>
      <c r="BK128" s="3">
        <v>1</v>
      </c>
      <c r="BL128" s="3">
        <v>140.01</v>
      </c>
      <c r="BM128" s="3">
        <v>21</v>
      </c>
      <c r="BN128" s="3">
        <v>161.01</v>
      </c>
      <c r="BO128" s="3">
        <v>161.01</v>
      </c>
      <c r="BP128" s="3"/>
      <c r="BQ128" s="3" t="s">
        <v>616</v>
      </c>
      <c r="BR128" s="3" t="s">
        <v>96</v>
      </c>
      <c r="BS128" s="4">
        <v>44795</v>
      </c>
      <c r="BT128" s="5">
        <v>0.43194444444444446</v>
      </c>
      <c r="BU128" s="3" t="s">
        <v>617</v>
      </c>
      <c r="BV128" s="3" t="s">
        <v>99</v>
      </c>
      <c r="BW128" s="3"/>
      <c r="BX128" s="3"/>
      <c r="BY128" s="3">
        <v>4470.51</v>
      </c>
      <c r="BZ128" s="3" t="s">
        <v>408</v>
      </c>
      <c r="CA128" s="3" t="s">
        <v>320</v>
      </c>
      <c r="CB128" s="3"/>
      <c r="CC128" s="3" t="s">
        <v>126</v>
      </c>
      <c r="CD128" s="3">
        <v>2193</v>
      </c>
      <c r="CE128" s="3" t="s">
        <v>90</v>
      </c>
      <c r="CF128" s="4">
        <v>44796</v>
      </c>
      <c r="CG128" s="3"/>
      <c r="CH128" s="3"/>
      <c r="CI128" s="8">
        <v>1</v>
      </c>
      <c r="CJ128" s="8">
        <v>1</v>
      </c>
      <c r="CK128" s="8">
        <v>31</v>
      </c>
      <c r="CL128" s="3" t="s">
        <v>85</v>
      </c>
      <c r="CM128" s="3"/>
      <c r="CN128" s="3"/>
    </row>
    <row r="129" spans="1:92" x14ac:dyDescent="0.3">
      <c r="A129" s="3" t="s">
        <v>72</v>
      </c>
      <c r="B129" s="3" t="s">
        <v>73</v>
      </c>
      <c r="C129" s="3" t="s">
        <v>74</v>
      </c>
      <c r="D129" s="3"/>
      <c r="E129" s="11" t="str">
        <f>"009942558781"</f>
        <v>009942558781</v>
      </c>
      <c r="F129" s="4">
        <v>44792</v>
      </c>
      <c r="G129" s="3">
        <v>202305</v>
      </c>
      <c r="H129" s="3" t="s">
        <v>79</v>
      </c>
      <c r="I129" s="3" t="s">
        <v>80</v>
      </c>
      <c r="J129" s="3" t="s">
        <v>94</v>
      </c>
      <c r="K129" s="3" t="s">
        <v>78</v>
      </c>
      <c r="L129" s="3" t="s">
        <v>618</v>
      </c>
      <c r="M129" s="3" t="s">
        <v>619</v>
      </c>
      <c r="N129" s="3" t="s">
        <v>620</v>
      </c>
      <c r="O129" s="3" t="s">
        <v>109</v>
      </c>
      <c r="P129" s="3" t="str">
        <f>"INV185139                     "</f>
        <v xml:space="preserve">INV185139            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58.37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0.1</v>
      </c>
      <c r="BJ129" s="3">
        <v>1.1000000000000001</v>
      </c>
      <c r="BK129" s="3">
        <v>2</v>
      </c>
      <c r="BL129" s="3">
        <v>140.01</v>
      </c>
      <c r="BM129" s="3">
        <v>21</v>
      </c>
      <c r="BN129" s="3">
        <v>161.01</v>
      </c>
      <c r="BO129" s="3">
        <v>161.01</v>
      </c>
      <c r="BP129" s="3"/>
      <c r="BQ129" s="3" t="s">
        <v>621</v>
      </c>
      <c r="BR129" s="3" t="s">
        <v>96</v>
      </c>
      <c r="BS129" s="4">
        <v>44795</v>
      </c>
      <c r="BT129" s="5">
        <v>0.43263888888888885</v>
      </c>
      <c r="BU129" s="3" t="s">
        <v>622</v>
      </c>
      <c r="BV129" s="3" t="s">
        <v>99</v>
      </c>
      <c r="BW129" s="3"/>
      <c r="BX129" s="3"/>
      <c r="BY129" s="3">
        <v>5420.13</v>
      </c>
      <c r="BZ129" s="3" t="s">
        <v>408</v>
      </c>
      <c r="CA129" s="3" t="s">
        <v>623</v>
      </c>
      <c r="CB129" s="3"/>
      <c r="CC129" s="3" t="s">
        <v>619</v>
      </c>
      <c r="CD129" s="3">
        <v>1459</v>
      </c>
      <c r="CE129" s="3" t="s">
        <v>90</v>
      </c>
      <c r="CF129" s="4">
        <v>44796</v>
      </c>
      <c r="CG129" s="3"/>
      <c r="CH129" s="3"/>
      <c r="CI129" s="8">
        <v>1</v>
      </c>
      <c r="CJ129" s="8">
        <v>1</v>
      </c>
      <c r="CK129" s="8">
        <v>31</v>
      </c>
      <c r="CL129" s="3" t="s">
        <v>85</v>
      </c>
      <c r="CM129" s="3"/>
      <c r="CN129" s="3"/>
    </row>
    <row r="130" spans="1:92" x14ac:dyDescent="0.3">
      <c r="A130" s="3" t="s">
        <v>72</v>
      </c>
      <c r="B130" s="3" t="s">
        <v>73</v>
      </c>
      <c r="C130" s="3" t="s">
        <v>74</v>
      </c>
      <c r="D130" s="3"/>
      <c r="E130" s="11" t="str">
        <f>"009942558784"</f>
        <v>009942558784</v>
      </c>
      <c r="F130" s="4">
        <v>44792</v>
      </c>
      <c r="G130" s="3">
        <v>202305</v>
      </c>
      <c r="H130" s="3" t="s">
        <v>79</v>
      </c>
      <c r="I130" s="3" t="s">
        <v>80</v>
      </c>
      <c r="J130" s="3" t="s">
        <v>94</v>
      </c>
      <c r="K130" s="3" t="s">
        <v>78</v>
      </c>
      <c r="L130" s="3" t="s">
        <v>228</v>
      </c>
      <c r="M130" s="3" t="s">
        <v>229</v>
      </c>
      <c r="N130" s="3" t="s">
        <v>624</v>
      </c>
      <c r="O130" s="3" t="s">
        <v>109</v>
      </c>
      <c r="P130" s="3" t="str">
        <f>"INV185146                     "</f>
        <v xml:space="preserve">INV185146        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58.37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1</v>
      </c>
      <c r="BI130" s="3">
        <v>0.2</v>
      </c>
      <c r="BJ130" s="3">
        <v>0.9</v>
      </c>
      <c r="BK130" s="3">
        <v>1</v>
      </c>
      <c r="BL130" s="3">
        <v>140.01</v>
      </c>
      <c r="BM130" s="3">
        <v>21</v>
      </c>
      <c r="BN130" s="3">
        <v>161.01</v>
      </c>
      <c r="BO130" s="3">
        <v>161.01</v>
      </c>
      <c r="BP130" s="3"/>
      <c r="BQ130" s="3" t="s">
        <v>625</v>
      </c>
      <c r="BR130" s="3" t="s">
        <v>96</v>
      </c>
      <c r="BS130" s="4">
        <v>44795</v>
      </c>
      <c r="BT130" s="5">
        <v>0.36874999999999997</v>
      </c>
      <c r="BU130" s="3" t="s">
        <v>626</v>
      </c>
      <c r="BV130" s="3" t="s">
        <v>99</v>
      </c>
      <c r="BW130" s="3"/>
      <c r="BX130" s="3"/>
      <c r="BY130" s="3">
        <v>4482.5</v>
      </c>
      <c r="BZ130" s="3" t="s">
        <v>408</v>
      </c>
      <c r="CA130" s="3" t="s">
        <v>627</v>
      </c>
      <c r="CB130" s="3"/>
      <c r="CC130" s="3" t="s">
        <v>229</v>
      </c>
      <c r="CD130" s="3">
        <v>2194</v>
      </c>
      <c r="CE130" s="3" t="s">
        <v>90</v>
      </c>
      <c r="CF130" s="4">
        <v>44796</v>
      </c>
      <c r="CG130" s="3"/>
      <c r="CH130" s="3"/>
      <c r="CI130" s="8">
        <v>1</v>
      </c>
      <c r="CJ130" s="8">
        <v>1</v>
      </c>
      <c r="CK130" s="8">
        <v>31</v>
      </c>
      <c r="CL130" s="3" t="s">
        <v>85</v>
      </c>
      <c r="CM130" s="3"/>
      <c r="CN130" s="3"/>
    </row>
    <row r="131" spans="1:92" x14ac:dyDescent="0.3">
      <c r="A131" s="3" t="s">
        <v>72</v>
      </c>
      <c r="B131" s="3" t="s">
        <v>73</v>
      </c>
      <c r="C131" s="3" t="s">
        <v>74</v>
      </c>
      <c r="D131" s="3"/>
      <c r="E131" s="11" t="str">
        <f>"009942558783"</f>
        <v>009942558783</v>
      </c>
      <c r="F131" s="4">
        <v>44792</v>
      </c>
      <c r="G131" s="3">
        <v>202305</v>
      </c>
      <c r="H131" s="3" t="s">
        <v>79</v>
      </c>
      <c r="I131" s="3" t="s">
        <v>80</v>
      </c>
      <c r="J131" s="3" t="s">
        <v>94</v>
      </c>
      <c r="K131" s="3" t="s">
        <v>78</v>
      </c>
      <c r="L131" s="3" t="s">
        <v>628</v>
      </c>
      <c r="M131" s="3" t="s">
        <v>629</v>
      </c>
      <c r="N131" s="3" t="s">
        <v>630</v>
      </c>
      <c r="O131" s="3" t="s">
        <v>95</v>
      </c>
      <c r="P131" s="3" t="str">
        <f>"INV185144                     "</f>
        <v xml:space="preserve">INV185144   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5.25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60.2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1</v>
      </c>
      <c r="BI131" s="3">
        <v>1.1000000000000001</v>
      </c>
      <c r="BJ131" s="3">
        <v>9</v>
      </c>
      <c r="BK131" s="3">
        <v>9</v>
      </c>
      <c r="BL131" s="3">
        <v>149.65</v>
      </c>
      <c r="BM131" s="3">
        <v>22.45</v>
      </c>
      <c r="BN131" s="3">
        <v>172.1</v>
      </c>
      <c r="BO131" s="3">
        <v>172.1</v>
      </c>
      <c r="BP131" s="3"/>
      <c r="BQ131" s="3" t="s">
        <v>631</v>
      </c>
      <c r="BR131" s="3" t="s">
        <v>96</v>
      </c>
      <c r="BS131" s="4">
        <v>44795</v>
      </c>
      <c r="BT131" s="5">
        <v>0.47569444444444442</v>
      </c>
      <c r="BU131" s="3" t="s">
        <v>632</v>
      </c>
      <c r="BV131" s="3" t="s">
        <v>99</v>
      </c>
      <c r="BW131" s="3"/>
      <c r="BX131" s="3"/>
      <c r="BY131" s="3">
        <v>45104.85</v>
      </c>
      <c r="BZ131" s="3" t="s">
        <v>408</v>
      </c>
      <c r="CA131" s="3" t="s">
        <v>633</v>
      </c>
      <c r="CB131" s="3"/>
      <c r="CC131" s="3" t="s">
        <v>629</v>
      </c>
      <c r="CD131" s="3">
        <v>1419</v>
      </c>
      <c r="CE131" s="3" t="s">
        <v>90</v>
      </c>
      <c r="CF131" s="4">
        <v>44796</v>
      </c>
      <c r="CG131" s="3"/>
      <c r="CH131" s="3"/>
      <c r="CI131" s="8">
        <v>2</v>
      </c>
      <c r="CJ131" s="8">
        <v>1</v>
      </c>
      <c r="CK131" s="8">
        <v>41</v>
      </c>
      <c r="CL131" s="3" t="s">
        <v>85</v>
      </c>
      <c r="CM131" s="3"/>
      <c r="CN131" s="3"/>
    </row>
    <row r="132" spans="1:92" x14ac:dyDescent="0.3">
      <c r="A132" s="3" t="s">
        <v>72</v>
      </c>
      <c r="B132" s="3" t="s">
        <v>73</v>
      </c>
      <c r="C132" s="3" t="s">
        <v>74</v>
      </c>
      <c r="D132" s="3"/>
      <c r="E132" s="11" t="str">
        <f>"009942566406"</f>
        <v>009942566406</v>
      </c>
      <c r="F132" s="4">
        <v>44784</v>
      </c>
      <c r="G132" s="3">
        <v>202305</v>
      </c>
      <c r="H132" s="3" t="s">
        <v>79</v>
      </c>
      <c r="I132" s="3" t="s">
        <v>80</v>
      </c>
      <c r="J132" s="3" t="s">
        <v>634</v>
      </c>
      <c r="K132" s="3" t="s">
        <v>78</v>
      </c>
      <c r="L132" s="3" t="s">
        <v>125</v>
      </c>
      <c r="M132" s="3" t="s">
        <v>126</v>
      </c>
      <c r="N132" s="3" t="s">
        <v>635</v>
      </c>
      <c r="O132" s="3" t="s">
        <v>82</v>
      </c>
      <c r="P132" s="3" t="str">
        <f>"                              "</f>
        <v xml:space="preserve">                 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1198.01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2</v>
      </c>
      <c r="BI132" s="3">
        <v>26</v>
      </c>
      <c r="BJ132" s="3">
        <v>77</v>
      </c>
      <c r="BK132" s="3">
        <v>77</v>
      </c>
      <c r="BL132" s="3">
        <v>2873.55</v>
      </c>
      <c r="BM132" s="3">
        <v>431.03</v>
      </c>
      <c r="BN132" s="3">
        <v>3304.58</v>
      </c>
      <c r="BO132" s="3">
        <v>3304.58</v>
      </c>
      <c r="BP132" s="3"/>
      <c r="BQ132" s="3" t="s">
        <v>636</v>
      </c>
      <c r="BR132" s="3" t="s">
        <v>637</v>
      </c>
      <c r="BS132" s="4">
        <v>44785</v>
      </c>
      <c r="BT132" s="5">
        <v>0.43194444444444446</v>
      </c>
      <c r="BU132" s="3" t="s">
        <v>638</v>
      </c>
      <c r="BV132" s="3" t="s">
        <v>99</v>
      </c>
      <c r="BW132" s="3"/>
      <c r="BX132" s="3"/>
      <c r="BY132" s="3">
        <v>385000</v>
      </c>
      <c r="BZ132" s="3" t="s">
        <v>424</v>
      </c>
      <c r="CA132" s="3" t="s">
        <v>639</v>
      </c>
      <c r="CB132" s="3"/>
      <c r="CC132" s="3" t="s">
        <v>126</v>
      </c>
      <c r="CD132" s="3">
        <v>2055</v>
      </c>
      <c r="CE132" s="3" t="s">
        <v>90</v>
      </c>
      <c r="CF132" s="4">
        <v>44786</v>
      </c>
      <c r="CG132" s="3"/>
      <c r="CH132" s="3"/>
      <c r="CI132" s="8">
        <v>1</v>
      </c>
      <c r="CJ132" s="8">
        <v>1</v>
      </c>
      <c r="CK132" s="8">
        <v>21</v>
      </c>
      <c r="CL132" s="3" t="s">
        <v>85</v>
      </c>
      <c r="CM132" s="3"/>
      <c r="CN132" s="3"/>
    </row>
    <row r="133" spans="1:92" x14ac:dyDescent="0.3">
      <c r="A133" s="3" t="s">
        <v>72</v>
      </c>
      <c r="B133" s="3" t="s">
        <v>73</v>
      </c>
      <c r="C133" s="3" t="s">
        <v>74</v>
      </c>
      <c r="D133" s="3"/>
      <c r="E133" s="11" t="str">
        <f>"009942377759"</f>
        <v>009942377759</v>
      </c>
      <c r="F133" s="4">
        <v>44792</v>
      </c>
      <c r="G133" s="3">
        <v>202305</v>
      </c>
      <c r="H133" s="3" t="s">
        <v>160</v>
      </c>
      <c r="I133" s="3" t="s">
        <v>161</v>
      </c>
      <c r="J133" s="3" t="s">
        <v>640</v>
      </c>
      <c r="K133" s="3" t="s">
        <v>78</v>
      </c>
      <c r="L133" s="3" t="s">
        <v>484</v>
      </c>
      <c r="M133" s="3" t="s">
        <v>485</v>
      </c>
      <c r="N133" s="3" t="s">
        <v>641</v>
      </c>
      <c r="O133" s="3" t="s">
        <v>82</v>
      </c>
      <c r="P133" s="3" t="str">
        <f>"..                            "</f>
        <v xml:space="preserve">..               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202.27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1.2</v>
      </c>
      <c r="BJ133" s="3">
        <v>12.7</v>
      </c>
      <c r="BK133" s="3">
        <v>13</v>
      </c>
      <c r="BL133" s="3">
        <v>485.17</v>
      </c>
      <c r="BM133" s="3">
        <v>72.78</v>
      </c>
      <c r="BN133" s="3">
        <v>557.95000000000005</v>
      </c>
      <c r="BO133" s="3">
        <v>557.95000000000005</v>
      </c>
      <c r="BP133" s="3"/>
      <c r="BQ133" s="3" t="s">
        <v>642</v>
      </c>
      <c r="BR133" s="3" t="s">
        <v>481</v>
      </c>
      <c r="BS133" s="4">
        <v>44795</v>
      </c>
      <c r="BT133" s="5">
        <v>0.43541666666666662</v>
      </c>
      <c r="BU133" s="3" t="s">
        <v>643</v>
      </c>
      <c r="BV133" s="3" t="s">
        <v>99</v>
      </c>
      <c r="BW133" s="3"/>
      <c r="BX133" s="3"/>
      <c r="BY133" s="3">
        <v>63693.75</v>
      </c>
      <c r="BZ133" s="3" t="s">
        <v>88</v>
      </c>
      <c r="CA133" s="3" t="s">
        <v>644</v>
      </c>
      <c r="CB133" s="3"/>
      <c r="CC133" s="3" t="s">
        <v>485</v>
      </c>
      <c r="CD133" s="3">
        <v>3610</v>
      </c>
      <c r="CE133" s="3" t="s">
        <v>90</v>
      </c>
      <c r="CF133" s="4">
        <v>44796</v>
      </c>
      <c r="CG133" s="3"/>
      <c r="CH133" s="3"/>
      <c r="CI133" s="8">
        <v>1</v>
      </c>
      <c r="CJ133" s="8">
        <v>1</v>
      </c>
      <c r="CK133" s="8">
        <v>21</v>
      </c>
      <c r="CL133" s="3" t="s">
        <v>85</v>
      </c>
      <c r="CM133" s="3"/>
      <c r="CN133" s="3"/>
    </row>
    <row r="134" spans="1:92" x14ac:dyDescent="0.3">
      <c r="A134" s="3" t="s">
        <v>72</v>
      </c>
      <c r="B134" s="3" t="s">
        <v>73</v>
      </c>
      <c r="C134" s="3" t="s">
        <v>74</v>
      </c>
      <c r="D134" s="3"/>
      <c r="E134" s="11" t="str">
        <f>"009942377757"</f>
        <v>009942377757</v>
      </c>
      <c r="F134" s="4">
        <v>44792</v>
      </c>
      <c r="G134" s="3">
        <v>202305</v>
      </c>
      <c r="H134" s="3" t="s">
        <v>160</v>
      </c>
      <c r="I134" s="3" t="s">
        <v>161</v>
      </c>
      <c r="J134" s="3" t="s">
        <v>640</v>
      </c>
      <c r="K134" s="3" t="s">
        <v>78</v>
      </c>
      <c r="L134" s="3" t="s">
        <v>645</v>
      </c>
      <c r="M134" s="3" t="s">
        <v>646</v>
      </c>
      <c r="N134" s="3" t="s">
        <v>647</v>
      </c>
      <c r="O134" s="3" t="s">
        <v>82</v>
      </c>
      <c r="P134" s="3" t="str">
        <f>"..                            "</f>
        <v xml:space="preserve">..               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31.13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1</v>
      </c>
      <c r="BI134" s="3">
        <v>0.9</v>
      </c>
      <c r="BJ134" s="3">
        <v>0.9</v>
      </c>
      <c r="BK134" s="3">
        <v>1</v>
      </c>
      <c r="BL134" s="3">
        <v>74.67</v>
      </c>
      <c r="BM134" s="3">
        <v>11.2</v>
      </c>
      <c r="BN134" s="3">
        <v>85.87</v>
      </c>
      <c r="BO134" s="3">
        <v>85.87</v>
      </c>
      <c r="BP134" s="3"/>
      <c r="BQ134" s="3" t="s">
        <v>648</v>
      </c>
      <c r="BR134" s="3" t="s">
        <v>481</v>
      </c>
      <c r="BS134" s="4">
        <v>44795</v>
      </c>
      <c r="BT134" s="5">
        <v>0.39097222222222222</v>
      </c>
      <c r="BU134" s="3" t="s">
        <v>648</v>
      </c>
      <c r="BV134" s="3" t="s">
        <v>99</v>
      </c>
      <c r="BW134" s="3"/>
      <c r="BX134" s="3"/>
      <c r="BY134" s="3">
        <v>4482.66</v>
      </c>
      <c r="BZ134" s="3" t="s">
        <v>88</v>
      </c>
      <c r="CA134" s="3"/>
      <c r="CB134" s="3"/>
      <c r="CC134" s="3" t="s">
        <v>646</v>
      </c>
      <c r="CD134" s="3">
        <v>4001</v>
      </c>
      <c r="CE134" s="3" t="s">
        <v>90</v>
      </c>
      <c r="CF134" s="4">
        <v>44796</v>
      </c>
      <c r="CG134" s="3"/>
      <c r="CH134" s="3"/>
      <c r="CI134" s="8">
        <v>1</v>
      </c>
      <c r="CJ134" s="8">
        <v>1</v>
      </c>
      <c r="CK134" s="8">
        <v>21</v>
      </c>
      <c r="CL134" s="3" t="s">
        <v>85</v>
      </c>
      <c r="CM134" s="3"/>
      <c r="CN134" s="3"/>
    </row>
    <row r="135" spans="1:92" x14ac:dyDescent="0.3">
      <c r="A135" s="3" t="s">
        <v>72</v>
      </c>
      <c r="B135" s="3" t="s">
        <v>73</v>
      </c>
      <c r="C135" s="3" t="s">
        <v>74</v>
      </c>
      <c r="D135" s="3"/>
      <c r="E135" s="11" t="str">
        <f>"009942377758"</f>
        <v>009942377758</v>
      </c>
      <c r="F135" s="4">
        <v>44792</v>
      </c>
      <c r="G135" s="3">
        <v>202305</v>
      </c>
      <c r="H135" s="3" t="s">
        <v>160</v>
      </c>
      <c r="I135" s="3" t="s">
        <v>161</v>
      </c>
      <c r="J135" s="3" t="s">
        <v>640</v>
      </c>
      <c r="K135" s="3" t="s">
        <v>78</v>
      </c>
      <c r="L135" s="3" t="s">
        <v>477</v>
      </c>
      <c r="M135" s="3" t="s">
        <v>478</v>
      </c>
      <c r="N135" s="3" t="s">
        <v>649</v>
      </c>
      <c r="O135" s="3" t="s">
        <v>82</v>
      </c>
      <c r="P135" s="3" t="str">
        <f>"                              "</f>
        <v xml:space="preserve">                 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171.16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1</v>
      </c>
      <c r="BI135" s="3">
        <v>8.1999999999999993</v>
      </c>
      <c r="BJ135" s="3">
        <v>10.8</v>
      </c>
      <c r="BK135" s="3">
        <v>11</v>
      </c>
      <c r="BL135" s="3">
        <v>410.54</v>
      </c>
      <c r="BM135" s="3">
        <v>61.58</v>
      </c>
      <c r="BN135" s="3">
        <v>472.12</v>
      </c>
      <c r="BO135" s="3">
        <v>472.12</v>
      </c>
      <c r="BP135" s="3"/>
      <c r="BQ135" s="3" t="s">
        <v>427</v>
      </c>
      <c r="BR135" s="3" t="s">
        <v>481</v>
      </c>
      <c r="BS135" s="4">
        <v>44795</v>
      </c>
      <c r="BT135" s="5">
        <v>0.43402777777777773</v>
      </c>
      <c r="BU135" s="3" t="s">
        <v>371</v>
      </c>
      <c r="BV135" s="3" t="s">
        <v>99</v>
      </c>
      <c r="BW135" s="3"/>
      <c r="BX135" s="3"/>
      <c r="BY135" s="3">
        <v>53801.599999999999</v>
      </c>
      <c r="BZ135" s="3" t="s">
        <v>88</v>
      </c>
      <c r="CA135" s="3" t="s">
        <v>650</v>
      </c>
      <c r="CB135" s="3"/>
      <c r="CC135" s="3" t="s">
        <v>478</v>
      </c>
      <c r="CD135" s="3">
        <v>9300</v>
      </c>
      <c r="CE135" s="3" t="s">
        <v>90</v>
      </c>
      <c r="CF135" s="4">
        <v>44796</v>
      </c>
      <c r="CG135" s="3"/>
      <c r="CH135" s="3"/>
      <c r="CI135" s="8">
        <v>1</v>
      </c>
      <c r="CJ135" s="8">
        <v>1</v>
      </c>
      <c r="CK135" s="8">
        <v>21</v>
      </c>
      <c r="CL135" s="3" t="s">
        <v>85</v>
      </c>
      <c r="CM135" s="3"/>
      <c r="CN135" s="3"/>
    </row>
    <row r="136" spans="1:92" x14ac:dyDescent="0.3">
      <c r="A136" s="3" t="s">
        <v>72</v>
      </c>
      <c r="B136" s="3" t="s">
        <v>73</v>
      </c>
      <c r="C136" s="3" t="s">
        <v>74</v>
      </c>
      <c r="D136" s="3"/>
      <c r="E136" s="11" t="str">
        <f>"009942377707"</f>
        <v>009942377707</v>
      </c>
      <c r="F136" s="4">
        <v>44791</v>
      </c>
      <c r="G136" s="3">
        <v>202305</v>
      </c>
      <c r="H136" s="3" t="s">
        <v>79</v>
      </c>
      <c r="I136" s="3" t="s">
        <v>80</v>
      </c>
      <c r="J136" s="3" t="s">
        <v>77</v>
      </c>
      <c r="K136" s="3" t="s">
        <v>78</v>
      </c>
      <c r="L136" s="3" t="s">
        <v>125</v>
      </c>
      <c r="M136" s="3" t="s">
        <v>126</v>
      </c>
      <c r="N136" s="3" t="s">
        <v>77</v>
      </c>
      <c r="O136" s="3" t="s">
        <v>82</v>
      </c>
      <c r="P136" s="3" t="str">
        <f>"..                            "</f>
        <v xml:space="preserve">..               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31.13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1</v>
      </c>
      <c r="BI136" s="3">
        <v>0.5</v>
      </c>
      <c r="BJ136" s="3">
        <v>0.2</v>
      </c>
      <c r="BK136" s="3">
        <v>0.5</v>
      </c>
      <c r="BL136" s="3">
        <v>74.67</v>
      </c>
      <c r="BM136" s="3">
        <v>11.2</v>
      </c>
      <c r="BN136" s="3">
        <v>85.87</v>
      </c>
      <c r="BO136" s="3">
        <v>85.87</v>
      </c>
      <c r="BP136" s="3"/>
      <c r="BQ136" s="3" t="s">
        <v>223</v>
      </c>
      <c r="BR136" s="3" t="s">
        <v>651</v>
      </c>
      <c r="BS136" s="4">
        <v>44792</v>
      </c>
      <c r="BT136" s="5">
        <v>0.30416666666666664</v>
      </c>
      <c r="BU136" s="3" t="s">
        <v>652</v>
      </c>
      <c r="BV136" s="3" t="s">
        <v>99</v>
      </c>
      <c r="BW136" s="3"/>
      <c r="BX136" s="3"/>
      <c r="BY136" s="3">
        <v>1200</v>
      </c>
      <c r="BZ136" s="3" t="s">
        <v>88</v>
      </c>
      <c r="CA136" s="3" t="s">
        <v>351</v>
      </c>
      <c r="CB136" s="3"/>
      <c r="CC136" s="3" t="s">
        <v>126</v>
      </c>
      <c r="CD136" s="3">
        <v>2195</v>
      </c>
      <c r="CE136" s="3" t="s">
        <v>90</v>
      </c>
      <c r="CF136" s="4">
        <v>44793</v>
      </c>
      <c r="CG136" s="3"/>
      <c r="CH136" s="3"/>
      <c r="CI136" s="8">
        <v>1</v>
      </c>
      <c r="CJ136" s="8">
        <v>1</v>
      </c>
      <c r="CK136" s="8">
        <v>21</v>
      </c>
      <c r="CL136" s="3" t="s">
        <v>85</v>
      </c>
      <c r="CM136" s="3"/>
      <c r="CN136" s="3"/>
    </row>
    <row r="137" spans="1:92" x14ac:dyDescent="0.3">
      <c r="A137" s="3" t="s">
        <v>72</v>
      </c>
      <c r="B137" s="3" t="s">
        <v>73</v>
      </c>
      <c r="C137" s="3" t="s">
        <v>74</v>
      </c>
      <c r="D137" s="3"/>
      <c r="E137" s="11" t="str">
        <f>"009942558796"</f>
        <v>009942558796</v>
      </c>
      <c r="F137" s="4">
        <v>44795</v>
      </c>
      <c r="G137" s="3">
        <v>202305</v>
      </c>
      <c r="H137" s="3" t="s">
        <v>79</v>
      </c>
      <c r="I137" s="3" t="s">
        <v>80</v>
      </c>
      <c r="J137" s="3" t="s">
        <v>94</v>
      </c>
      <c r="K137" s="3" t="s">
        <v>78</v>
      </c>
      <c r="L137" s="3" t="s">
        <v>120</v>
      </c>
      <c r="M137" s="3" t="s">
        <v>121</v>
      </c>
      <c r="N137" s="3" t="s">
        <v>93</v>
      </c>
      <c r="O137" s="3" t="s">
        <v>109</v>
      </c>
      <c r="P137" s="3" t="str">
        <f>"INV185257                     "</f>
        <v xml:space="preserve">INV185257        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58.37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1</v>
      </c>
      <c r="BI137" s="3">
        <v>0.2</v>
      </c>
      <c r="BJ137" s="3">
        <v>0.6</v>
      </c>
      <c r="BK137" s="3">
        <v>1</v>
      </c>
      <c r="BL137" s="3">
        <v>140.01</v>
      </c>
      <c r="BM137" s="3">
        <v>21</v>
      </c>
      <c r="BN137" s="3">
        <v>161.01</v>
      </c>
      <c r="BO137" s="3">
        <v>161.01</v>
      </c>
      <c r="BP137" s="3"/>
      <c r="BQ137" s="3" t="s">
        <v>653</v>
      </c>
      <c r="BR137" s="3" t="s">
        <v>96</v>
      </c>
      <c r="BS137" s="4">
        <v>44796</v>
      </c>
      <c r="BT137" s="5">
        <v>0.46319444444444446</v>
      </c>
      <c r="BU137" s="3" t="s">
        <v>654</v>
      </c>
      <c r="BV137" s="3" t="s">
        <v>99</v>
      </c>
      <c r="BW137" s="3"/>
      <c r="BX137" s="3"/>
      <c r="BY137" s="3">
        <v>3106.95</v>
      </c>
      <c r="BZ137" s="3" t="s">
        <v>408</v>
      </c>
      <c r="CA137" s="3" t="s">
        <v>267</v>
      </c>
      <c r="CB137" s="3"/>
      <c r="CC137" s="3" t="s">
        <v>121</v>
      </c>
      <c r="CD137" s="3">
        <v>1</v>
      </c>
      <c r="CE137" s="3" t="s">
        <v>90</v>
      </c>
      <c r="CF137" s="4">
        <v>44796</v>
      </c>
      <c r="CG137" s="3"/>
      <c r="CH137" s="3"/>
      <c r="CI137" s="8">
        <v>1</v>
      </c>
      <c r="CJ137" s="8">
        <v>1</v>
      </c>
      <c r="CK137" s="8">
        <v>31</v>
      </c>
      <c r="CL137" s="3" t="s">
        <v>85</v>
      </c>
      <c r="CM137" s="3"/>
      <c r="CN137" s="3"/>
    </row>
    <row r="138" spans="1:92" x14ac:dyDescent="0.3">
      <c r="A138" s="3" t="s">
        <v>72</v>
      </c>
      <c r="B138" s="3" t="s">
        <v>73</v>
      </c>
      <c r="C138" s="3" t="s">
        <v>74</v>
      </c>
      <c r="D138" s="3"/>
      <c r="E138" s="11" t="str">
        <f>"009942558797"</f>
        <v>009942558797</v>
      </c>
      <c r="F138" s="4">
        <v>44795</v>
      </c>
      <c r="G138" s="3">
        <v>202305</v>
      </c>
      <c r="H138" s="3" t="s">
        <v>79</v>
      </c>
      <c r="I138" s="3" t="s">
        <v>80</v>
      </c>
      <c r="J138" s="3" t="s">
        <v>94</v>
      </c>
      <c r="K138" s="3" t="s">
        <v>78</v>
      </c>
      <c r="L138" s="3" t="s">
        <v>125</v>
      </c>
      <c r="M138" s="3" t="s">
        <v>126</v>
      </c>
      <c r="N138" s="3" t="s">
        <v>93</v>
      </c>
      <c r="O138" s="3" t="s">
        <v>109</v>
      </c>
      <c r="P138" s="3" t="str">
        <f>"INV185162                     "</f>
        <v xml:space="preserve">INV185162        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87.56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1</v>
      </c>
      <c r="BI138" s="3">
        <v>1.4</v>
      </c>
      <c r="BJ138" s="3">
        <v>5.6</v>
      </c>
      <c r="BK138" s="3">
        <v>6</v>
      </c>
      <c r="BL138" s="3">
        <v>210.02</v>
      </c>
      <c r="BM138" s="3">
        <v>31.5</v>
      </c>
      <c r="BN138" s="3">
        <v>241.52</v>
      </c>
      <c r="BO138" s="3">
        <v>241.52</v>
      </c>
      <c r="BP138" s="3"/>
      <c r="BQ138" s="3" t="s">
        <v>330</v>
      </c>
      <c r="BR138" s="3" t="s">
        <v>96</v>
      </c>
      <c r="BS138" s="4">
        <v>44796</v>
      </c>
      <c r="BT138" s="5">
        <v>0.39999999999999997</v>
      </c>
      <c r="BU138" s="3" t="s">
        <v>655</v>
      </c>
      <c r="BV138" s="3" t="s">
        <v>99</v>
      </c>
      <c r="BW138" s="3"/>
      <c r="BX138" s="3"/>
      <c r="BY138" s="3">
        <v>28168.560000000001</v>
      </c>
      <c r="BZ138" s="3" t="s">
        <v>408</v>
      </c>
      <c r="CA138" s="3" t="s">
        <v>238</v>
      </c>
      <c r="CB138" s="3"/>
      <c r="CC138" s="3" t="s">
        <v>126</v>
      </c>
      <c r="CD138" s="3">
        <v>2196</v>
      </c>
      <c r="CE138" s="3" t="s">
        <v>90</v>
      </c>
      <c r="CF138" s="4">
        <v>44797</v>
      </c>
      <c r="CG138" s="3"/>
      <c r="CH138" s="3"/>
      <c r="CI138" s="8">
        <v>1</v>
      </c>
      <c r="CJ138" s="8">
        <v>1</v>
      </c>
      <c r="CK138" s="8">
        <v>31</v>
      </c>
      <c r="CL138" s="3" t="s">
        <v>85</v>
      </c>
      <c r="CM138" s="3"/>
      <c r="CN138" s="3"/>
    </row>
    <row r="139" spans="1:92" x14ac:dyDescent="0.3">
      <c r="A139" s="3" t="s">
        <v>72</v>
      </c>
      <c r="B139" s="3" t="s">
        <v>73</v>
      </c>
      <c r="C139" s="3" t="s">
        <v>74</v>
      </c>
      <c r="D139" s="3"/>
      <c r="E139" s="11" t="str">
        <f>"009942558798"</f>
        <v>009942558798</v>
      </c>
      <c r="F139" s="4">
        <v>44795</v>
      </c>
      <c r="G139" s="3">
        <v>202305</v>
      </c>
      <c r="H139" s="3" t="s">
        <v>79</v>
      </c>
      <c r="I139" s="3" t="s">
        <v>80</v>
      </c>
      <c r="J139" s="3" t="s">
        <v>94</v>
      </c>
      <c r="K139" s="3" t="s">
        <v>78</v>
      </c>
      <c r="L139" s="3" t="s">
        <v>656</v>
      </c>
      <c r="M139" s="3" t="s">
        <v>657</v>
      </c>
      <c r="N139" s="3" t="s">
        <v>93</v>
      </c>
      <c r="O139" s="3" t="s">
        <v>95</v>
      </c>
      <c r="P139" s="3" t="str">
        <f>"INV185260                     "</f>
        <v xml:space="preserve">INV185260        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5.25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84.91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1</v>
      </c>
      <c r="BI139" s="3">
        <v>0.7</v>
      </c>
      <c r="BJ139" s="3">
        <v>2.8</v>
      </c>
      <c r="BK139" s="3">
        <v>3</v>
      </c>
      <c r="BL139" s="3">
        <v>208.91</v>
      </c>
      <c r="BM139" s="3">
        <v>31.34</v>
      </c>
      <c r="BN139" s="3">
        <v>240.25</v>
      </c>
      <c r="BO139" s="3">
        <v>240.25</v>
      </c>
      <c r="BP139" s="3"/>
      <c r="BQ139" s="3" t="s">
        <v>658</v>
      </c>
      <c r="BR139" s="3" t="s">
        <v>96</v>
      </c>
      <c r="BS139" s="4">
        <v>44797</v>
      </c>
      <c r="BT139" s="5">
        <v>0.57500000000000007</v>
      </c>
      <c r="BU139" s="3" t="s">
        <v>659</v>
      </c>
      <c r="BV139" s="3" t="s">
        <v>99</v>
      </c>
      <c r="BW139" s="3"/>
      <c r="BX139" s="3"/>
      <c r="BY139" s="3">
        <v>13780.75</v>
      </c>
      <c r="BZ139" s="3" t="s">
        <v>408</v>
      </c>
      <c r="CA139" s="3" t="s">
        <v>660</v>
      </c>
      <c r="CB139" s="3"/>
      <c r="CC139" s="3" t="s">
        <v>657</v>
      </c>
      <c r="CD139" s="3">
        <v>8601</v>
      </c>
      <c r="CE139" s="3" t="s">
        <v>90</v>
      </c>
      <c r="CF139" s="4">
        <v>44799</v>
      </c>
      <c r="CG139" s="3"/>
      <c r="CH139" s="3"/>
      <c r="CI139" s="8">
        <v>3</v>
      </c>
      <c r="CJ139" s="8">
        <v>2</v>
      </c>
      <c r="CK139" s="8">
        <v>43</v>
      </c>
      <c r="CL139" s="3" t="s">
        <v>85</v>
      </c>
      <c r="CM139" s="3"/>
      <c r="CN139" s="3"/>
    </row>
    <row r="140" spans="1:92" x14ac:dyDescent="0.3">
      <c r="A140" s="3" t="s">
        <v>72</v>
      </c>
      <c r="B140" s="3" t="s">
        <v>73</v>
      </c>
      <c r="C140" s="3" t="s">
        <v>74</v>
      </c>
      <c r="D140" s="3"/>
      <c r="E140" s="11" t="str">
        <f>"009942558794"</f>
        <v>009942558794</v>
      </c>
      <c r="F140" s="4">
        <v>44795</v>
      </c>
      <c r="G140" s="3">
        <v>202305</v>
      </c>
      <c r="H140" s="3" t="s">
        <v>79</v>
      </c>
      <c r="I140" s="3" t="s">
        <v>80</v>
      </c>
      <c r="J140" s="3" t="s">
        <v>94</v>
      </c>
      <c r="K140" s="3" t="s">
        <v>78</v>
      </c>
      <c r="L140" s="3" t="s">
        <v>125</v>
      </c>
      <c r="M140" s="3" t="s">
        <v>126</v>
      </c>
      <c r="N140" s="3" t="s">
        <v>93</v>
      </c>
      <c r="O140" s="3" t="s">
        <v>109</v>
      </c>
      <c r="P140" s="3" t="str">
        <f>"INV185262                     "</f>
        <v xml:space="preserve">INV185262   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58.37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1</v>
      </c>
      <c r="BI140" s="3">
        <v>0.2</v>
      </c>
      <c r="BJ140" s="3">
        <v>0.8</v>
      </c>
      <c r="BK140" s="3">
        <v>1</v>
      </c>
      <c r="BL140" s="3">
        <v>140.01</v>
      </c>
      <c r="BM140" s="3">
        <v>21</v>
      </c>
      <c r="BN140" s="3">
        <v>161.01</v>
      </c>
      <c r="BO140" s="3">
        <v>161.01</v>
      </c>
      <c r="BP140" s="3"/>
      <c r="BQ140" s="3" t="s">
        <v>661</v>
      </c>
      <c r="BR140" s="3" t="s">
        <v>96</v>
      </c>
      <c r="BS140" s="4">
        <v>44797</v>
      </c>
      <c r="BT140" s="5">
        <v>0.53263888888888888</v>
      </c>
      <c r="BU140" s="3" t="s">
        <v>662</v>
      </c>
      <c r="BV140" s="3" t="s">
        <v>85</v>
      </c>
      <c r="BW140" s="3" t="s">
        <v>319</v>
      </c>
      <c r="BX140" s="3" t="s">
        <v>237</v>
      </c>
      <c r="BY140" s="3">
        <v>4242.03</v>
      </c>
      <c r="BZ140" s="3" t="s">
        <v>408</v>
      </c>
      <c r="CA140" s="3" t="s">
        <v>627</v>
      </c>
      <c r="CB140" s="3"/>
      <c r="CC140" s="3" t="s">
        <v>126</v>
      </c>
      <c r="CD140" s="3">
        <v>2191</v>
      </c>
      <c r="CE140" s="3" t="s">
        <v>90</v>
      </c>
      <c r="CF140" s="4">
        <v>44798</v>
      </c>
      <c r="CG140" s="3"/>
      <c r="CH140" s="3"/>
      <c r="CI140" s="8">
        <v>1</v>
      </c>
      <c r="CJ140" s="8">
        <v>2</v>
      </c>
      <c r="CK140" s="8">
        <v>31</v>
      </c>
      <c r="CL140" s="3" t="s">
        <v>85</v>
      </c>
      <c r="CM140" s="3"/>
      <c r="CN140" s="3"/>
    </row>
    <row r="141" spans="1:92" x14ac:dyDescent="0.3">
      <c r="A141" s="3" t="s">
        <v>72</v>
      </c>
      <c r="B141" s="3" t="s">
        <v>73</v>
      </c>
      <c r="C141" s="3" t="s">
        <v>74</v>
      </c>
      <c r="D141" s="3"/>
      <c r="E141" s="11" t="str">
        <f>"009942558792"</f>
        <v>009942558792</v>
      </c>
      <c r="F141" s="4">
        <v>44795</v>
      </c>
      <c r="G141" s="3">
        <v>202305</v>
      </c>
      <c r="H141" s="3" t="s">
        <v>79</v>
      </c>
      <c r="I141" s="3" t="s">
        <v>80</v>
      </c>
      <c r="J141" s="3" t="s">
        <v>94</v>
      </c>
      <c r="K141" s="3" t="s">
        <v>78</v>
      </c>
      <c r="L141" s="3" t="s">
        <v>645</v>
      </c>
      <c r="M141" s="3" t="s">
        <v>646</v>
      </c>
      <c r="N141" s="3" t="s">
        <v>93</v>
      </c>
      <c r="O141" s="3" t="s">
        <v>95</v>
      </c>
      <c r="P141" s="3" t="str">
        <f>"INV185264                     "</f>
        <v xml:space="preserve">INV185264   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5.25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60.2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1</v>
      </c>
      <c r="BI141" s="3">
        <v>0.1</v>
      </c>
      <c r="BJ141" s="3">
        <v>1.1000000000000001</v>
      </c>
      <c r="BK141" s="3">
        <v>2</v>
      </c>
      <c r="BL141" s="3">
        <v>149.65</v>
      </c>
      <c r="BM141" s="3">
        <v>22.45</v>
      </c>
      <c r="BN141" s="3">
        <v>172.1</v>
      </c>
      <c r="BO141" s="3">
        <v>172.1</v>
      </c>
      <c r="BP141" s="3"/>
      <c r="BQ141" s="3" t="s">
        <v>663</v>
      </c>
      <c r="BR141" s="3" t="s">
        <v>96</v>
      </c>
      <c r="BS141" s="4">
        <v>44797</v>
      </c>
      <c r="BT141" s="5">
        <v>0.45</v>
      </c>
      <c r="BU141" s="3" t="s">
        <v>664</v>
      </c>
      <c r="BV141" s="3" t="s">
        <v>99</v>
      </c>
      <c r="BW141" s="3"/>
      <c r="BX141" s="3"/>
      <c r="BY141" s="3">
        <v>5726.7</v>
      </c>
      <c r="BZ141" s="3" t="s">
        <v>408</v>
      </c>
      <c r="CA141" s="3" t="s">
        <v>665</v>
      </c>
      <c r="CB141" s="3"/>
      <c r="CC141" s="3" t="s">
        <v>646</v>
      </c>
      <c r="CD141" s="3">
        <v>4001</v>
      </c>
      <c r="CE141" s="3" t="s">
        <v>90</v>
      </c>
      <c r="CF141" s="4">
        <v>44798</v>
      </c>
      <c r="CG141" s="3"/>
      <c r="CH141" s="3"/>
      <c r="CI141" s="8">
        <v>3</v>
      </c>
      <c r="CJ141" s="8">
        <v>2</v>
      </c>
      <c r="CK141" s="8">
        <v>41</v>
      </c>
      <c r="CL141" s="3" t="s">
        <v>85</v>
      </c>
      <c r="CM141" s="3"/>
      <c r="CN141" s="3"/>
    </row>
    <row r="142" spans="1:92" x14ac:dyDescent="0.3">
      <c r="A142" s="3" t="s">
        <v>72</v>
      </c>
      <c r="B142" s="3" t="s">
        <v>73</v>
      </c>
      <c r="C142" s="3" t="s">
        <v>74</v>
      </c>
      <c r="D142" s="3"/>
      <c r="E142" s="11" t="str">
        <f>"009942558795"</f>
        <v>009942558795</v>
      </c>
      <c r="F142" s="4">
        <v>44795</v>
      </c>
      <c r="G142" s="3">
        <v>202305</v>
      </c>
      <c r="H142" s="3" t="s">
        <v>79</v>
      </c>
      <c r="I142" s="3" t="s">
        <v>80</v>
      </c>
      <c r="J142" s="3" t="s">
        <v>94</v>
      </c>
      <c r="K142" s="3" t="s">
        <v>78</v>
      </c>
      <c r="L142" s="3" t="s">
        <v>395</v>
      </c>
      <c r="M142" s="3" t="s">
        <v>396</v>
      </c>
      <c r="N142" s="3" t="s">
        <v>93</v>
      </c>
      <c r="O142" s="3" t="s">
        <v>109</v>
      </c>
      <c r="P142" s="3" t="str">
        <f>"AVO:20687                     "</f>
        <v xml:space="preserve">AVO:20687   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58.37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1</v>
      </c>
      <c r="BI142" s="3">
        <v>0.4</v>
      </c>
      <c r="BJ142" s="3">
        <v>1.8</v>
      </c>
      <c r="BK142" s="3">
        <v>2</v>
      </c>
      <c r="BL142" s="3">
        <v>140.01</v>
      </c>
      <c r="BM142" s="3">
        <v>21</v>
      </c>
      <c r="BN142" s="3">
        <v>161.01</v>
      </c>
      <c r="BO142" s="3">
        <v>161.01</v>
      </c>
      <c r="BP142" s="3"/>
      <c r="BQ142" s="3" t="s">
        <v>666</v>
      </c>
      <c r="BR142" s="3" t="s">
        <v>96</v>
      </c>
      <c r="BS142" s="4">
        <v>44796</v>
      </c>
      <c r="BT142" s="5">
        <v>0.4152777777777778</v>
      </c>
      <c r="BU142" s="3" t="s">
        <v>667</v>
      </c>
      <c r="BV142" s="3" t="s">
        <v>99</v>
      </c>
      <c r="BW142" s="3"/>
      <c r="BX142" s="3"/>
      <c r="BY142" s="3">
        <v>9073.9</v>
      </c>
      <c r="BZ142" s="3" t="s">
        <v>408</v>
      </c>
      <c r="CA142" s="3" t="s">
        <v>668</v>
      </c>
      <c r="CB142" s="3"/>
      <c r="CC142" s="3" t="s">
        <v>396</v>
      </c>
      <c r="CD142" s="3">
        <v>6070</v>
      </c>
      <c r="CE142" s="3" t="s">
        <v>90</v>
      </c>
      <c r="CF142" s="4">
        <v>44796</v>
      </c>
      <c r="CG142" s="3"/>
      <c r="CH142" s="3"/>
      <c r="CI142" s="8">
        <v>1</v>
      </c>
      <c r="CJ142" s="8">
        <v>1</v>
      </c>
      <c r="CK142" s="8">
        <v>31</v>
      </c>
      <c r="CL142" s="3" t="s">
        <v>85</v>
      </c>
      <c r="CM142" s="3"/>
      <c r="CN142" s="3"/>
    </row>
    <row r="143" spans="1:92" x14ac:dyDescent="0.3">
      <c r="A143" s="3" t="s">
        <v>72</v>
      </c>
      <c r="B143" s="3" t="s">
        <v>73</v>
      </c>
      <c r="C143" s="3" t="s">
        <v>74</v>
      </c>
      <c r="D143" s="3"/>
      <c r="E143" s="11" t="str">
        <f>"009942558793"</f>
        <v>009942558793</v>
      </c>
      <c r="F143" s="4">
        <v>44795</v>
      </c>
      <c r="G143" s="3">
        <v>202305</v>
      </c>
      <c r="H143" s="3" t="s">
        <v>79</v>
      </c>
      <c r="I143" s="3" t="s">
        <v>80</v>
      </c>
      <c r="J143" s="3" t="s">
        <v>94</v>
      </c>
      <c r="K143" s="3" t="s">
        <v>78</v>
      </c>
      <c r="L143" s="3" t="s">
        <v>125</v>
      </c>
      <c r="M143" s="3" t="s">
        <v>126</v>
      </c>
      <c r="N143" s="3" t="s">
        <v>93</v>
      </c>
      <c r="O143" s="3" t="s">
        <v>109</v>
      </c>
      <c r="P143" s="3" t="str">
        <f>"INV185263                     "</f>
        <v xml:space="preserve">INV185263   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58.37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1</v>
      </c>
      <c r="BI143" s="3">
        <v>0.1</v>
      </c>
      <c r="BJ143" s="3">
        <v>0.8</v>
      </c>
      <c r="BK143" s="3">
        <v>1</v>
      </c>
      <c r="BL143" s="3">
        <v>140.01</v>
      </c>
      <c r="BM143" s="3">
        <v>21</v>
      </c>
      <c r="BN143" s="3">
        <v>161.01</v>
      </c>
      <c r="BO143" s="3">
        <v>161.01</v>
      </c>
      <c r="BP143" s="3"/>
      <c r="BQ143" s="3" t="s">
        <v>669</v>
      </c>
      <c r="BR143" s="3" t="s">
        <v>96</v>
      </c>
      <c r="BS143" s="4">
        <v>44796</v>
      </c>
      <c r="BT143" s="5">
        <v>0.4201388888888889</v>
      </c>
      <c r="BU143" s="3" t="s">
        <v>670</v>
      </c>
      <c r="BV143" s="3" t="s">
        <v>99</v>
      </c>
      <c r="BW143" s="3"/>
      <c r="BX143" s="3"/>
      <c r="BY143" s="3">
        <v>3973.2</v>
      </c>
      <c r="BZ143" s="3" t="s">
        <v>408</v>
      </c>
      <c r="CA143" s="3" t="s">
        <v>671</v>
      </c>
      <c r="CB143" s="3"/>
      <c r="CC143" s="3" t="s">
        <v>126</v>
      </c>
      <c r="CD143" s="3">
        <v>2058</v>
      </c>
      <c r="CE143" s="3" t="s">
        <v>90</v>
      </c>
      <c r="CF143" s="4">
        <v>44796</v>
      </c>
      <c r="CG143" s="3"/>
      <c r="CH143" s="3"/>
      <c r="CI143" s="8">
        <v>1</v>
      </c>
      <c r="CJ143" s="8">
        <v>1</v>
      </c>
      <c r="CK143" s="8">
        <v>31</v>
      </c>
      <c r="CL143" s="3" t="s">
        <v>85</v>
      </c>
      <c r="CM143" s="3"/>
      <c r="CN143" s="3"/>
    </row>
    <row r="144" spans="1:92" x14ac:dyDescent="0.3">
      <c r="A144" s="3" t="s">
        <v>72</v>
      </c>
      <c r="B144" s="3" t="s">
        <v>73</v>
      </c>
      <c r="C144" s="3" t="s">
        <v>74</v>
      </c>
      <c r="D144" s="3"/>
      <c r="E144" s="11" t="str">
        <f>"009942558789"</f>
        <v>009942558789</v>
      </c>
      <c r="F144" s="4">
        <v>44795</v>
      </c>
      <c r="G144" s="3">
        <v>202305</v>
      </c>
      <c r="H144" s="3" t="s">
        <v>79</v>
      </c>
      <c r="I144" s="3" t="s">
        <v>80</v>
      </c>
      <c r="J144" s="3" t="s">
        <v>94</v>
      </c>
      <c r="K144" s="3" t="s">
        <v>78</v>
      </c>
      <c r="L144" s="3" t="s">
        <v>125</v>
      </c>
      <c r="M144" s="3" t="s">
        <v>126</v>
      </c>
      <c r="N144" s="3" t="s">
        <v>93</v>
      </c>
      <c r="O144" s="3" t="s">
        <v>95</v>
      </c>
      <c r="P144" s="3" t="str">
        <f>"INV185267                     "</f>
        <v xml:space="preserve">INV185267           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5.25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60.2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2</v>
      </c>
      <c r="BJ144" s="3">
        <v>8.6</v>
      </c>
      <c r="BK144" s="3">
        <v>9</v>
      </c>
      <c r="BL144" s="3">
        <v>149.65</v>
      </c>
      <c r="BM144" s="3">
        <v>22.45</v>
      </c>
      <c r="BN144" s="3">
        <v>172.1</v>
      </c>
      <c r="BO144" s="3">
        <v>172.1</v>
      </c>
      <c r="BP144" s="3"/>
      <c r="BQ144" s="3" t="s">
        <v>672</v>
      </c>
      <c r="BR144" s="3" t="s">
        <v>96</v>
      </c>
      <c r="BS144" s="4">
        <v>44797</v>
      </c>
      <c r="BT144" s="5">
        <v>0.52152777777777781</v>
      </c>
      <c r="BU144" s="3" t="s">
        <v>673</v>
      </c>
      <c r="BV144" s="3" t="s">
        <v>99</v>
      </c>
      <c r="BW144" s="3"/>
      <c r="BX144" s="3"/>
      <c r="BY144" s="3">
        <v>43027.11</v>
      </c>
      <c r="BZ144" s="3" t="s">
        <v>408</v>
      </c>
      <c r="CA144" s="3" t="s">
        <v>674</v>
      </c>
      <c r="CB144" s="3"/>
      <c r="CC144" s="3" t="s">
        <v>126</v>
      </c>
      <c r="CD144" s="3">
        <v>2193</v>
      </c>
      <c r="CE144" s="3" t="s">
        <v>90</v>
      </c>
      <c r="CF144" s="4">
        <v>44798</v>
      </c>
      <c r="CG144" s="3"/>
      <c r="CH144" s="3"/>
      <c r="CI144" s="8">
        <v>2</v>
      </c>
      <c r="CJ144" s="8">
        <v>2</v>
      </c>
      <c r="CK144" s="8">
        <v>41</v>
      </c>
      <c r="CL144" s="3" t="s">
        <v>85</v>
      </c>
      <c r="CM144" s="3"/>
      <c r="CN144" s="3"/>
    </row>
    <row r="145" spans="1:92" x14ac:dyDescent="0.3">
      <c r="A145" s="3" t="s">
        <v>72</v>
      </c>
      <c r="B145" s="3" t="s">
        <v>73</v>
      </c>
      <c r="C145" s="3" t="s">
        <v>74</v>
      </c>
      <c r="D145" s="3"/>
      <c r="E145" s="11" t="str">
        <f>"009942558790"</f>
        <v>009942558790</v>
      </c>
      <c r="F145" s="4">
        <v>44795</v>
      </c>
      <c r="G145" s="3">
        <v>202305</v>
      </c>
      <c r="H145" s="3" t="s">
        <v>79</v>
      </c>
      <c r="I145" s="3" t="s">
        <v>80</v>
      </c>
      <c r="J145" s="3" t="s">
        <v>94</v>
      </c>
      <c r="K145" s="3" t="s">
        <v>78</v>
      </c>
      <c r="L145" s="3" t="s">
        <v>120</v>
      </c>
      <c r="M145" s="3" t="s">
        <v>121</v>
      </c>
      <c r="N145" s="3" t="s">
        <v>93</v>
      </c>
      <c r="O145" s="3" t="s">
        <v>95</v>
      </c>
      <c r="P145" s="3" t="str">
        <f>"INV185266                     "</f>
        <v xml:space="preserve">INV185266            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5.25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60.2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1.3</v>
      </c>
      <c r="BJ145" s="3">
        <v>7.3</v>
      </c>
      <c r="BK145" s="3">
        <v>8</v>
      </c>
      <c r="BL145" s="3">
        <v>149.65</v>
      </c>
      <c r="BM145" s="3">
        <v>22.45</v>
      </c>
      <c r="BN145" s="3">
        <v>172.1</v>
      </c>
      <c r="BO145" s="3">
        <v>172.1</v>
      </c>
      <c r="BP145" s="3"/>
      <c r="BQ145" s="3" t="s">
        <v>675</v>
      </c>
      <c r="BR145" s="3" t="s">
        <v>96</v>
      </c>
      <c r="BS145" s="4">
        <v>44797</v>
      </c>
      <c r="BT145" s="5">
        <v>0.44236111111111115</v>
      </c>
      <c r="BU145" s="3" t="s">
        <v>676</v>
      </c>
      <c r="BV145" s="3" t="s">
        <v>99</v>
      </c>
      <c r="BW145" s="3"/>
      <c r="BX145" s="3"/>
      <c r="BY145" s="3">
        <v>36663</v>
      </c>
      <c r="BZ145" s="3" t="s">
        <v>408</v>
      </c>
      <c r="CA145" s="3" t="s">
        <v>677</v>
      </c>
      <c r="CB145" s="3"/>
      <c r="CC145" s="3" t="s">
        <v>121</v>
      </c>
      <c r="CD145" s="3">
        <v>81</v>
      </c>
      <c r="CE145" s="3" t="s">
        <v>90</v>
      </c>
      <c r="CF145" s="4">
        <v>44797</v>
      </c>
      <c r="CG145" s="3"/>
      <c r="CH145" s="3"/>
      <c r="CI145" s="8">
        <v>2</v>
      </c>
      <c r="CJ145" s="8">
        <v>2</v>
      </c>
      <c r="CK145" s="8">
        <v>41</v>
      </c>
      <c r="CL145" s="3" t="s">
        <v>85</v>
      </c>
      <c r="CM145" s="3"/>
      <c r="CN145" s="3"/>
    </row>
    <row r="146" spans="1:92" x14ac:dyDescent="0.3">
      <c r="A146" s="3" t="s">
        <v>72</v>
      </c>
      <c r="B146" s="3" t="s">
        <v>73</v>
      </c>
      <c r="C146" s="3" t="s">
        <v>74</v>
      </c>
      <c r="D146" s="3"/>
      <c r="E146" s="11" t="str">
        <f>"009942558787"</f>
        <v>009942558787</v>
      </c>
      <c r="F146" s="4">
        <v>44795</v>
      </c>
      <c r="G146" s="3">
        <v>202305</v>
      </c>
      <c r="H146" s="3" t="s">
        <v>79</v>
      </c>
      <c r="I146" s="3" t="s">
        <v>80</v>
      </c>
      <c r="J146" s="3" t="s">
        <v>94</v>
      </c>
      <c r="K146" s="3" t="s">
        <v>78</v>
      </c>
      <c r="L146" s="3" t="s">
        <v>395</v>
      </c>
      <c r="M146" s="3" t="s">
        <v>396</v>
      </c>
      <c r="N146" s="3" t="s">
        <v>93</v>
      </c>
      <c r="O146" s="3" t="s">
        <v>95</v>
      </c>
      <c r="P146" s="3" t="str">
        <f>"INV185272                     "</f>
        <v xml:space="preserve">INV185272                     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5.25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60.2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1</v>
      </c>
      <c r="BI146" s="3">
        <v>1.3</v>
      </c>
      <c r="BJ146" s="3">
        <v>5</v>
      </c>
      <c r="BK146" s="3">
        <v>5</v>
      </c>
      <c r="BL146" s="3">
        <v>149.65</v>
      </c>
      <c r="BM146" s="3">
        <v>22.45</v>
      </c>
      <c r="BN146" s="3">
        <v>172.1</v>
      </c>
      <c r="BO146" s="3">
        <v>172.1</v>
      </c>
      <c r="BP146" s="3"/>
      <c r="BQ146" s="3" t="s">
        <v>678</v>
      </c>
      <c r="BR146" s="3" t="s">
        <v>96</v>
      </c>
      <c r="BS146" s="4">
        <v>44797</v>
      </c>
      <c r="BT146" s="5">
        <v>0.4909722222222222</v>
      </c>
      <c r="BU146" s="3" t="s">
        <v>679</v>
      </c>
      <c r="BV146" s="3" t="s">
        <v>99</v>
      </c>
      <c r="BW146" s="3"/>
      <c r="BX146" s="3"/>
      <c r="BY146" s="3">
        <v>24923.25</v>
      </c>
      <c r="BZ146" s="3" t="s">
        <v>408</v>
      </c>
      <c r="CA146" s="3" t="s">
        <v>680</v>
      </c>
      <c r="CB146" s="3"/>
      <c r="CC146" s="3" t="s">
        <v>396</v>
      </c>
      <c r="CD146" s="3">
        <v>6001</v>
      </c>
      <c r="CE146" s="3" t="s">
        <v>90</v>
      </c>
      <c r="CF146" s="4">
        <v>44797</v>
      </c>
      <c r="CG146" s="3"/>
      <c r="CH146" s="3"/>
      <c r="CI146" s="8">
        <v>2</v>
      </c>
      <c r="CJ146" s="8">
        <v>2</v>
      </c>
      <c r="CK146" s="8">
        <v>41</v>
      </c>
      <c r="CL146" s="3" t="s">
        <v>85</v>
      </c>
      <c r="CM146" s="3"/>
      <c r="CN146" s="3"/>
    </row>
    <row r="147" spans="1:92" x14ac:dyDescent="0.3">
      <c r="A147" s="3" t="s">
        <v>72</v>
      </c>
      <c r="B147" s="3" t="s">
        <v>73</v>
      </c>
      <c r="C147" s="3" t="s">
        <v>74</v>
      </c>
      <c r="D147" s="3"/>
      <c r="E147" s="11" t="str">
        <f>"009942558788"</f>
        <v>009942558788</v>
      </c>
      <c r="F147" s="4">
        <v>44795</v>
      </c>
      <c r="G147" s="3">
        <v>202305</v>
      </c>
      <c r="H147" s="3" t="s">
        <v>79</v>
      </c>
      <c r="I147" s="3" t="s">
        <v>80</v>
      </c>
      <c r="J147" s="3" t="s">
        <v>94</v>
      </c>
      <c r="K147" s="3" t="s">
        <v>78</v>
      </c>
      <c r="L147" s="3" t="s">
        <v>681</v>
      </c>
      <c r="M147" s="3" t="s">
        <v>682</v>
      </c>
      <c r="N147" s="3" t="s">
        <v>683</v>
      </c>
      <c r="O147" s="3" t="s">
        <v>95</v>
      </c>
      <c r="P147" s="3" t="str">
        <f>"INV185271                     "</f>
        <v xml:space="preserve">INV185271        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5.25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84.91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1</v>
      </c>
      <c r="BI147" s="3">
        <v>0.7</v>
      </c>
      <c r="BJ147" s="3">
        <v>2.9</v>
      </c>
      <c r="BK147" s="3">
        <v>3</v>
      </c>
      <c r="BL147" s="3">
        <v>208.91</v>
      </c>
      <c r="BM147" s="3">
        <v>31.34</v>
      </c>
      <c r="BN147" s="3">
        <v>240.25</v>
      </c>
      <c r="BO147" s="3">
        <v>240.25</v>
      </c>
      <c r="BP147" s="3"/>
      <c r="BQ147" s="3" t="s">
        <v>684</v>
      </c>
      <c r="BR147" s="3" t="s">
        <v>96</v>
      </c>
      <c r="BS147" s="4">
        <v>44796</v>
      </c>
      <c r="BT147" s="5">
        <v>0.58680555555555558</v>
      </c>
      <c r="BU147" s="3" t="s">
        <v>685</v>
      </c>
      <c r="BV147" s="3" t="s">
        <v>99</v>
      </c>
      <c r="BW147" s="3"/>
      <c r="BX147" s="3"/>
      <c r="BY147" s="3">
        <v>14337</v>
      </c>
      <c r="BZ147" s="3" t="s">
        <v>408</v>
      </c>
      <c r="CA147" s="3" t="s">
        <v>686</v>
      </c>
      <c r="CB147" s="3"/>
      <c r="CC147" s="3" t="s">
        <v>682</v>
      </c>
      <c r="CD147" s="3">
        <v>6500</v>
      </c>
      <c r="CE147" s="3" t="s">
        <v>90</v>
      </c>
      <c r="CF147" s="4">
        <v>44802</v>
      </c>
      <c r="CG147" s="3"/>
      <c r="CH147" s="3"/>
      <c r="CI147" s="8">
        <v>1</v>
      </c>
      <c r="CJ147" s="8">
        <v>1</v>
      </c>
      <c r="CK147" s="8">
        <v>43</v>
      </c>
      <c r="CL147" s="3" t="s">
        <v>85</v>
      </c>
      <c r="CM147" s="3"/>
      <c r="CN147" s="3"/>
    </row>
    <row r="148" spans="1:92" x14ac:dyDescent="0.3">
      <c r="A148" s="3" t="s">
        <v>72</v>
      </c>
      <c r="B148" s="3" t="s">
        <v>73</v>
      </c>
      <c r="C148" s="3" t="s">
        <v>74</v>
      </c>
      <c r="D148" s="3"/>
      <c r="E148" s="11" t="str">
        <f>"009942558799"</f>
        <v>009942558799</v>
      </c>
      <c r="F148" s="4">
        <v>44795</v>
      </c>
      <c r="G148" s="3">
        <v>202305</v>
      </c>
      <c r="H148" s="3" t="s">
        <v>79</v>
      </c>
      <c r="I148" s="3" t="s">
        <v>80</v>
      </c>
      <c r="J148" s="3" t="s">
        <v>94</v>
      </c>
      <c r="K148" s="3" t="s">
        <v>78</v>
      </c>
      <c r="L148" s="3" t="s">
        <v>142</v>
      </c>
      <c r="M148" s="3" t="s">
        <v>143</v>
      </c>
      <c r="N148" s="3" t="s">
        <v>93</v>
      </c>
      <c r="O148" s="3" t="s">
        <v>95</v>
      </c>
      <c r="P148" s="3" t="str">
        <f>"INV185255                     "</f>
        <v xml:space="preserve">INV185255        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5.25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84.91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1</v>
      </c>
      <c r="BI148" s="3">
        <v>0.7</v>
      </c>
      <c r="BJ148" s="3">
        <v>3.1</v>
      </c>
      <c r="BK148" s="3">
        <v>4</v>
      </c>
      <c r="BL148" s="3">
        <v>208.91</v>
      </c>
      <c r="BM148" s="3">
        <v>31.34</v>
      </c>
      <c r="BN148" s="3">
        <v>240.25</v>
      </c>
      <c r="BO148" s="3">
        <v>240.25</v>
      </c>
      <c r="BP148" s="3"/>
      <c r="BQ148" s="3" t="s">
        <v>144</v>
      </c>
      <c r="BR148" s="3" t="s">
        <v>96</v>
      </c>
      <c r="BS148" s="4">
        <v>44798</v>
      </c>
      <c r="BT148" s="5">
        <v>0.49374999999999997</v>
      </c>
      <c r="BU148" s="3" t="s">
        <v>687</v>
      </c>
      <c r="BV148" s="3" t="s">
        <v>99</v>
      </c>
      <c r="BW148" s="3"/>
      <c r="BX148" s="3"/>
      <c r="BY148" s="3">
        <v>15264.15</v>
      </c>
      <c r="BZ148" s="3" t="s">
        <v>408</v>
      </c>
      <c r="CA148" s="3" t="s">
        <v>146</v>
      </c>
      <c r="CB148" s="3"/>
      <c r="CC148" s="3" t="s">
        <v>143</v>
      </c>
      <c r="CD148" s="3">
        <v>8710</v>
      </c>
      <c r="CE148" s="3" t="s">
        <v>90</v>
      </c>
      <c r="CF148" s="4">
        <v>44799</v>
      </c>
      <c r="CG148" s="3"/>
      <c r="CH148" s="3"/>
      <c r="CI148" s="8">
        <v>7</v>
      </c>
      <c r="CJ148" s="8">
        <v>3</v>
      </c>
      <c r="CK148" s="8">
        <v>43</v>
      </c>
      <c r="CL148" s="3" t="s">
        <v>85</v>
      </c>
      <c r="CM148" s="3"/>
      <c r="CN148" s="3"/>
    </row>
    <row r="149" spans="1:92" x14ac:dyDescent="0.3">
      <c r="A149" s="3" t="s">
        <v>72</v>
      </c>
      <c r="B149" s="3" t="s">
        <v>73</v>
      </c>
      <c r="C149" s="3" t="s">
        <v>74</v>
      </c>
      <c r="D149" s="3"/>
      <c r="E149" s="11" t="str">
        <f>"009942558791"</f>
        <v>009942558791</v>
      </c>
      <c r="F149" s="4">
        <v>44795</v>
      </c>
      <c r="G149" s="3">
        <v>202305</v>
      </c>
      <c r="H149" s="3" t="s">
        <v>79</v>
      </c>
      <c r="I149" s="3" t="s">
        <v>80</v>
      </c>
      <c r="J149" s="3" t="s">
        <v>94</v>
      </c>
      <c r="K149" s="3" t="s">
        <v>78</v>
      </c>
      <c r="L149" s="3" t="s">
        <v>645</v>
      </c>
      <c r="M149" s="3" t="s">
        <v>646</v>
      </c>
      <c r="N149" s="3" t="s">
        <v>93</v>
      </c>
      <c r="O149" s="3" t="s">
        <v>95</v>
      </c>
      <c r="P149" s="3" t="str">
        <f>"INV185265                     "</f>
        <v xml:space="preserve">INV185265        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5.25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60.2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1.3</v>
      </c>
      <c r="BJ149" s="3">
        <v>4.0999999999999996</v>
      </c>
      <c r="BK149" s="3">
        <v>5</v>
      </c>
      <c r="BL149" s="3">
        <v>149.65</v>
      </c>
      <c r="BM149" s="3">
        <v>22.45</v>
      </c>
      <c r="BN149" s="3">
        <v>172.1</v>
      </c>
      <c r="BO149" s="3">
        <v>172.1</v>
      </c>
      <c r="BP149" s="3"/>
      <c r="BQ149" s="3" t="s">
        <v>688</v>
      </c>
      <c r="BR149" s="3" t="s">
        <v>96</v>
      </c>
      <c r="BS149" s="4">
        <v>44798</v>
      </c>
      <c r="BT149" s="5">
        <v>0.41666666666666669</v>
      </c>
      <c r="BU149" s="3" t="s">
        <v>689</v>
      </c>
      <c r="BV149" s="3" t="s">
        <v>99</v>
      </c>
      <c r="BW149" s="3"/>
      <c r="BX149" s="3"/>
      <c r="BY149" s="3">
        <v>20604</v>
      </c>
      <c r="BZ149" s="3" t="s">
        <v>408</v>
      </c>
      <c r="CA149" s="3" t="s">
        <v>690</v>
      </c>
      <c r="CB149" s="3"/>
      <c r="CC149" s="3" t="s">
        <v>646</v>
      </c>
      <c r="CD149" s="3">
        <v>4000</v>
      </c>
      <c r="CE149" s="3" t="s">
        <v>90</v>
      </c>
      <c r="CF149" s="4">
        <v>44799</v>
      </c>
      <c r="CG149" s="3"/>
      <c r="CH149" s="3"/>
      <c r="CI149" s="8">
        <v>3</v>
      </c>
      <c r="CJ149" s="8">
        <v>3</v>
      </c>
      <c r="CK149" s="8">
        <v>41</v>
      </c>
      <c r="CL149" s="3" t="s">
        <v>85</v>
      </c>
      <c r="CM149" s="3"/>
      <c r="CN149" s="3"/>
    </row>
    <row r="150" spans="1:92" x14ac:dyDescent="0.3">
      <c r="A150" s="3" t="s">
        <v>72</v>
      </c>
      <c r="B150" s="3" t="s">
        <v>73</v>
      </c>
      <c r="C150" s="3" t="s">
        <v>74</v>
      </c>
      <c r="D150" s="3"/>
      <c r="E150" s="11" t="str">
        <f>"009942558803"</f>
        <v>009942558803</v>
      </c>
      <c r="F150" s="4">
        <v>44796</v>
      </c>
      <c r="G150" s="3">
        <v>202305</v>
      </c>
      <c r="H150" s="3" t="s">
        <v>79</v>
      </c>
      <c r="I150" s="3" t="s">
        <v>80</v>
      </c>
      <c r="J150" s="3" t="s">
        <v>94</v>
      </c>
      <c r="K150" s="3" t="s">
        <v>78</v>
      </c>
      <c r="L150" s="3" t="s">
        <v>160</v>
      </c>
      <c r="M150" s="3" t="s">
        <v>161</v>
      </c>
      <c r="N150" s="3" t="s">
        <v>691</v>
      </c>
      <c r="O150" s="3" t="s">
        <v>109</v>
      </c>
      <c r="P150" s="3" t="str">
        <f>"INV185306                     "</f>
        <v xml:space="preserve">INV185306        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24.32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1</v>
      </c>
      <c r="BI150" s="3">
        <v>0.7</v>
      </c>
      <c r="BJ150" s="3">
        <v>2.4</v>
      </c>
      <c r="BK150" s="3">
        <v>3</v>
      </c>
      <c r="BL150" s="3">
        <v>58.34</v>
      </c>
      <c r="BM150" s="3">
        <v>8.75</v>
      </c>
      <c r="BN150" s="3">
        <v>67.09</v>
      </c>
      <c r="BO150" s="3">
        <v>67.09</v>
      </c>
      <c r="BP150" s="3"/>
      <c r="BQ150" s="3" t="s">
        <v>692</v>
      </c>
      <c r="BR150" s="3" t="s">
        <v>96</v>
      </c>
      <c r="BS150" s="4">
        <v>44797</v>
      </c>
      <c r="BT150" s="5">
        <v>0.49513888888888885</v>
      </c>
      <c r="BU150" s="3" t="s">
        <v>460</v>
      </c>
      <c r="BV150" s="3" t="s">
        <v>99</v>
      </c>
      <c r="BW150" s="3"/>
      <c r="BX150" s="3"/>
      <c r="BY150" s="3">
        <v>11889.46</v>
      </c>
      <c r="BZ150" s="3" t="s">
        <v>408</v>
      </c>
      <c r="CA150" s="3" t="s">
        <v>693</v>
      </c>
      <c r="CB150" s="3"/>
      <c r="CC150" s="3" t="s">
        <v>161</v>
      </c>
      <c r="CD150" s="3">
        <v>7600</v>
      </c>
      <c r="CE150" s="3" t="s">
        <v>90</v>
      </c>
      <c r="CF150" s="4">
        <v>44799</v>
      </c>
      <c r="CG150" s="3"/>
      <c r="CH150" s="3"/>
      <c r="CI150" s="8">
        <v>1</v>
      </c>
      <c r="CJ150" s="8">
        <v>1</v>
      </c>
      <c r="CK150" s="8">
        <v>32</v>
      </c>
      <c r="CL150" s="3" t="s">
        <v>85</v>
      </c>
      <c r="CM150" s="3"/>
      <c r="CN150" s="3"/>
    </row>
    <row r="151" spans="1:92" x14ac:dyDescent="0.3">
      <c r="A151" s="3" t="s">
        <v>72</v>
      </c>
      <c r="B151" s="3" t="s">
        <v>73</v>
      </c>
      <c r="C151" s="3" t="s">
        <v>74</v>
      </c>
      <c r="D151" s="3"/>
      <c r="E151" s="11" t="str">
        <f>"009942558800"</f>
        <v>009942558800</v>
      </c>
      <c r="F151" s="4">
        <v>44796</v>
      </c>
      <c r="G151" s="3">
        <v>202305</v>
      </c>
      <c r="H151" s="3" t="s">
        <v>79</v>
      </c>
      <c r="I151" s="3" t="s">
        <v>80</v>
      </c>
      <c r="J151" s="3" t="s">
        <v>94</v>
      </c>
      <c r="K151" s="3" t="s">
        <v>78</v>
      </c>
      <c r="L151" s="3" t="s">
        <v>694</v>
      </c>
      <c r="M151" s="3" t="s">
        <v>695</v>
      </c>
      <c r="N151" s="3" t="s">
        <v>93</v>
      </c>
      <c r="O151" s="3" t="s">
        <v>95</v>
      </c>
      <c r="P151" s="3" t="str">
        <f>"INV185289                     "</f>
        <v xml:space="preserve">INV185289   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5.25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66.489999999999995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1</v>
      </c>
      <c r="BI151" s="3">
        <v>2.2999999999999998</v>
      </c>
      <c r="BJ151" s="3">
        <v>11.1</v>
      </c>
      <c r="BK151" s="3">
        <v>12</v>
      </c>
      <c r="BL151" s="3">
        <v>164.73</v>
      </c>
      <c r="BM151" s="3">
        <v>24.71</v>
      </c>
      <c r="BN151" s="3">
        <v>189.44</v>
      </c>
      <c r="BO151" s="3">
        <v>189.44</v>
      </c>
      <c r="BP151" s="3"/>
      <c r="BQ151" s="3" t="s">
        <v>696</v>
      </c>
      <c r="BR151" s="3" t="s">
        <v>96</v>
      </c>
      <c r="BS151" s="4">
        <v>44797</v>
      </c>
      <c r="BT151" s="5">
        <v>0.6166666666666667</v>
      </c>
      <c r="BU151" s="3" t="s">
        <v>697</v>
      </c>
      <c r="BV151" s="3" t="s">
        <v>99</v>
      </c>
      <c r="BW151" s="3"/>
      <c r="BX151" s="3"/>
      <c r="BY151" s="3">
        <v>55583.1</v>
      </c>
      <c r="BZ151" s="3" t="s">
        <v>408</v>
      </c>
      <c r="CA151" s="3" t="s">
        <v>698</v>
      </c>
      <c r="CB151" s="3"/>
      <c r="CC151" s="3" t="s">
        <v>695</v>
      </c>
      <c r="CD151" s="3">
        <v>7357</v>
      </c>
      <c r="CE151" s="3" t="s">
        <v>90</v>
      </c>
      <c r="CF151" s="4">
        <v>44799</v>
      </c>
      <c r="CG151" s="3"/>
      <c r="CH151" s="3"/>
      <c r="CI151" s="8">
        <v>2</v>
      </c>
      <c r="CJ151" s="8">
        <v>1</v>
      </c>
      <c r="CK151" s="8">
        <v>44</v>
      </c>
      <c r="CL151" s="3" t="s">
        <v>85</v>
      </c>
      <c r="CM151" s="3"/>
      <c r="CN151" s="3"/>
    </row>
    <row r="152" spans="1:92" x14ac:dyDescent="0.3">
      <c r="A152" s="3" t="s">
        <v>72</v>
      </c>
      <c r="B152" s="3" t="s">
        <v>73</v>
      </c>
      <c r="C152" s="3" t="s">
        <v>74</v>
      </c>
      <c r="D152" s="3"/>
      <c r="E152" s="11" t="str">
        <f>"009942558804"</f>
        <v>009942558804</v>
      </c>
      <c r="F152" s="4">
        <v>44796</v>
      </c>
      <c r="G152" s="3">
        <v>202305</v>
      </c>
      <c r="H152" s="3" t="s">
        <v>79</v>
      </c>
      <c r="I152" s="3" t="s">
        <v>80</v>
      </c>
      <c r="J152" s="3" t="s">
        <v>94</v>
      </c>
      <c r="K152" s="3" t="s">
        <v>78</v>
      </c>
      <c r="L152" s="3" t="s">
        <v>484</v>
      </c>
      <c r="M152" s="3" t="s">
        <v>485</v>
      </c>
      <c r="N152" s="3" t="s">
        <v>699</v>
      </c>
      <c r="O152" s="3" t="s">
        <v>95</v>
      </c>
      <c r="P152" s="3" t="str">
        <f>"AVO:20803                     "</f>
        <v xml:space="preserve">AVO:20803                     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5.25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60.2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1</v>
      </c>
      <c r="BI152" s="3">
        <v>0.4</v>
      </c>
      <c r="BJ152" s="3">
        <v>1.7</v>
      </c>
      <c r="BK152" s="3">
        <v>2</v>
      </c>
      <c r="BL152" s="3">
        <v>149.65</v>
      </c>
      <c r="BM152" s="3">
        <v>22.45</v>
      </c>
      <c r="BN152" s="3">
        <v>172.1</v>
      </c>
      <c r="BO152" s="3">
        <v>172.1</v>
      </c>
      <c r="BP152" s="3"/>
      <c r="BQ152" s="3" t="s">
        <v>700</v>
      </c>
      <c r="BR152" s="3" t="s">
        <v>96</v>
      </c>
      <c r="BS152" s="4">
        <v>44798</v>
      </c>
      <c r="BT152" s="5">
        <v>0.36388888888888887</v>
      </c>
      <c r="BU152" s="3" t="s">
        <v>701</v>
      </c>
      <c r="BV152" s="3" t="s">
        <v>99</v>
      </c>
      <c r="BW152" s="3"/>
      <c r="BX152" s="3"/>
      <c r="BY152" s="3">
        <v>8624</v>
      </c>
      <c r="BZ152" s="3" t="s">
        <v>408</v>
      </c>
      <c r="CA152" s="3" t="s">
        <v>702</v>
      </c>
      <c r="CB152" s="3"/>
      <c r="CC152" s="3" t="s">
        <v>485</v>
      </c>
      <c r="CD152" s="3">
        <v>3610</v>
      </c>
      <c r="CE152" s="3" t="s">
        <v>90</v>
      </c>
      <c r="CF152" s="4">
        <v>44798</v>
      </c>
      <c r="CG152" s="3"/>
      <c r="CH152" s="3"/>
      <c r="CI152" s="8">
        <v>3</v>
      </c>
      <c r="CJ152" s="8">
        <v>2</v>
      </c>
      <c r="CK152" s="8">
        <v>41</v>
      </c>
      <c r="CL152" s="3" t="s">
        <v>85</v>
      </c>
      <c r="CM152" s="3"/>
      <c r="CN152" s="3"/>
    </row>
    <row r="153" spans="1:92" x14ac:dyDescent="0.3">
      <c r="A153" s="3" t="s">
        <v>72</v>
      </c>
      <c r="B153" s="3" t="s">
        <v>73</v>
      </c>
      <c r="C153" s="3" t="s">
        <v>74</v>
      </c>
      <c r="D153" s="3"/>
      <c r="E153" s="11" t="str">
        <f>"009942558801"</f>
        <v>009942558801</v>
      </c>
      <c r="F153" s="4">
        <v>44796</v>
      </c>
      <c r="G153" s="3">
        <v>202305</v>
      </c>
      <c r="H153" s="3" t="s">
        <v>79</v>
      </c>
      <c r="I153" s="3" t="s">
        <v>80</v>
      </c>
      <c r="J153" s="3" t="s">
        <v>94</v>
      </c>
      <c r="K153" s="3" t="s">
        <v>78</v>
      </c>
      <c r="L153" s="3" t="s">
        <v>703</v>
      </c>
      <c r="M153" s="3" t="s">
        <v>704</v>
      </c>
      <c r="N153" s="3" t="s">
        <v>93</v>
      </c>
      <c r="O153" s="3" t="s">
        <v>95</v>
      </c>
      <c r="P153" s="3" t="str">
        <f>"INV185290                     "</f>
        <v xml:space="preserve">INV185290                     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5.25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119.63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1</v>
      </c>
      <c r="BI153" s="3">
        <v>4.0999999999999996</v>
      </c>
      <c r="BJ153" s="3">
        <v>22.1</v>
      </c>
      <c r="BK153" s="3">
        <v>23</v>
      </c>
      <c r="BL153" s="3">
        <v>292.19</v>
      </c>
      <c r="BM153" s="3">
        <v>43.83</v>
      </c>
      <c r="BN153" s="3">
        <v>336.02</v>
      </c>
      <c r="BO153" s="3">
        <v>336.02</v>
      </c>
      <c r="BP153" s="3"/>
      <c r="BQ153" s="3" t="s">
        <v>705</v>
      </c>
      <c r="BR153" s="3" t="s">
        <v>96</v>
      </c>
      <c r="BS153" s="4">
        <v>44798</v>
      </c>
      <c r="BT153" s="5">
        <v>0.63055555555555554</v>
      </c>
      <c r="BU153" s="3" t="s">
        <v>706</v>
      </c>
      <c r="BV153" s="3" t="s">
        <v>99</v>
      </c>
      <c r="BW153" s="3"/>
      <c r="BX153" s="3"/>
      <c r="BY153" s="3">
        <v>110548.23</v>
      </c>
      <c r="BZ153" s="3" t="s">
        <v>408</v>
      </c>
      <c r="CA153" s="3" t="s">
        <v>707</v>
      </c>
      <c r="CB153" s="3"/>
      <c r="CC153" s="3" t="s">
        <v>704</v>
      </c>
      <c r="CD153" s="3">
        <v>6312</v>
      </c>
      <c r="CE153" s="3" t="s">
        <v>90</v>
      </c>
      <c r="CF153" s="4">
        <v>44798</v>
      </c>
      <c r="CG153" s="3"/>
      <c r="CH153" s="3"/>
      <c r="CI153" s="8">
        <v>3</v>
      </c>
      <c r="CJ153" s="8">
        <v>2</v>
      </c>
      <c r="CK153" s="8">
        <v>43</v>
      </c>
      <c r="CL153" s="3" t="s">
        <v>85</v>
      </c>
      <c r="CM153" s="3"/>
      <c r="CN153" s="3"/>
    </row>
    <row r="154" spans="1:92" x14ac:dyDescent="0.3">
      <c r="A154" s="3" t="s">
        <v>72</v>
      </c>
      <c r="B154" s="3" t="s">
        <v>73</v>
      </c>
      <c r="C154" s="3" t="s">
        <v>74</v>
      </c>
      <c r="D154" s="3"/>
      <c r="E154" s="11" t="str">
        <f>"009942558802"</f>
        <v>009942558802</v>
      </c>
      <c r="F154" s="4">
        <v>44796</v>
      </c>
      <c r="G154" s="3">
        <v>202305</v>
      </c>
      <c r="H154" s="3" t="s">
        <v>79</v>
      </c>
      <c r="I154" s="3" t="s">
        <v>80</v>
      </c>
      <c r="J154" s="3" t="s">
        <v>94</v>
      </c>
      <c r="K154" s="3" t="s">
        <v>78</v>
      </c>
      <c r="L154" s="3" t="s">
        <v>125</v>
      </c>
      <c r="M154" s="3" t="s">
        <v>126</v>
      </c>
      <c r="N154" s="3" t="s">
        <v>708</v>
      </c>
      <c r="O154" s="3" t="s">
        <v>109</v>
      </c>
      <c r="P154" s="3" t="str">
        <f>"INV185308                     "</f>
        <v xml:space="preserve">INV185308                     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58.37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1</v>
      </c>
      <c r="BI154" s="3">
        <v>0.5</v>
      </c>
      <c r="BJ154" s="3">
        <v>0.2</v>
      </c>
      <c r="BK154" s="3">
        <v>1</v>
      </c>
      <c r="BL154" s="3">
        <v>140.01</v>
      </c>
      <c r="BM154" s="3">
        <v>21</v>
      </c>
      <c r="BN154" s="3">
        <v>161.01</v>
      </c>
      <c r="BO154" s="3">
        <v>161.01</v>
      </c>
      <c r="BP154" s="3"/>
      <c r="BQ154" s="3" t="s">
        <v>709</v>
      </c>
      <c r="BR154" s="3" t="s">
        <v>96</v>
      </c>
      <c r="BS154" s="4">
        <v>44797</v>
      </c>
      <c r="BT154" s="5">
        <v>0.40763888888888888</v>
      </c>
      <c r="BU154" s="3" t="s">
        <v>710</v>
      </c>
      <c r="BV154" s="3" t="s">
        <v>99</v>
      </c>
      <c r="BW154" s="3"/>
      <c r="BX154" s="3"/>
      <c r="BY154" s="3">
        <v>1200</v>
      </c>
      <c r="BZ154" s="3" t="s">
        <v>408</v>
      </c>
      <c r="CA154" s="3" t="s">
        <v>711</v>
      </c>
      <c r="CB154" s="3"/>
      <c r="CC154" s="3" t="s">
        <v>126</v>
      </c>
      <c r="CD154" s="3">
        <v>2196</v>
      </c>
      <c r="CE154" s="3" t="s">
        <v>90</v>
      </c>
      <c r="CF154" s="4">
        <v>44798</v>
      </c>
      <c r="CG154" s="3"/>
      <c r="CH154" s="3"/>
      <c r="CI154" s="8">
        <v>1</v>
      </c>
      <c r="CJ154" s="8">
        <v>1</v>
      </c>
      <c r="CK154" s="8">
        <v>31</v>
      </c>
      <c r="CL154" s="3" t="s">
        <v>85</v>
      </c>
      <c r="CM154" s="3"/>
      <c r="CN154" s="3"/>
    </row>
    <row r="155" spans="1:92" x14ac:dyDescent="0.3">
      <c r="A155" s="3" t="s">
        <v>72</v>
      </c>
      <c r="B155" s="3" t="s">
        <v>73</v>
      </c>
      <c r="C155" s="3" t="s">
        <v>74</v>
      </c>
      <c r="D155" s="3"/>
      <c r="E155" s="11" t="str">
        <f>"009942558810"</f>
        <v>009942558810</v>
      </c>
      <c r="F155" s="4">
        <v>44797</v>
      </c>
      <c r="G155" s="3">
        <v>202305</v>
      </c>
      <c r="H155" s="3" t="s">
        <v>79</v>
      </c>
      <c r="I155" s="3" t="s">
        <v>80</v>
      </c>
      <c r="J155" s="3" t="s">
        <v>94</v>
      </c>
      <c r="K155" s="3" t="s">
        <v>78</v>
      </c>
      <c r="L155" s="3" t="s">
        <v>79</v>
      </c>
      <c r="M155" s="3" t="s">
        <v>80</v>
      </c>
      <c r="N155" s="3" t="s">
        <v>712</v>
      </c>
      <c r="O155" s="3" t="s">
        <v>109</v>
      </c>
      <c r="P155" s="3" t="str">
        <f>"INV185341                     "</f>
        <v xml:space="preserve">INV185341                     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24.32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1</v>
      </c>
      <c r="BI155" s="3">
        <v>0.3</v>
      </c>
      <c r="BJ155" s="3">
        <v>1</v>
      </c>
      <c r="BK155" s="3">
        <v>1</v>
      </c>
      <c r="BL155" s="3">
        <v>58.34</v>
      </c>
      <c r="BM155" s="3">
        <v>8.75</v>
      </c>
      <c r="BN155" s="3">
        <v>67.09</v>
      </c>
      <c r="BO155" s="3">
        <v>67.09</v>
      </c>
      <c r="BP155" s="3"/>
      <c r="BQ155" s="3" t="s">
        <v>713</v>
      </c>
      <c r="BR155" s="3" t="s">
        <v>96</v>
      </c>
      <c r="BS155" s="4">
        <v>44798</v>
      </c>
      <c r="BT155" s="5">
        <v>0.4861111111111111</v>
      </c>
      <c r="BU155" s="3" t="s">
        <v>714</v>
      </c>
      <c r="BV155" s="3" t="s">
        <v>99</v>
      </c>
      <c r="BW155" s="3"/>
      <c r="BX155" s="3"/>
      <c r="BY155" s="3">
        <v>5225.88</v>
      </c>
      <c r="BZ155" s="3" t="s">
        <v>408</v>
      </c>
      <c r="CA155" s="3" t="s">
        <v>715</v>
      </c>
      <c r="CB155" s="3"/>
      <c r="CC155" s="3" t="s">
        <v>80</v>
      </c>
      <c r="CD155" s="3">
        <v>7570</v>
      </c>
      <c r="CE155" s="3" t="s">
        <v>90</v>
      </c>
      <c r="CF155" s="4">
        <v>44799</v>
      </c>
      <c r="CG155" s="3"/>
      <c r="CH155" s="3"/>
      <c r="CI155" s="8">
        <v>1</v>
      </c>
      <c r="CJ155" s="8">
        <v>1</v>
      </c>
      <c r="CK155" s="8">
        <v>32</v>
      </c>
      <c r="CL155" s="3" t="s">
        <v>85</v>
      </c>
      <c r="CM155" s="3"/>
      <c r="CN155" s="3"/>
    </row>
    <row r="156" spans="1:92" x14ac:dyDescent="0.3">
      <c r="A156" s="3" t="s">
        <v>72</v>
      </c>
      <c r="B156" s="3" t="s">
        <v>73</v>
      </c>
      <c r="C156" s="3" t="s">
        <v>74</v>
      </c>
      <c r="D156" s="3"/>
      <c r="E156" s="11" t="str">
        <f>"009942558809"</f>
        <v>009942558809</v>
      </c>
      <c r="F156" s="4">
        <v>44797</v>
      </c>
      <c r="G156" s="3">
        <v>202305</v>
      </c>
      <c r="H156" s="3" t="s">
        <v>79</v>
      </c>
      <c r="I156" s="3" t="s">
        <v>80</v>
      </c>
      <c r="J156" s="3" t="s">
        <v>94</v>
      </c>
      <c r="K156" s="3" t="s">
        <v>78</v>
      </c>
      <c r="L156" s="3" t="s">
        <v>325</v>
      </c>
      <c r="M156" s="3" t="s">
        <v>326</v>
      </c>
      <c r="N156" s="3" t="s">
        <v>716</v>
      </c>
      <c r="O156" s="3" t="s">
        <v>109</v>
      </c>
      <c r="P156" s="3" t="str">
        <f>"INV185339                     "</f>
        <v xml:space="preserve">INV185339                     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58.37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1</v>
      </c>
      <c r="BI156" s="3">
        <v>0.4</v>
      </c>
      <c r="BJ156" s="3">
        <v>0.9</v>
      </c>
      <c r="BK156" s="3">
        <v>1</v>
      </c>
      <c r="BL156" s="3">
        <v>140.01</v>
      </c>
      <c r="BM156" s="3">
        <v>21</v>
      </c>
      <c r="BN156" s="3">
        <v>161.01</v>
      </c>
      <c r="BO156" s="3">
        <v>161.01</v>
      </c>
      <c r="BP156" s="3"/>
      <c r="BQ156" s="3" t="s">
        <v>717</v>
      </c>
      <c r="BR156" s="3" t="s">
        <v>96</v>
      </c>
      <c r="BS156" s="4">
        <v>44798</v>
      </c>
      <c r="BT156" s="5">
        <v>0.42708333333333331</v>
      </c>
      <c r="BU156" s="3" t="s">
        <v>718</v>
      </c>
      <c r="BV156" s="3" t="s">
        <v>99</v>
      </c>
      <c r="BW156" s="3"/>
      <c r="BX156" s="3"/>
      <c r="BY156" s="3">
        <v>4629.5</v>
      </c>
      <c r="BZ156" s="3" t="s">
        <v>408</v>
      </c>
      <c r="CA156" s="3" t="s">
        <v>719</v>
      </c>
      <c r="CB156" s="3"/>
      <c r="CC156" s="3" t="s">
        <v>326</v>
      </c>
      <c r="CD156" s="3">
        <v>1725</v>
      </c>
      <c r="CE156" s="3" t="s">
        <v>90</v>
      </c>
      <c r="CF156" s="4">
        <v>44798</v>
      </c>
      <c r="CG156" s="3"/>
      <c r="CH156" s="3"/>
      <c r="CI156" s="8">
        <v>1</v>
      </c>
      <c r="CJ156" s="8">
        <v>1</v>
      </c>
      <c r="CK156" s="8">
        <v>31</v>
      </c>
      <c r="CL156" s="3" t="s">
        <v>85</v>
      </c>
      <c r="CM156" s="3"/>
      <c r="CN156" s="3"/>
    </row>
    <row r="157" spans="1:92" x14ac:dyDescent="0.3">
      <c r="A157" s="3" t="s">
        <v>72</v>
      </c>
      <c r="B157" s="3" t="s">
        <v>73</v>
      </c>
      <c r="C157" s="3" t="s">
        <v>74</v>
      </c>
      <c r="D157" s="3"/>
      <c r="E157" s="11" t="str">
        <f>"009942558808"</f>
        <v>009942558808</v>
      </c>
      <c r="F157" s="4">
        <v>44797</v>
      </c>
      <c r="G157" s="3">
        <v>202305</v>
      </c>
      <c r="H157" s="3" t="s">
        <v>79</v>
      </c>
      <c r="I157" s="3" t="s">
        <v>80</v>
      </c>
      <c r="J157" s="3" t="s">
        <v>94</v>
      </c>
      <c r="K157" s="3" t="s">
        <v>78</v>
      </c>
      <c r="L157" s="3" t="s">
        <v>720</v>
      </c>
      <c r="M157" s="3" t="s">
        <v>721</v>
      </c>
      <c r="N157" s="3" t="s">
        <v>722</v>
      </c>
      <c r="O157" s="3" t="s">
        <v>95</v>
      </c>
      <c r="P157" s="3" t="str">
        <f>"INV185338                     "</f>
        <v xml:space="preserve">INV185338                     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5.25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84.91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1</v>
      </c>
      <c r="BI157" s="3">
        <v>0.2</v>
      </c>
      <c r="BJ157" s="3">
        <v>0.7</v>
      </c>
      <c r="BK157" s="3">
        <v>1</v>
      </c>
      <c r="BL157" s="3">
        <v>208.91</v>
      </c>
      <c r="BM157" s="3">
        <v>31.34</v>
      </c>
      <c r="BN157" s="3">
        <v>240.25</v>
      </c>
      <c r="BO157" s="3">
        <v>240.25</v>
      </c>
      <c r="BP157" s="3"/>
      <c r="BQ157" s="3" t="s">
        <v>723</v>
      </c>
      <c r="BR157" s="3" t="s">
        <v>96</v>
      </c>
      <c r="BS157" s="4">
        <v>44802</v>
      </c>
      <c r="BT157" s="5">
        <v>0.50486111111111109</v>
      </c>
      <c r="BU157" s="3" t="s">
        <v>724</v>
      </c>
      <c r="BV157" s="3" t="s">
        <v>99</v>
      </c>
      <c r="BW157" s="3"/>
      <c r="BX157" s="3"/>
      <c r="BY157" s="3">
        <v>3408.08</v>
      </c>
      <c r="BZ157" s="3" t="s">
        <v>408</v>
      </c>
      <c r="CA157" s="3" t="s">
        <v>725</v>
      </c>
      <c r="CB157" s="3"/>
      <c r="CC157" s="3" t="s">
        <v>721</v>
      </c>
      <c r="CD157" s="3">
        <v>361</v>
      </c>
      <c r="CE157" s="3" t="s">
        <v>90</v>
      </c>
      <c r="CF157" s="4">
        <v>44802</v>
      </c>
      <c r="CG157" s="3"/>
      <c r="CH157" s="3"/>
      <c r="CI157" s="8">
        <v>7</v>
      </c>
      <c r="CJ157" s="8">
        <v>3</v>
      </c>
      <c r="CK157" s="8">
        <v>43</v>
      </c>
      <c r="CL157" s="3" t="s">
        <v>85</v>
      </c>
      <c r="CM157" s="3"/>
      <c r="CN157" s="3"/>
    </row>
    <row r="158" spans="1:92" x14ac:dyDescent="0.3">
      <c r="A158" s="3" t="s">
        <v>72</v>
      </c>
      <c r="B158" s="3" t="s">
        <v>73</v>
      </c>
      <c r="C158" s="3" t="s">
        <v>74</v>
      </c>
      <c r="D158" s="3"/>
      <c r="E158" s="11" t="str">
        <f>"009942558806"</f>
        <v>009942558806</v>
      </c>
      <c r="F158" s="4">
        <v>44797</v>
      </c>
      <c r="G158" s="3">
        <v>202305</v>
      </c>
      <c r="H158" s="3" t="s">
        <v>79</v>
      </c>
      <c r="I158" s="3" t="s">
        <v>80</v>
      </c>
      <c r="J158" s="3" t="s">
        <v>94</v>
      </c>
      <c r="K158" s="3" t="s">
        <v>78</v>
      </c>
      <c r="L158" s="3" t="s">
        <v>656</v>
      </c>
      <c r="M158" s="3" t="s">
        <v>657</v>
      </c>
      <c r="N158" s="3" t="s">
        <v>93</v>
      </c>
      <c r="O158" s="3" t="s">
        <v>95</v>
      </c>
      <c r="P158" s="3" t="str">
        <f>"INV185332                     "</f>
        <v xml:space="preserve">INV185332                     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5.25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84.91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1</v>
      </c>
      <c r="BI158" s="3">
        <v>0.2</v>
      </c>
      <c r="BJ158" s="3">
        <v>0.6</v>
      </c>
      <c r="BK158" s="3">
        <v>1</v>
      </c>
      <c r="BL158" s="3">
        <v>208.91</v>
      </c>
      <c r="BM158" s="3">
        <v>31.34</v>
      </c>
      <c r="BN158" s="3">
        <v>240.25</v>
      </c>
      <c r="BO158" s="3">
        <v>240.25</v>
      </c>
      <c r="BP158" s="3"/>
      <c r="BQ158" s="3" t="s">
        <v>726</v>
      </c>
      <c r="BR158" s="3" t="s">
        <v>96</v>
      </c>
      <c r="BS158" s="4">
        <v>44799</v>
      </c>
      <c r="BT158" s="5">
        <v>0.6118055555555556</v>
      </c>
      <c r="BU158" s="3" t="s">
        <v>727</v>
      </c>
      <c r="BV158" s="3" t="s">
        <v>99</v>
      </c>
      <c r="BW158" s="3"/>
      <c r="BX158" s="3"/>
      <c r="BY158" s="3">
        <v>3132</v>
      </c>
      <c r="BZ158" s="3" t="s">
        <v>408</v>
      </c>
      <c r="CA158" s="3" t="s">
        <v>660</v>
      </c>
      <c r="CB158" s="3"/>
      <c r="CC158" s="3" t="s">
        <v>657</v>
      </c>
      <c r="CD158" s="3">
        <v>8601</v>
      </c>
      <c r="CE158" s="3" t="s">
        <v>90</v>
      </c>
      <c r="CF158" s="4">
        <v>44799</v>
      </c>
      <c r="CG158" s="3"/>
      <c r="CH158" s="3"/>
      <c r="CI158" s="8">
        <v>3</v>
      </c>
      <c r="CJ158" s="8">
        <v>2</v>
      </c>
      <c r="CK158" s="8">
        <v>43</v>
      </c>
      <c r="CL158" s="3" t="s">
        <v>85</v>
      </c>
      <c r="CM158" s="3"/>
      <c r="CN158" s="3"/>
    </row>
    <row r="159" spans="1:92" x14ac:dyDescent="0.3">
      <c r="A159" s="3" t="s">
        <v>72</v>
      </c>
      <c r="B159" s="3" t="s">
        <v>73</v>
      </c>
      <c r="C159" s="3" t="s">
        <v>74</v>
      </c>
      <c r="D159" s="3"/>
      <c r="E159" s="11" t="str">
        <f>"009942558807"</f>
        <v>009942558807</v>
      </c>
      <c r="F159" s="4">
        <v>44797</v>
      </c>
      <c r="G159" s="3">
        <v>202305</v>
      </c>
      <c r="H159" s="3" t="s">
        <v>79</v>
      </c>
      <c r="I159" s="3" t="s">
        <v>80</v>
      </c>
      <c r="J159" s="3" t="s">
        <v>94</v>
      </c>
      <c r="K159" s="3" t="s">
        <v>78</v>
      </c>
      <c r="L159" s="3" t="s">
        <v>421</v>
      </c>
      <c r="M159" s="3" t="s">
        <v>421</v>
      </c>
      <c r="N159" s="3" t="s">
        <v>728</v>
      </c>
      <c r="O159" s="3" t="s">
        <v>109</v>
      </c>
      <c r="P159" s="3" t="str">
        <f>"INV185337                     "</f>
        <v xml:space="preserve">INV185337                     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43.79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1</v>
      </c>
      <c r="BI159" s="3">
        <v>0.8</v>
      </c>
      <c r="BJ159" s="3">
        <v>3.4</v>
      </c>
      <c r="BK159" s="3">
        <v>4</v>
      </c>
      <c r="BL159" s="3">
        <v>105.03</v>
      </c>
      <c r="BM159" s="3">
        <v>15.75</v>
      </c>
      <c r="BN159" s="3">
        <v>120.78</v>
      </c>
      <c r="BO159" s="3">
        <v>120.78</v>
      </c>
      <c r="BP159" s="3"/>
      <c r="BQ159" s="3" t="s">
        <v>729</v>
      </c>
      <c r="BR159" s="3" t="s">
        <v>96</v>
      </c>
      <c r="BS159" s="4">
        <v>44798</v>
      </c>
      <c r="BT159" s="5">
        <v>0.53472222222222221</v>
      </c>
      <c r="BU159" s="3" t="s">
        <v>730</v>
      </c>
      <c r="BV159" s="3" t="s">
        <v>99</v>
      </c>
      <c r="BW159" s="3"/>
      <c r="BX159" s="3"/>
      <c r="BY159" s="3">
        <v>16929.57</v>
      </c>
      <c r="BZ159" s="3" t="s">
        <v>408</v>
      </c>
      <c r="CA159" s="3" t="s">
        <v>731</v>
      </c>
      <c r="CB159" s="3"/>
      <c r="CC159" s="3" t="s">
        <v>421</v>
      </c>
      <c r="CD159" s="3">
        <v>7646</v>
      </c>
      <c r="CE159" s="3" t="s">
        <v>90</v>
      </c>
      <c r="CF159" s="4">
        <v>44799</v>
      </c>
      <c r="CG159" s="3"/>
      <c r="CH159" s="3"/>
      <c r="CI159" s="8">
        <v>1</v>
      </c>
      <c r="CJ159" s="8">
        <v>1</v>
      </c>
      <c r="CK159" s="8">
        <v>34</v>
      </c>
      <c r="CL159" s="3" t="s">
        <v>85</v>
      </c>
      <c r="CM159" s="3"/>
      <c r="CN159" s="3"/>
    </row>
    <row r="160" spans="1:92" x14ac:dyDescent="0.3">
      <c r="A160" s="3" t="s">
        <v>72</v>
      </c>
      <c r="B160" s="3" t="s">
        <v>73</v>
      </c>
      <c r="C160" s="3" t="s">
        <v>74</v>
      </c>
      <c r="D160" s="3"/>
      <c r="E160" s="11" t="str">
        <f>"009942558805"</f>
        <v>009942558805</v>
      </c>
      <c r="F160" s="4">
        <v>44797</v>
      </c>
      <c r="G160" s="3">
        <v>202305</v>
      </c>
      <c r="H160" s="3" t="s">
        <v>79</v>
      </c>
      <c r="I160" s="3" t="s">
        <v>80</v>
      </c>
      <c r="J160" s="3" t="s">
        <v>94</v>
      </c>
      <c r="K160" s="3" t="s">
        <v>78</v>
      </c>
      <c r="L160" s="3" t="s">
        <v>79</v>
      </c>
      <c r="M160" s="3" t="s">
        <v>80</v>
      </c>
      <c r="N160" s="3" t="s">
        <v>93</v>
      </c>
      <c r="O160" s="3" t="s">
        <v>109</v>
      </c>
      <c r="P160" s="3" t="str">
        <f>"INV185334                     "</f>
        <v xml:space="preserve">INV185334                     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24.32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1</v>
      </c>
      <c r="BI160" s="3">
        <v>0.3</v>
      </c>
      <c r="BJ160" s="3">
        <v>2.7</v>
      </c>
      <c r="BK160" s="3">
        <v>3</v>
      </c>
      <c r="BL160" s="3">
        <v>58.34</v>
      </c>
      <c r="BM160" s="3">
        <v>8.75</v>
      </c>
      <c r="BN160" s="3">
        <v>67.09</v>
      </c>
      <c r="BO160" s="3">
        <v>67.09</v>
      </c>
      <c r="BP160" s="3"/>
      <c r="BQ160" s="3" t="s">
        <v>732</v>
      </c>
      <c r="BR160" s="3" t="s">
        <v>96</v>
      </c>
      <c r="BS160" s="4">
        <v>44798</v>
      </c>
      <c r="BT160" s="5">
        <v>0.375</v>
      </c>
      <c r="BU160" s="3" t="s">
        <v>733</v>
      </c>
      <c r="BV160" s="3" t="s">
        <v>99</v>
      </c>
      <c r="BW160" s="3"/>
      <c r="BX160" s="3"/>
      <c r="BY160" s="3">
        <v>13540.8</v>
      </c>
      <c r="BZ160" s="3" t="s">
        <v>408</v>
      </c>
      <c r="CA160" s="3" t="s">
        <v>734</v>
      </c>
      <c r="CB160" s="3"/>
      <c r="CC160" s="3" t="s">
        <v>80</v>
      </c>
      <c r="CD160" s="3">
        <v>7441</v>
      </c>
      <c r="CE160" s="3" t="s">
        <v>90</v>
      </c>
      <c r="CF160" s="4">
        <v>44799</v>
      </c>
      <c r="CG160" s="3"/>
      <c r="CH160" s="3"/>
      <c r="CI160" s="8">
        <v>1</v>
      </c>
      <c r="CJ160" s="8">
        <v>1</v>
      </c>
      <c r="CK160" s="8">
        <v>32</v>
      </c>
      <c r="CL160" s="3" t="s">
        <v>85</v>
      </c>
      <c r="CM160" s="3"/>
      <c r="CN160" s="3"/>
    </row>
    <row r="161" spans="1:92" x14ac:dyDescent="0.3">
      <c r="A161" s="3" t="s">
        <v>72</v>
      </c>
      <c r="B161" s="3" t="s">
        <v>73</v>
      </c>
      <c r="C161" s="3" t="s">
        <v>74</v>
      </c>
      <c r="D161" s="3"/>
      <c r="E161" s="11" t="str">
        <f>"009942558814"</f>
        <v>009942558814</v>
      </c>
      <c r="F161" s="4">
        <v>44798</v>
      </c>
      <c r="G161" s="3">
        <v>202305</v>
      </c>
      <c r="H161" s="3" t="s">
        <v>79</v>
      </c>
      <c r="I161" s="3" t="s">
        <v>80</v>
      </c>
      <c r="J161" s="3" t="s">
        <v>94</v>
      </c>
      <c r="K161" s="3" t="s">
        <v>78</v>
      </c>
      <c r="L161" s="3" t="s">
        <v>681</v>
      </c>
      <c r="M161" s="3" t="s">
        <v>682</v>
      </c>
      <c r="N161" s="3" t="s">
        <v>735</v>
      </c>
      <c r="O161" s="3" t="s">
        <v>95</v>
      </c>
      <c r="P161" s="3" t="str">
        <f>"INV185380                     "</f>
        <v xml:space="preserve">INV185380                     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5.25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84.91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1</v>
      </c>
      <c r="BI161" s="3">
        <v>0.1</v>
      </c>
      <c r="BJ161" s="3">
        <v>0.7</v>
      </c>
      <c r="BK161" s="3">
        <v>1</v>
      </c>
      <c r="BL161" s="3">
        <v>208.91</v>
      </c>
      <c r="BM161" s="3">
        <v>31.34</v>
      </c>
      <c r="BN161" s="3">
        <v>240.25</v>
      </c>
      <c r="BO161" s="3">
        <v>240.25</v>
      </c>
      <c r="BP161" s="3"/>
      <c r="BQ161" s="3" t="s">
        <v>736</v>
      </c>
      <c r="BR161" s="3" t="s">
        <v>96</v>
      </c>
      <c r="BS161" s="4">
        <v>44799</v>
      </c>
      <c r="BT161" s="5">
        <v>0.76388888888888884</v>
      </c>
      <c r="BU161" s="3" t="s">
        <v>737</v>
      </c>
      <c r="BV161" s="3" t="s">
        <v>85</v>
      </c>
      <c r="BW161" s="3"/>
      <c r="BX161" s="3"/>
      <c r="BY161" s="3">
        <v>3543.84</v>
      </c>
      <c r="BZ161" s="3" t="s">
        <v>408</v>
      </c>
      <c r="CA161" s="3" t="s">
        <v>738</v>
      </c>
      <c r="CB161" s="3"/>
      <c r="CC161" s="3" t="s">
        <v>682</v>
      </c>
      <c r="CD161" s="3">
        <v>6500</v>
      </c>
      <c r="CE161" s="3" t="s">
        <v>90</v>
      </c>
      <c r="CF161" s="4">
        <v>44802</v>
      </c>
      <c r="CG161" s="3"/>
      <c r="CH161" s="3"/>
      <c r="CI161" s="8">
        <v>1</v>
      </c>
      <c r="CJ161" s="8">
        <v>1</v>
      </c>
      <c r="CK161" s="8">
        <v>43</v>
      </c>
      <c r="CL161" s="3" t="s">
        <v>85</v>
      </c>
      <c r="CM161" s="3"/>
      <c r="CN161" s="3"/>
    </row>
    <row r="162" spans="1:92" x14ac:dyDescent="0.3">
      <c r="A162" s="3" t="s">
        <v>72</v>
      </c>
      <c r="B162" s="3" t="s">
        <v>73</v>
      </c>
      <c r="C162" s="3" t="s">
        <v>74</v>
      </c>
      <c r="D162" s="3"/>
      <c r="E162" s="11" t="str">
        <f>"009942558811"</f>
        <v>009942558811</v>
      </c>
      <c r="F162" s="4">
        <v>44798</v>
      </c>
      <c r="G162" s="3">
        <v>202305</v>
      </c>
      <c r="H162" s="3" t="s">
        <v>79</v>
      </c>
      <c r="I162" s="3" t="s">
        <v>80</v>
      </c>
      <c r="J162" s="3" t="s">
        <v>94</v>
      </c>
      <c r="K162" s="3" t="s">
        <v>78</v>
      </c>
      <c r="L162" s="3" t="s">
        <v>739</v>
      </c>
      <c r="M162" s="3" t="s">
        <v>740</v>
      </c>
      <c r="N162" s="3" t="s">
        <v>93</v>
      </c>
      <c r="O162" s="3" t="s">
        <v>109</v>
      </c>
      <c r="P162" s="3" t="str">
        <f>"INV185359                     "</f>
        <v xml:space="preserve">INV185359                     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60.32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1</v>
      </c>
      <c r="BI162" s="3">
        <v>0.6</v>
      </c>
      <c r="BJ162" s="3">
        <v>2.8</v>
      </c>
      <c r="BK162" s="3">
        <v>3</v>
      </c>
      <c r="BL162" s="3">
        <v>144.68</v>
      </c>
      <c r="BM162" s="3">
        <v>21.7</v>
      </c>
      <c r="BN162" s="3">
        <v>166.38</v>
      </c>
      <c r="BO162" s="3">
        <v>166.38</v>
      </c>
      <c r="BP162" s="3"/>
      <c r="BQ162" s="3" t="s">
        <v>741</v>
      </c>
      <c r="BR162" s="3" t="s">
        <v>96</v>
      </c>
      <c r="BS162" s="4">
        <v>44802</v>
      </c>
      <c r="BT162" s="5">
        <v>0.48402777777777778</v>
      </c>
      <c r="BU162" s="3" t="s">
        <v>742</v>
      </c>
      <c r="BV162" s="3" t="s">
        <v>85</v>
      </c>
      <c r="BW162" s="3" t="s">
        <v>117</v>
      </c>
      <c r="BX162" s="3" t="s">
        <v>118</v>
      </c>
      <c r="BY162" s="3">
        <v>14183.4</v>
      </c>
      <c r="BZ162" s="3" t="s">
        <v>408</v>
      </c>
      <c r="CA162" s="3" t="s">
        <v>743</v>
      </c>
      <c r="CB162" s="3"/>
      <c r="CC162" s="3" t="s">
        <v>740</v>
      </c>
      <c r="CD162" s="3">
        <v>1441</v>
      </c>
      <c r="CE162" s="3" t="s">
        <v>90</v>
      </c>
      <c r="CF162" s="4">
        <v>44803</v>
      </c>
      <c r="CG162" s="3"/>
      <c r="CH162" s="3"/>
      <c r="CI162" s="8">
        <v>1</v>
      </c>
      <c r="CJ162" s="8">
        <v>2</v>
      </c>
      <c r="CK162" s="8">
        <v>33</v>
      </c>
      <c r="CL162" s="3" t="s">
        <v>85</v>
      </c>
      <c r="CM162" s="3"/>
      <c r="CN162" s="3"/>
    </row>
    <row r="163" spans="1:92" x14ac:dyDescent="0.3">
      <c r="A163" s="3" t="s">
        <v>72</v>
      </c>
      <c r="B163" s="3" t="s">
        <v>73</v>
      </c>
      <c r="C163" s="3" t="s">
        <v>74</v>
      </c>
      <c r="D163" s="3"/>
      <c r="E163" s="11" t="str">
        <f>"009942558812"</f>
        <v>009942558812</v>
      </c>
      <c r="F163" s="4">
        <v>44798</v>
      </c>
      <c r="G163" s="3">
        <v>202305</v>
      </c>
      <c r="H163" s="3" t="s">
        <v>79</v>
      </c>
      <c r="I163" s="3" t="s">
        <v>80</v>
      </c>
      <c r="J163" s="3" t="s">
        <v>94</v>
      </c>
      <c r="K163" s="3" t="s">
        <v>78</v>
      </c>
      <c r="L163" s="3" t="s">
        <v>91</v>
      </c>
      <c r="M163" s="3" t="s">
        <v>92</v>
      </c>
      <c r="N163" s="3" t="s">
        <v>93</v>
      </c>
      <c r="O163" s="3" t="s">
        <v>109</v>
      </c>
      <c r="P163" s="3" t="str">
        <f>"INV185364                     "</f>
        <v xml:space="preserve">INV185364                     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58.37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1</v>
      </c>
      <c r="BI163" s="3">
        <v>0.1</v>
      </c>
      <c r="BJ163" s="3">
        <v>1.2</v>
      </c>
      <c r="BK163" s="3">
        <v>2</v>
      </c>
      <c r="BL163" s="3">
        <v>140.01</v>
      </c>
      <c r="BM163" s="3">
        <v>21</v>
      </c>
      <c r="BN163" s="3">
        <v>161.01</v>
      </c>
      <c r="BO163" s="3">
        <v>161.01</v>
      </c>
      <c r="BP163" s="3"/>
      <c r="BQ163" s="3" t="s">
        <v>744</v>
      </c>
      <c r="BR163" s="3" t="s">
        <v>96</v>
      </c>
      <c r="BS163" s="4">
        <v>44799</v>
      </c>
      <c r="BT163" s="5">
        <v>0.3840277777777778</v>
      </c>
      <c r="BU163" s="3" t="s">
        <v>745</v>
      </c>
      <c r="BV163" s="3" t="s">
        <v>99</v>
      </c>
      <c r="BW163" s="3"/>
      <c r="BX163" s="3"/>
      <c r="BY163" s="3">
        <v>5958.02</v>
      </c>
      <c r="BZ163" s="3" t="s">
        <v>408</v>
      </c>
      <c r="CA163" s="3" t="s">
        <v>470</v>
      </c>
      <c r="CB163" s="3"/>
      <c r="CC163" s="3" t="s">
        <v>92</v>
      </c>
      <c r="CD163" s="3">
        <v>2146</v>
      </c>
      <c r="CE163" s="3" t="s">
        <v>90</v>
      </c>
      <c r="CF163" s="4">
        <v>44799</v>
      </c>
      <c r="CG163" s="3"/>
      <c r="CH163" s="3"/>
      <c r="CI163" s="8">
        <v>1</v>
      </c>
      <c r="CJ163" s="8">
        <v>1</v>
      </c>
      <c r="CK163" s="8">
        <v>31</v>
      </c>
      <c r="CL163" s="3" t="s">
        <v>85</v>
      </c>
      <c r="CM163" s="3"/>
      <c r="CN163" s="3"/>
    </row>
    <row r="164" spans="1:92" x14ac:dyDescent="0.3">
      <c r="A164" s="3" t="s">
        <v>72</v>
      </c>
      <c r="B164" s="3" t="s">
        <v>73</v>
      </c>
      <c r="C164" s="3" t="s">
        <v>74</v>
      </c>
      <c r="D164" s="3"/>
      <c r="E164" s="11" t="str">
        <f>"009942558816"</f>
        <v>009942558816</v>
      </c>
      <c r="F164" s="4">
        <v>44798</v>
      </c>
      <c r="G164" s="3">
        <v>202305</v>
      </c>
      <c r="H164" s="3" t="s">
        <v>79</v>
      </c>
      <c r="I164" s="3" t="s">
        <v>80</v>
      </c>
      <c r="J164" s="3" t="s">
        <v>94</v>
      </c>
      <c r="K164" s="3" t="s">
        <v>78</v>
      </c>
      <c r="L164" s="3" t="s">
        <v>125</v>
      </c>
      <c r="M164" s="3" t="s">
        <v>126</v>
      </c>
      <c r="N164" s="3" t="s">
        <v>93</v>
      </c>
      <c r="O164" s="3" t="s">
        <v>109</v>
      </c>
      <c r="P164" s="3" t="str">
        <f>"INV185372                     "</f>
        <v xml:space="preserve">INV185372                     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72.97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1</v>
      </c>
      <c r="BI164" s="3">
        <v>1.1000000000000001</v>
      </c>
      <c r="BJ164" s="3">
        <v>4.7</v>
      </c>
      <c r="BK164" s="3">
        <v>5</v>
      </c>
      <c r="BL164" s="3">
        <v>175.02</v>
      </c>
      <c r="BM164" s="3">
        <v>26.25</v>
      </c>
      <c r="BN164" s="3">
        <v>201.27</v>
      </c>
      <c r="BO164" s="3">
        <v>201.27</v>
      </c>
      <c r="BP164" s="3"/>
      <c r="BQ164" s="3" t="s">
        <v>746</v>
      </c>
      <c r="BR164" s="3" t="s">
        <v>96</v>
      </c>
      <c r="BS164" s="4">
        <v>44799</v>
      </c>
      <c r="BT164" s="5">
        <v>0.72222222222222221</v>
      </c>
      <c r="BU164" s="3" t="s">
        <v>747</v>
      </c>
      <c r="BV164" s="3" t="s">
        <v>85</v>
      </c>
      <c r="BW164" s="3" t="s">
        <v>236</v>
      </c>
      <c r="BX164" s="3" t="s">
        <v>500</v>
      </c>
      <c r="BY164" s="3">
        <v>23684.400000000001</v>
      </c>
      <c r="BZ164" s="3" t="s">
        <v>408</v>
      </c>
      <c r="CA164" s="3" t="s">
        <v>501</v>
      </c>
      <c r="CB164" s="3"/>
      <c r="CC164" s="3" t="s">
        <v>126</v>
      </c>
      <c r="CD164" s="3">
        <v>2197</v>
      </c>
      <c r="CE164" s="3" t="s">
        <v>90</v>
      </c>
      <c r="CF164" s="4">
        <v>44800</v>
      </c>
      <c r="CG164" s="3"/>
      <c r="CH164" s="3"/>
      <c r="CI164" s="8">
        <v>1</v>
      </c>
      <c r="CJ164" s="8">
        <v>1</v>
      </c>
      <c r="CK164" s="8">
        <v>31</v>
      </c>
      <c r="CL164" s="3" t="s">
        <v>85</v>
      </c>
      <c r="CM164" s="3"/>
      <c r="CN164" s="3"/>
    </row>
    <row r="165" spans="1:92" x14ac:dyDescent="0.3">
      <c r="A165" s="3" t="s">
        <v>72</v>
      </c>
      <c r="B165" s="3" t="s">
        <v>73</v>
      </c>
      <c r="C165" s="3" t="s">
        <v>74</v>
      </c>
      <c r="D165" s="3"/>
      <c r="E165" s="11" t="str">
        <f>"009942558815"</f>
        <v>009942558815</v>
      </c>
      <c r="F165" s="4">
        <v>44798</v>
      </c>
      <c r="G165" s="3">
        <v>202305</v>
      </c>
      <c r="H165" s="3" t="s">
        <v>79</v>
      </c>
      <c r="I165" s="3" t="s">
        <v>80</v>
      </c>
      <c r="J165" s="3" t="s">
        <v>94</v>
      </c>
      <c r="K165" s="3" t="s">
        <v>78</v>
      </c>
      <c r="L165" s="3" t="s">
        <v>120</v>
      </c>
      <c r="M165" s="3" t="s">
        <v>121</v>
      </c>
      <c r="N165" s="3" t="s">
        <v>93</v>
      </c>
      <c r="O165" s="3" t="s">
        <v>109</v>
      </c>
      <c r="P165" s="3" t="str">
        <f>"INV185381                     "</f>
        <v xml:space="preserve">INV185381                     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58.37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1</v>
      </c>
      <c r="BI165" s="3">
        <v>0.1</v>
      </c>
      <c r="BJ165" s="3">
        <v>0.9</v>
      </c>
      <c r="BK165" s="3">
        <v>1</v>
      </c>
      <c r="BL165" s="3">
        <v>140.01</v>
      </c>
      <c r="BM165" s="3">
        <v>21</v>
      </c>
      <c r="BN165" s="3">
        <v>161.01</v>
      </c>
      <c r="BO165" s="3">
        <v>161.01</v>
      </c>
      <c r="BP165" s="3"/>
      <c r="BQ165" s="3" t="s">
        <v>748</v>
      </c>
      <c r="BR165" s="3" t="s">
        <v>96</v>
      </c>
      <c r="BS165" s="4">
        <v>44799</v>
      </c>
      <c r="BT165" s="5">
        <v>0.41319444444444442</v>
      </c>
      <c r="BU165" s="3" t="s">
        <v>749</v>
      </c>
      <c r="BV165" s="3" t="s">
        <v>99</v>
      </c>
      <c r="BW165" s="3"/>
      <c r="BX165" s="3"/>
      <c r="BY165" s="3">
        <v>4582.7299999999996</v>
      </c>
      <c r="BZ165" s="3" t="s">
        <v>408</v>
      </c>
      <c r="CA165" s="3"/>
      <c r="CB165" s="3"/>
      <c r="CC165" s="3" t="s">
        <v>121</v>
      </c>
      <c r="CD165" s="3">
        <v>181</v>
      </c>
      <c r="CE165" s="3" t="s">
        <v>90</v>
      </c>
      <c r="CF165" s="4">
        <v>44799</v>
      </c>
      <c r="CG165" s="3"/>
      <c r="CH165" s="3"/>
      <c r="CI165" s="8">
        <v>1</v>
      </c>
      <c r="CJ165" s="8">
        <v>1</v>
      </c>
      <c r="CK165" s="8">
        <v>31</v>
      </c>
      <c r="CL165" s="3" t="s">
        <v>85</v>
      </c>
      <c r="CM165" s="3"/>
      <c r="CN165" s="3"/>
    </row>
    <row r="166" spans="1:92" x14ac:dyDescent="0.3">
      <c r="A166" s="3" t="s">
        <v>72</v>
      </c>
      <c r="B166" s="3" t="s">
        <v>73</v>
      </c>
      <c r="C166" s="3" t="s">
        <v>74</v>
      </c>
      <c r="D166" s="3"/>
      <c r="E166" s="11" t="str">
        <f>"009942558813"</f>
        <v>009942558813</v>
      </c>
      <c r="F166" s="4">
        <v>44798</v>
      </c>
      <c r="G166" s="3">
        <v>202305</v>
      </c>
      <c r="H166" s="3" t="s">
        <v>79</v>
      </c>
      <c r="I166" s="3" t="s">
        <v>80</v>
      </c>
      <c r="J166" s="3" t="s">
        <v>94</v>
      </c>
      <c r="K166" s="3" t="s">
        <v>78</v>
      </c>
      <c r="L166" s="3" t="s">
        <v>125</v>
      </c>
      <c r="M166" s="3" t="s">
        <v>126</v>
      </c>
      <c r="N166" s="3" t="s">
        <v>93</v>
      </c>
      <c r="O166" s="3" t="s">
        <v>109</v>
      </c>
      <c r="P166" s="3" t="str">
        <f>"INV185368                     "</f>
        <v xml:space="preserve">INV185368                     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58.37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1</v>
      </c>
      <c r="BI166" s="3">
        <v>0.1</v>
      </c>
      <c r="BJ166" s="3">
        <v>0.7</v>
      </c>
      <c r="BK166" s="3">
        <v>1</v>
      </c>
      <c r="BL166" s="3">
        <v>140.01</v>
      </c>
      <c r="BM166" s="3">
        <v>21</v>
      </c>
      <c r="BN166" s="3">
        <v>161.01</v>
      </c>
      <c r="BO166" s="3">
        <v>161.01</v>
      </c>
      <c r="BP166" s="3"/>
      <c r="BQ166" s="3" t="s">
        <v>750</v>
      </c>
      <c r="BR166" s="3" t="s">
        <v>96</v>
      </c>
      <c r="BS166" s="4">
        <v>44799</v>
      </c>
      <c r="BT166" s="5">
        <v>0.3666666666666667</v>
      </c>
      <c r="BU166" s="3" t="s">
        <v>240</v>
      </c>
      <c r="BV166" s="3" t="s">
        <v>99</v>
      </c>
      <c r="BW166" s="3"/>
      <c r="BX166" s="3"/>
      <c r="BY166" s="3">
        <v>3673.6</v>
      </c>
      <c r="BZ166" s="3" t="s">
        <v>408</v>
      </c>
      <c r="CA166" s="3" t="s">
        <v>751</v>
      </c>
      <c r="CB166" s="3"/>
      <c r="CC166" s="3" t="s">
        <v>126</v>
      </c>
      <c r="CD166" s="3">
        <v>2191</v>
      </c>
      <c r="CE166" s="3" t="s">
        <v>90</v>
      </c>
      <c r="CF166" s="4">
        <v>44800</v>
      </c>
      <c r="CG166" s="3"/>
      <c r="CH166" s="3"/>
      <c r="CI166" s="8">
        <v>1</v>
      </c>
      <c r="CJ166" s="8">
        <v>1</v>
      </c>
      <c r="CK166" s="8">
        <v>31</v>
      </c>
      <c r="CL166" s="3" t="s">
        <v>85</v>
      </c>
      <c r="CM166" s="3"/>
      <c r="CN166" s="3"/>
    </row>
    <row r="167" spans="1:92" x14ac:dyDescent="0.3">
      <c r="A167" s="3" t="s">
        <v>72</v>
      </c>
      <c r="B167" s="3" t="s">
        <v>73</v>
      </c>
      <c r="C167" s="3" t="s">
        <v>74</v>
      </c>
      <c r="D167" s="3"/>
      <c r="E167" s="11" t="str">
        <f>"009942358041"</f>
        <v>009942358041</v>
      </c>
      <c r="F167" s="4">
        <v>44798</v>
      </c>
      <c r="G167" s="3">
        <v>202305</v>
      </c>
      <c r="H167" s="3" t="s">
        <v>79</v>
      </c>
      <c r="I167" s="3" t="s">
        <v>80</v>
      </c>
      <c r="J167" s="3" t="s">
        <v>192</v>
      </c>
      <c r="K167" s="3" t="s">
        <v>78</v>
      </c>
      <c r="L167" s="3" t="s">
        <v>752</v>
      </c>
      <c r="M167" s="3" t="s">
        <v>753</v>
      </c>
      <c r="N167" s="3" t="s">
        <v>754</v>
      </c>
      <c r="O167" s="3" t="s">
        <v>95</v>
      </c>
      <c r="P167" s="3" t="str">
        <f>"JOB:11780 11783               "</f>
        <v xml:space="preserve">JOB:11780 11783               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15</v>
      </c>
      <c r="AB167" s="3">
        <v>0</v>
      </c>
      <c r="AC167" s="3">
        <v>0</v>
      </c>
      <c r="AD167" s="3">
        <v>0</v>
      </c>
      <c r="AE167" s="3">
        <v>5.25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92.44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2</v>
      </c>
      <c r="BI167" s="3">
        <v>21.8</v>
      </c>
      <c r="BJ167" s="3">
        <v>29.8</v>
      </c>
      <c r="BK167" s="3">
        <v>30</v>
      </c>
      <c r="BL167" s="3">
        <v>241.98</v>
      </c>
      <c r="BM167" s="3">
        <v>36.299999999999997</v>
      </c>
      <c r="BN167" s="3">
        <v>278.27999999999997</v>
      </c>
      <c r="BO167" s="3">
        <v>278.27999999999997</v>
      </c>
      <c r="BP167" s="3"/>
      <c r="BQ167" s="3" t="s">
        <v>103</v>
      </c>
      <c r="BR167" s="3" t="s">
        <v>197</v>
      </c>
      <c r="BS167" s="4">
        <v>44799</v>
      </c>
      <c r="BT167" s="5">
        <v>0.80069444444444438</v>
      </c>
      <c r="BU167" s="3" t="s">
        <v>603</v>
      </c>
      <c r="BV167" s="3" t="s">
        <v>99</v>
      </c>
      <c r="BW167" s="3"/>
      <c r="BX167" s="3"/>
      <c r="BY167" s="3">
        <v>148965.75</v>
      </c>
      <c r="BZ167" s="3" t="s">
        <v>399</v>
      </c>
      <c r="CA167" s="3" t="s">
        <v>755</v>
      </c>
      <c r="CB167" s="3"/>
      <c r="CC167" s="3" t="s">
        <v>753</v>
      </c>
      <c r="CD167" s="3">
        <v>6720</v>
      </c>
      <c r="CE167" s="3" t="s">
        <v>90</v>
      </c>
      <c r="CF167" s="4">
        <v>44802</v>
      </c>
      <c r="CG167" s="3"/>
      <c r="CH167" s="3"/>
      <c r="CI167" s="8">
        <v>2</v>
      </c>
      <c r="CJ167" s="8">
        <v>1</v>
      </c>
      <c r="CK167" s="8">
        <v>44</v>
      </c>
      <c r="CL167" s="3" t="s">
        <v>85</v>
      </c>
      <c r="CM167" s="3"/>
      <c r="CN167" s="3"/>
    </row>
    <row r="168" spans="1:92" x14ac:dyDescent="0.3">
      <c r="A168" s="3" t="s">
        <v>72</v>
      </c>
      <c r="B168" s="3" t="s">
        <v>73</v>
      </c>
      <c r="C168" s="3" t="s">
        <v>74</v>
      </c>
      <c r="D168" s="3"/>
      <c r="E168" s="11" t="str">
        <f>"009942358043"</f>
        <v>009942358043</v>
      </c>
      <c r="F168" s="4">
        <v>44798</v>
      </c>
      <c r="G168" s="3">
        <v>202305</v>
      </c>
      <c r="H168" s="3" t="s">
        <v>79</v>
      </c>
      <c r="I168" s="3" t="s">
        <v>80</v>
      </c>
      <c r="J168" s="3" t="s">
        <v>192</v>
      </c>
      <c r="K168" s="3" t="s">
        <v>78</v>
      </c>
      <c r="L168" s="3" t="s">
        <v>131</v>
      </c>
      <c r="M168" s="3" t="s">
        <v>132</v>
      </c>
      <c r="N168" s="3" t="s">
        <v>756</v>
      </c>
      <c r="O168" s="3" t="s">
        <v>95</v>
      </c>
      <c r="P168" s="3" t="str">
        <f>"JOB:11777                     "</f>
        <v xml:space="preserve">JOB:11777                     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15</v>
      </c>
      <c r="AB168" s="3">
        <v>0</v>
      </c>
      <c r="AC168" s="3">
        <v>0</v>
      </c>
      <c r="AD168" s="3">
        <v>0</v>
      </c>
      <c r="AE168" s="3">
        <v>5.25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75.09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1</v>
      </c>
      <c r="BI168" s="3">
        <v>20.399999999999999</v>
      </c>
      <c r="BJ168" s="3">
        <v>19.399999999999999</v>
      </c>
      <c r="BK168" s="3">
        <v>21</v>
      </c>
      <c r="BL168" s="3">
        <v>200.36</v>
      </c>
      <c r="BM168" s="3">
        <v>30.05</v>
      </c>
      <c r="BN168" s="3">
        <v>230.41</v>
      </c>
      <c r="BO168" s="3">
        <v>230.41</v>
      </c>
      <c r="BP168" s="3"/>
      <c r="BQ168" s="3" t="s">
        <v>757</v>
      </c>
      <c r="BR168" s="3" t="s">
        <v>197</v>
      </c>
      <c r="BS168" s="3" t="s">
        <v>426</v>
      </c>
      <c r="BT168" s="3"/>
      <c r="BU168" s="3"/>
      <c r="BV168" s="3"/>
      <c r="BW168" s="3"/>
      <c r="BX168" s="3"/>
      <c r="BY168" s="3">
        <v>96964.56</v>
      </c>
      <c r="BZ168" s="3" t="s">
        <v>399</v>
      </c>
      <c r="CA168" s="3"/>
      <c r="CB168" s="3"/>
      <c r="CC168" s="3" t="s">
        <v>132</v>
      </c>
      <c r="CD168" s="3">
        <v>6530</v>
      </c>
      <c r="CE168" s="3" t="s">
        <v>90</v>
      </c>
      <c r="CF168" s="3"/>
      <c r="CG168" s="3"/>
      <c r="CH168" s="3"/>
      <c r="CI168" s="8">
        <v>1</v>
      </c>
      <c r="CJ168" s="8" t="s">
        <v>426</v>
      </c>
      <c r="CK168" s="8">
        <v>41</v>
      </c>
      <c r="CL168" s="3" t="s">
        <v>85</v>
      </c>
      <c r="CM168" s="3"/>
      <c r="CN168" s="3"/>
    </row>
    <row r="169" spans="1:92" x14ac:dyDescent="0.3">
      <c r="A169" s="3" t="s">
        <v>72</v>
      </c>
      <c r="B169" s="3" t="s">
        <v>73</v>
      </c>
      <c r="C169" s="3" t="s">
        <v>74</v>
      </c>
      <c r="D169" s="3"/>
      <c r="E169" s="11" t="str">
        <f>"009942358044"</f>
        <v>009942358044</v>
      </c>
      <c r="F169" s="4">
        <v>44798</v>
      </c>
      <c r="G169" s="3">
        <v>202305</v>
      </c>
      <c r="H169" s="3" t="s">
        <v>79</v>
      </c>
      <c r="I169" s="3" t="s">
        <v>80</v>
      </c>
      <c r="J169" s="3" t="s">
        <v>192</v>
      </c>
      <c r="K169" s="3" t="s">
        <v>78</v>
      </c>
      <c r="L169" s="3" t="s">
        <v>758</v>
      </c>
      <c r="M169" s="3" t="s">
        <v>759</v>
      </c>
      <c r="N169" s="3" t="s">
        <v>760</v>
      </c>
      <c r="O169" s="3" t="s">
        <v>95</v>
      </c>
      <c r="P169" s="3" t="str">
        <f>"JOB:11778                     "</f>
        <v xml:space="preserve">JOB:11778                     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15</v>
      </c>
      <c r="AB169" s="3">
        <v>0</v>
      </c>
      <c r="AC169" s="3">
        <v>0</v>
      </c>
      <c r="AD169" s="3">
        <v>0</v>
      </c>
      <c r="AE169" s="3">
        <v>5.25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118.4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2</v>
      </c>
      <c r="BI169" s="3">
        <v>24.3</v>
      </c>
      <c r="BJ169" s="3">
        <v>44.1</v>
      </c>
      <c r="BK169" s="3">
        <v>45</v>
      </c>
      <c r="BL169" s="3">
        <v>304.24</v>
      </c>
      <c r="BM169" s="3">
        <v>45.64</v>
      </c>
      <c r="BN169" s="3">
        <v>349.88</v>
      </c>
      <c r="BO169" s="3">
        <v>349.88</v>
      </c>
      <c r="BP169" s="3"/>
      <c r="BQ169" s="3" t="s">
        <v>103</v>
      </c>
      <c r="BR169" s="3" t="s">
        <v>197</v>
      </c>
      <c r="BS169" s="4">
        <v>44799</v>
      </c>
      <c r="BT169" s="5">
        <v>0.4604166666666667</v>
      </c>
      <c r="BU169" s="3" t="s">
        <v>761</v>
      </c>
      <c r="BV169" s="3" t="s">
        <v>99</v>
      </c>
      <c r="BW169" s="3"/>
      <c r="BX169" s="3"/>
      <c r="BY169" s="3">
        <v>220630.6</v>
      </c>
      <c r="BZ169" s="3" t="s">
        <v>399</v>
      </c>
      <c r="CA169" s="3" t="s">
        <v>191</v>
      </c>
      <c r="CB169" s="3"/>
      <c r="CC169" s="3" t="s">
        <v>759</v>
      </c>
      <c r="CD169" s="3">
        <v>7306</v>
      </c>
      <c r="CE169" s="3" t="s">
        <v>90</v>
      </c>
      <c r="CF169" s="4">
        <v>44802</v>
      </c>
      <c r="CG169" s="3"/>
      <c r="CH169" s="3"/>
      <c r="CI169" s="8">
        <v>2</v>
      </c>
      <c r="CJ169" s="8">
        <v>1</v>
      </c>
      <c r="CK169" s="8">
        <v>44</v>
      </c>
      <c r="CL169" s="3" t="s">
        <v>85</v>
      </c>
      <c r="CM169" s="3"/>
      <c r="CN169" s="3"/>
    </row>
    <row r="170" spans="1:92" x14ac:dyDescent="0.3">
      <c r="A170" s="3" t="s">
        <v>72</v>
      </c>
      <c r="B170" s="3" t="s">
        <v>73</v>
      </c>
      <c r="C170" s="3" t="s">
        <v>74</v>
      </c>
      <c r="D170" s="3"/>
      <c r="E170" s="11" t="str">
        <f>"009942358017"</f>
        <v>009942358017</v>
      </c>
      <c r="F170" s="4">
        <v>44796</v>
      </c>
      <c r="G170" s="3">
        <v>202305</v>
      </c>
      <c r="H170" s="3" t="s">
        <v>79</v>
      </c>
      <c r="I170" s="3" t="s">
        <v>80</v>
      </c>
      <c r="J170" s="3" t="s">
        <v>192</v>
      </c>
      <c r="K170" s="3" t="s">
        <v>78</v>
      </c>
      <c r="L170" s="3" t="s">
        <v>762</v>
      </c>
      <c r="M170" s="3" t="s">
        <v>763</v>
      </c>
      <c r="N170" s="3" t="s">
        <v>764</v>
      </c>
      <c r="O170" s="3" t="s">
        <v>95</v>
      </c>
      <c r="P170" s="3" t="str">
        <f>"..                            "</f>
        <v xml:space="preserve">..                            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15</v>
      </c>
      <c r="AB170" s="3">
        <v>0</v>
      </c>
      <c r="AC170" s="3">
        <v>0</v>
      </c>
      <c r="AD170" s="3">
        <v>0</v>
      </c>
      <c r="AE170" s="3">
        <v>5.25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66.489999999999995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1</v>
      </c>
      <c r="BI170" s="3">
        <v>10.4</v>
      </c>
      <c r="BJ170" s="3">
        <v>0.1</v>
      </c>
      <c r="BK170" s="3">
        <v>11</v>
      </c>
      <c r="BL170" s="3">
        <v>179.73</v>
      </c>
      <c r="BM170" s="3">
        <v>26.96</v>
      </c>
      <c r="BN170" s="3">
        <v>206.69</v>
      </c>
      <c r="BO170" s="3">
        <v>206.69</v>
      </c>
      <c r="BP170" s="3"/>
      <c r="BQ170" s="3" t="s">
        <v>765</v>
      </c>
      <c r="BR170" s="3" t="s">
        <v>197</v>
      </c>
      <c r="BS170" s="4">
        <v>44797</v>
      </c>
      <c r="BT170" s="5">
        <v>0.55486111111111114</v>
      </c>
      <c r="BU170" s="3" t="s">
        <v>603</v>
      </c>
      <c r="BV170" s="3" t="s">
        <v>99</v>
      </c>
      <c r="BW170" s="3"/>
      <c r="BX170" s="3"/>
      <c r="BY170" s="3">
        <v>540</v>
      </c>
      <c r="BZ170" s="3" t="s">
        <v>399</v>
      </c>
      <c r="CA170" s="3"/>
      <c r="CB170" s="3"/>
      <c r="CC170" s="3" t="s">
        <v>763</v>
      </c>
      <c r="CD170" s="3">
        <v>6850</v>
      </c>
      <c r="CE170" s="3" t="s">
        <v>90</v>
      </c>
      <c r="CF170" s="4">
        <v>44799</v>
      </c>
      <c r="CG170" s="3"/>
      <c r="CH170" s="3"/>
      <c r="CI170" s="8">
        <v>2</v>
      </c>
      <c r="CJ170" s="8">
        <v>1</v>
      </c>
      <c r="CK170" s="8">
        <v>44</v>
      </c>
      <c r="CL170" s="3" t="s">
        <v>85</v>
      </c>
      <c r="CM170" s="3"/>
      <c r="CN170" s="3"/>
    </row>
    <row r="171" spans="1:92" x14ac:dyDescent="0.3">
      <c r="A171" s="3" t="s">
        <v>72</v>
      </c>
      <c r="B171" s="3" t="s">
        <v>73</v>
      </c>
      <c r="C171" s="3" t="s">
        <v>74</v>
      </c>
      <c r="D171" s="3"/>
      <c r="E171" s="11" t="str">
        <f>"080010569232"</f>
        <v>080010569232</v>
      </c>
      <c r="F171" s="4">
        <v>44795</v>
      </c>
      <c r="G171" s="3">
        <v>202305</v>
      </c>
      <c r="H171" s="3" t="s">
        <v>618</v>
      </c>
      <c r="I171" s="3" t="s">
        <v>619</v>
      </c>
      <c r="J171" s="3" t="s">
        <v>766</v>
      </c>
      <c r="K171" s="3" t="s">
        <v>78</v>
      </c>
      <c r="L171" s="3" t="s">
        <v>439</v>
      </c>
      <c r="M171" s="3" t="s">
        <v>440</v>
      </c>
      <c r="N171" s="3" t="s">
        <v>767</v>
      </c>
      <c r="O171" s="3" t="s">
        <v>82</v>
      </c>
      <c r="P171" s="3" t="str">
        <f>"URGENT                        "</f>
        <v xml:space="preserve">URGENT                        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795.84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2</v>
      </c>
      <c r="BI171" s="3">
        <v>20</v>
      </c>
      <c r="BJ171" s="3">
        <v>28.8</v>
      </c>
      <c r="BK171" s="3">
        <v>29</v>
      </c>
      <c r="BL171" s="3">
        <v>1908.9</v>
      </c>
      <c r="BM171" s="3">
        <v>286.33999999999997</v>
      </c>
      <c r="BN171" s="3">
        <v>2195.2399999999998</v>
      </c>
      <c r="BO171" s="3">
        <v>2195.2399999999998</v>
      </c>
      <c r="BP171" s="3" t="s">
        <v>768</v>
      </c>
      <c r="BQ171" s="3" t="s">
        <v>769</v>
      </c>
      <c r="BR171" s="3" t="s">
        <v>770</v>
      </c>
      <c r="BS171" s="4">
        <v>44796</v>
      </c>
      <c r="BT171" s="5">
        <v>0.61736111111111114</v>
      </c>
      <c r="BU171" s="3" t="s">
        <v>771</v>
      </c>
      <c r="BV171" s="3" t="s">
        <v>99</v>
      </c>
      <c r="BW171" s="3"/>
      <c r="BX171" s="3"/>
      <c r="BY171" s="3">
        <v>72000</v>
      </c>
      <c r="BZ171" s="3" t="s">
        <v>424</v>
      </c>
      <c r="CA171" s="3" t="s">
        <v>772</v>
      </c>
      <c r="CB171" s="3"/>
      <c r="CC171" s="3" t="s">
        <v>440</v>
      </c>
      <c r="CD171" s="3">
        <v>4182</v>
      </c>
      <c r="CE171" s="3"/>
      <c r="CF171" s="4">
        <v>44798</v>
      </c>
      <c r="CG171" s="3"/>
      <c r="CH171" s="3"/>
      <c r="CI171" s="8">
        <v>1</v>
      </c>
      <c r="CJ171" s="8">
        <v>1</v>
      </c>
      <c r="CK171" s="8">
        <v>23</v>
      </c>
      <c r="CL171" s="3" t="s">
        <v>85</v>
      </c>
      <c r="CM171" s="3"/>
      <c r="CN171" s="3"/>
    </row>
    <row r="172" spans="1:92" x14ac:dyDescent="0.3">
      <c r="A172" s="3" t="s">
        <v>72</v>
      </c>
      <c r="B172" s="3" t="s">
        <v>73</v>
      </c>
      <c r="C172" s="3" t="s">
        <v>74</v>
      </c>
      <c r="D172" s="3"/>
      <c r="E172" s="11" t="str">
        <f>"009942358040"</f>
        <v>009942358040</v>
      </c>
      <c r="F172" s="4">
        <v>44797</v>
      </c>
      <c r="G172" s="3">
        <v>202305</v>
      </c>
      <c r="H172" s="3" t="s">
        <v>79</v>
      </c>
      <c r="I172" s="3" t="s">
        <v>80</v>
      </c>
      <c r="J172" s="3" t="s">
        <v>192</v>
      </c>
      <c r="K172" s="3" t="s">
        <v>78</v>
      </c>
      <c r="L172" s="3" t="s">
        <v>773</v>
      </c>
      <c r="M172" s="3" t="s">
        <v>774</v>
      </c>
      <c r="N172" s="3" t="s">
        <v>775</v>
      </c>
      <c r="O172" s="3" t="s">
        <v>95</v>
      </c>
      <c r="P172" s="3" t="str">
        <f>"                              "</f>
        <v xml:space="preserve">                              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15</v>
      </c>
      <c r="AB172" s="3">
        <v>0</v>
      </c>
      <c r="AC172" s="3">
        <v>0</v>
      </c>
      <c r="AD172" s="3">
        <v>0</v>
      </c>
      <c r="AE172" s="3">
        <v>5.25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84.91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1</v>
      </c>
      <c r="BI172" s="3">
        <v>2.1</v>
      </c>
      <c r="BJ172" s="3">
        <v>2</v>
      </c>
      <c r="BK172" s="3">
        <v>3</v>
      </c>
      <c r="BL172" s="3">
        <v>223.91</v>
      </c>
      <c r="BM172" s="3">
        <v>33.590000000000003</v>
      </c>
      <c r="BN172" s="3">
        <v>257.5</v>
      </c>
      <c r="BO172" s="3">
        <v>257.5</v>
      </c>
      <c r="BP172" s="3"/>
      <c r="BQ172" s="3"/>
      <c r="BR172" s="3" t="s">
        <v>197</v>
      </c>
      <c r="BS172" s="4">
        <v>44799</v>
      </c>
      <c r="BT172" s="5">
        <v>0.68472222222222223</v>
      </c>
      <c r="BU172" s="3" t="s">
        <v>776</v>
      </c>
      <c r="BV172" s="3" t="s">
        <v>99</v>
      </c>
      <c r="BW172" s="3"/>
      <c r="BX172" s="3"/>
      <c r="BY172" s="3">
        <v>10125</v>
      </c>
      <c r="BZ172" s="3" t="s">
        <v>399</v>
      </c>
      <c r="CA172" s="3" t="s">
        <v>707</v>
      </c>
      <c r="CB172" s="3"/>
      <c r="CC172" s="3" t="s">
        <v>774</v>
      </c>
      <c r="CD172" s="3">
        <v>6170</v>
      </c>
      <c r="CE172" s="3" t="s">
        <v>90</v>
      </c>
      <c r="CF172" s="4">
        <v>44799</v>
      </c>
      <c r="CG172" s="3"/>
      <c r="CH172" s="3"/>
      <c r="CI172" s="8">
        <v>3</v>
      </c>
      <c r="CJ172" s="8">
        <v>2</v>
      </c>
      <c r="CK172" s="8">
        <v>43</v>
      </c>
      <c r="CL172" s="3" t="s">
        <v>85</v>
      </c>
      <c r="CM172" s="3"/>
      <c r="CN172" s="3"/>
    </row>
    <row r="173" spans="1:92" x14ac:dyDescent="0.3">
      <c r="A173" s="3" t="s">
        <v>72</v>
      </c>
      <c r="B173" s="3" t="s">
        <v>73</v>
      </c>
      <c r="C173" s="3" t="s">
        <v>74</v>
      </c>
      <c r="D173" s="3"/>
      <c r="E173" s="11" t="str">
        <f>"009942474941"</f>
        <v>009942474941</v>
      </c>
      <c r="F173" s="4">
        <v>44799</v>
      </c>
      <c r="G173" s="3">
        <v>202305</v>
      </c>
      <c r="H173" s="3" t="s">
        <v>777</v>
      </c>
      <c r="I173" s="3" t="s">
        <v>778</v>
      </c>
      <c r="J173" s="3" t="s">
        <v>779</v>
      </c>
      <c r="K173" s="3" t="s">
        <v>78</v>
      </c>
      <c r="L173" s="3" t="s">
        <v>79</v>
      </c>
      <c r="M173" s="3" t="s">
        <v>80</v>
      </c>
      <c r="N173" s="3" t="s">
        <v>77</v>
      </c>
      <c r="O173" s="3" t="s">
        <v>95</v>
      </c>
      <c r="P173" s="3" t="str">
        <f>"                              "</f>
        <v xml:space="preserve">                              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5.25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46.45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1</v>
      </c>
      <c r="BI173" s="3">
        <v>1</v>
      </c>
      <c r="BJ173" s="3">
        <v>0.2</v>
      </c>
      <c r="BK173" s="3">
        <v>1</v>
      </c>
      <c r="BL173" s="3">
        <v>116.67</v>
      </c>
      <c r="BM173" s="3">
        <v>17.5</v>
      </c>
      <c r="BN173" s="3">
        <v>134.16999999999999</v>
      </c>
      <c r="BO173" s="3">
        <v>134.16999999999999</v>
      </c>
      <c r="BP173" s="3"/>
      <c r="BQ173" s="3" t="s">
        <v>103</v>
      </c>
      <c r="BR173" s="3" t="s">
        <v>780</v>
      </c>
      <c r="BS173" s="4">
        <v>44802</v>
      </c>
      <c r="BT173" s="5">
        <v>0.52083333333333337</v>
      </c>
      <c r="BU173" s="3" t="s">
        <v>781</v>
      </c>
      <c r="BV173" s="3" t="s">
        <v>99</v>
      </c>
      <c r="BW173" s="3"/>
      <c r="BX173" s="3"/>
      <c r="BY173" s="3">
        <v>1200</v>
      </c>
      <c r="BZ173" s="3" t="s">
        <v>408</v>
      </c>
      <c r="CA173" s="3"/>
      <c r="CB173" s="3"/>
      <c r="CC173" s="3" t="s">
        <v>80</v>
      </c>
      <c r="CD173" s="3">
        <v>8000</v>
      </c>
      <c r="CE173" s="3" t="s">
        <v>90</v>
      </c>
      <c r="CF173" s="4">
        <v>44803</v>
      </c>
      <c r="CG173" s="3"/>
      <c r="CH173" s="3"/>
      <c r="CI173" s="8">
        <v>1</v>
      </c>
      <c r="CJ173" s="8">
        <v>1</v>
      </c>
      <c r="CK173" s="8">
        <v>42</v>
      </c>
      <c r="CL173" s="3" t="s">
        <v>85</v>
      </c>
      <c r="CM173" s="3"/>
      <c r="CN173" s="3"/>
    </row>
    <row r="174" spans="1:92" x14ac:dyDescent="0.3">
      <c r="A174" s="3" t="s">
        <v>72</v>
      </c>
      <c r="B174" s="3" t="s">
        <v>73</v>
      </c>
      <c r="C174" s="3" t="s">
        <v>74</v>
      </c>
      <c r="D174" s="3"/>
      <c r="E174" s="11" t="str">
        <f>"009942558825"</f>
        <v>009942558825</v>
      </c>
      <c r="F174" s="4">
        <v>44799</v>
      </c>
      <c r="G174" s="3">
        <v>202305</v>
      </c>
      <c r="H174" s="3" t="s">
        <v>79</v>
      </c>
      <c r="I174" s="3" t="s">
        <v>80</v>
      </c>
      <c r="J174" s="3" t="s">
        <v>94</v>
      </c>
      <c r="K174" s="3" t="s">
        <v>78</v>
      </c>
      <c r="L174" s="3" t="s">
        <v>79</v>
      </c>
      <c r="M174" s="3" t="s">
        <v>80</v>
      </c>
      <c r="N174" s="3" t="s">
        <v>93</v>
      </c>
      <c r="O174" s="3" t="s">
        <v>95</v>
      </c>
      <c r="P174" s="3" t="str">
        <f>"INV185422                     "</f>
        <v xml:space="preserve">INV185422                     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5.25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46.45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1</v>
      </c>
      <c r="BI174" s="3">
        <v>1.2</v>
      </c>
      <c r="BJ174" s="3">
        <v>3.3</v>
      </c>
      <c r="BK174" s="3">
        <v>4</v>
      </c>
      <c r="BL174" s="3">
        <v>116.67</v>
      </c>
      <c r="BM174" s="3">
        <v>17.5</v>
      </c>
      <c r="BN174" s="3">
        <v>134.16999999999999</v>
      </c>
      <c r="BO174" s="3">
        <v>134.16999999999999</v>
      </c>
      <c r="BP174" s="3"/>
      <c r="BQ174" s="3" t="s">
        <v>434</v>
      </c>
      <c r="BR174" s="3" t="s">
        <v>96</v>
      </c>
      <c r="BS174" s="4">
        <v>44802</v>
      </c>
      <c r="BT174" s="5">
        <v>0.43194444444444446</v>
      </c>
      <c r="BU174" s="3" t="s">
        <v>435</v>
      </c>
      <c r="BV174" s="3" t="s">
        <v>99</v>
      </c>
      <c r="BW174" s="3"/>
      <c r="BX174" s="3"/>
      <c r="BY174" s="3">
        <v>16387.919999999998</v>
      </c>
      <c r="BZ174" s="3" t="s">
        <v>408</v>
      </c>
      <c r="CA174" s="3" t="s">
        <v>610</v>
      </c>
      <c r="CB174" s="3"/>
      <c r="CC174" s="3" t="s">
        <v>80</v>
      </c>
      <c r="CD174" s="3">
        <v>8001</v>
      </c>
      <c r="CE174" s="3" t="s">
        <v>90</v>
      </c>
      <c r="CF174" s="4">
        <v>44803</v>
      </c>
      <c r="CG174" s="3"/>
      <c r="CH174" s="3"/>
      <c r="CI174" s="8">
        <v>1</v>
      </c>
      <c r="CJ174" s="8">
        <v>1</v>
      </c>
      <c r="CK174" s="8">
        <v>42</v>
      </c>
      <c r="CL174" s="3" t="s">
        <v>85</v>
      </c>
      <c r="CM174" s="3"/>
      <c r="CN174" s="3"/>
    </row>
    <row r="175" spans="1:92" x14ac:dyDescent="0.3">
      <c r="A175" s="3" t="s">
        <v>72</v>
      </c>
      <c r="B175" s="3" t="s">
        <v>73</v>
      </c>
      <c r="C175" s="3" t="s">
        <v>74</v>
      </c>
      <c r="D175" s="3"/>
      <c r="E175" s="11" t="str">
        <f>"009942558817"</f>
        <v>009942558817</v>
      </c>
      <c r="F175" s="4">
        <v>44799</v>
      </c>
      <c r="G175" s="3">
        <v>202305</v>
      </c>
      <c r="H175" s="3" t="s">
        <v>79</v>
      </c>
      <c r="I175" s="3" t="s">
        <v>80</v>
      </c>
      <c r="J175" s="3" t="s">
        <v>94</v>
      </c>
      <c r="K175" s="3" t="s">
        <v>78</v>
      </c>
      <c r="L175" s="3" t="s">
        <v>228</v>
      </c>
      <c r="M175" s="3" t="s">
        <v>229</v>
      </c>
      <c r="N175" s="3" t="s">
        <v>93</v>
      </c>
      <c r="O175" s="3" t="s">
        <v>109</v>
      </c>
      <c r="P175" s="3" t="str">
        <f>"INV185398                     "</f>
        <v xml:space="preserve">INV185398                     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58.37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1</v>
      </c>
      <c r="BI175" s="3">
        <v>0.9</v>
      </c>
      <c r="BJ175" s="3">
        <v>2.9</v>
      </c>
      <c r="BK175" s="3">
        <v>3</v>
      </c>
      <c r="BL175" s="3">
        <v>140.01</v>
      </c>
      <c r="BM175" s="3">
        <v>21</v>
      </c>
      <c r="BN175" s="3">
        <v>161.01</v>
      </c>
      <c r="BO175" s="3">
        <v>161.01</v>
      </c>
      <c r="BP175" s="3"/>
      <c r="BQ175" s="3" t="s">
        <v>782</v>
      </c>
      <c r="BR175" s="3" t="s">
        <v>96</v>
      </c>
      <c r="BS175" s="4">
        <v>44802</v>
      </c>
      <c r="BT175" s="5">
        <v>0.4694444444444445</v>
      </c>
      <c r="BU175" s="3" t="s">
        <v>783</v>
      </c>
      <c r="BV175" s="3" t="s">
        <v>99</v>
      </c>
      <c r="BW175" s="3"/>
      <c r="BX175" s="3"/>
      <c r="BY175" s="3">
        <v>14336.42</v>
      </c>
      <c r="BZ175" s="3" t="s">
        <v>408</v>
      </c>
      <c r="CA175" s="3" t="s">
        <v>784</v>
      </c>
      <c r="CB175" s="3"/>
      <c r="CC175" s="3" t="s">
        <v>229</v>
      </c>
      <c r="CD175" s="3">
        <v>2156</v>
      </c>
      <c r="CE175" s="3" t="s">
        <v>90</v>
      </c>
      <c r="CF175" s="4">
        <v>44803</v>
      </c>
      <c r="CG175" s="3"/>
      <c r="CH175" s="3"/>
      <c r="CI175" s="8">
        <v>1</v>
      </c>
      <c r="CJ175" s="8">
        <v>1</v>
      </c>
      <c r="CK175" s="8">
        <v>31</v>
      </c>
      <c r="CL175" s="3" t="s">
        <v>85</v>
      </c>
      <c r="CM175" s="3"/>
      <c r="CN175" s="3"/>
    </row>
    <row r="176" spans="1:92" x14ac:dyDescent="0.3">
      <c r="A176" s="3" t="s">
        <v>72</v>
      </c>
      <c r="B176" s="3" t="s">
        <v>73</v>
      </c>
      <c r="C176" s="3" t="s">
        <v>74</v>
      </c>
      <c r="D176" s="3"/>
      <c r="E176" s="11" t="str">
        <f>"009942558823"</f>
        <v>009942558823</v>
      </c>
      <c r="F176" s="4">
        <v>44799</v>
      </c>
      <c r="G176" s="3">
        <v>202305</v>
      </c>
      <c r="H176" s="3" t="s">
        <v>79</v>
      </c>
      <c r="I176" s="3" t="s">
        <v>80</v>
      </c>
      <c r="J176" s="3" t="s">
        <v>94</v>
      </c>
      <c r="K176" s="3" t="s">
        <v>78</v>
      </c>
      <c r="L176" s="3" t="s">
        <v>120</v>
      </c>
      <c r="M176" s="3" t="s">
        <v>121</v>
      </c>
      <c r="N176" s="3" t="s">
        <v>93</v>
      </c>
      <c r="O176" s="3" t="s">
        <v>95</v>
      </c>
      <c r="P176" s="3" t="str">
        <f>"INV185434                     "</f>
        <v xml:space="preserve">INV185434                     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5.25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60.2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1</v>
      </c>
      <c r="BI176" s="3">
        <v>3.2</v>
      </c>
      <c r="BJ176" s="3">
        <v>11.4</v>
      </c>
      <c r="BK176" s="3">
        <v>12</v>
      </c>
      <c r="BL176" s="3">
        <v>149.65</v>
      </c>
      <c r="BM176" s="3">
        <v>22.45</v>
      </c>
      <c r="BN176" s="3">
        <v>172.1</v>
      </c>
      <c r="BO176" s="3">
        <v>172.1</v>
      </c>
      <c r="BP176" s="3"/>
      <c r="BQ176" s="3" t="s">
        <v>785</v>
      </c>
      <c r="BR176" s="3" t="s">
        <v>96</v>
      </c>
      <c r="BS176" s="4">
        <v>44803</v>
      </c>
      <c r="BT176" s="5">
        <v>0.58124999999999993</v>
      </c>
      <c r="BU176" s="3" t="s">
        <v>786</v>
      </c>
      <c r="BV176" s="3" t="s">
        <v>99</v>
      </c>
      <c r="BW176" s="3"/>
      <c r="BX176" s="3"/>
      <c r="BY176" s="3">
        <v>56756.7</v>
      </c>
      <c r="BZ176" s="3" t="s">
        <v>408</v>
      </c>
      <c r="CA176" s="3" t="s">
        <v>787</v>
      </c>
      <c r="CB176" s="3"/>
      <c r="CC176" s="3" t="s">
        <v>121</v>
      </c>
      <c r="CD176" s="3">
        <v>186</v>
      </c>
      <c r="CE176" s="3" t="s">
        <v>90</v>
      </c>
      <c r="CF176" s="3"/>
      <c r="CG176" s="3"/>
      <c r="CH176" s="3"/>
      <c r="CI176" s="8">
        <v>2</v>
      </c>
      <c r="CJ176" s="8">
        <v>2</v>
      </c>
      <c r="CK176" s="8">
        <v>41</v>
      </c>
      <c r="CL176" s="3" t="s">
        <v>85</v>
      </c>
      <c r="CM176" s="3"/>
      <c r="CN176" s="3"/>
    </row>
    <row r="177" spans="1:92" x14ac:dyDescent="0.3">
      <c r="A177" s="3" t="s">
        <v>72</v>
      </c>
      <c r="B177" s="3" t="s">
        <v>73</v>
      </c>
      <c r="C177" s="3" t="s">
        <v>74</v>
      </c>
      <c r="D177" s="3"/>
      <c r="E177" s="11" t="str">
        <f>"009942558819"</f>
        <v>009942558819</v>
      </c>
      <c r="F177" s="4">
        <v>44799</v>
      </c>
      <c r="G177" s="3">
        <v>202305</v>
      </c>
      <c r="H177" s="3" t="s">
        <v>79</v>
      </c>
      <c r="I177" s="3" t="s">
        <v>80</v>
      </c>
      <c r="J177" s="3" t="s">
        <v>94</v>
      </c>
      <c r="K177" s="3" t="s">
        <v>78</v>
      </c>
      <c r="L177" s="3" t="s">
        <v>79</v>
      </c>
      <c r="M177" s="3" t="s">
        <v>80</v>
      </c>
      <c r="N177" s="3" t="s">
        <v>93</v>
      </c>
      <c r="O177" s="3" t="s">
        <v>109</v>
      </c>
      <c r="P177" s="3" t="str">
        <f>"INV185413                     "</f>
        <v xml:space="preserve">INV185413                     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24.32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1</v>
      </c>
      <c r="BI177" s="3">
        <v>0.7</v>
      </c>
      <c r="BJ177" s="3">
        <v>2.2000000000000002</v>
      </c>
      <c r="BK177" s="3">
        <v>3</v>
      </c>
      <c r="BL177" s="3">
        <v>58.34</v>
      </c>
      <c r="BM177" s="3">
        <v>8.75</v>
      </c>
      <c r="BN177" s="3">
        <v>67.09</v>
      </c>
      <c r="BO177" s="3">
        <v>67.09</v>
      </c>
      <c r="BP177" s="3"/>
      <c r="BQ177" s="3" t="s">
        <v>788</v>
      </c>
      <c r="BR177" s="3" t="s">
        <v>96</v>
      </c>
      <c r="BS177" s="4">
        <v>44802</v>
      </c>
      <c r="BT177" s="5">
        <v>0.4236111111111111</v>
      </c>
      <c r="BU177" s="3" t="s">
        <v>789</v>
      </c>
      <c r="BV177" s="3" t="s">
        <v>99</v>
      </c>
      <c r="BW177" s="3"/>
      <c r="BX177" s="3"/>
      <c r="BY177" s="3">
        <v>11189.64</v>
      </c>
      <c r="BZ177" s="3" t="s">
        <v>424</v>
      </c>
      <c r="CA177" s="3" t="s">
        <v>89</v>
      </c>
      <c r="CB177" s="3"/>
      <c r="CC177" s="3" t="s">
        <v>80</v>
      </c>
      <c r="CD177" s="3">
        <v>7975</v>
      </c>
      <c r="CE177" s="3" t="s">
        <v>90</v>
      </c>
      <c r="CF177" s="4">
        <v>44803</v>
      </c>
      <c r="CG177" s="3"/>
      <c r="CH177" s="3"/>
      <c r="CI177" s="8">
        <v>1</v>
      </c>
      <c r="CJ177" s="8">
        <v>1</v>
      </c>
      <c r="CK177" s="8">
        <v>32</v>
      </c>
      <c r="CL177" s="3" t="s">
        <v>85</v>
      </c>
      <c r="CM177" s="3"/>
      <c r="CN177" s="3"/>
    </row>
    <row r="178" spans="1:92" x14ac:dyDescent="0.3">
      <c r="A178" s="3" t="s">
        <v>72</v>
      </c>
      <c r="B178" s="3" t="s">
        <v>73</v>
      </c>
      <c r="C178" s="3" t="s">
        <v>74</v>
      </c>
      <c r="D178" s="3"/>
      <c r="E178" s="11" t="str">
        <f>"009942558818"</f>
        <v>009942558818</v>
      </c>
      <c r="F178" s="4">
        <v>44799</v>
      </c>
      <c r="G178" s="3">
        <v>202305</v>
      </c>
      <c r="H178" s="3" t="s">
        <v>79</v>
      </c>
      <c r="I178" s="3" t="s">
        <v>80</v>
      </c>
      <c r="J178" s="3" t="s">
        <v>94</v>
      </c>
      <c r="K178" s="3" t="s">
        <v>78</v>
      </c>
      <c r="L178" s="3" t="s">
        <v>332</v>
      </c>
      <c r="M178" s="3" t="s">
        <v>333</v>
      </c>
      <c r="N178" s="3" t="s">
        <v>93</v>
      </c>
      <c r="O178" s="3" t="s">
        <v>109</v>
      </c>
      <c r="P178" s="3" t="str">
        <f>"INV185412                     "</f>
        <v xml:space="preserve">INV185412                     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58.37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1</v>
      </c>
      <c r="BI178" s="3">
        <v>0.4</v>
      </c>
      <c r="BJ178" s="3">
        <v>1.1000000000000001</v>
      </c>
      <c r="BK178" s="3">
        <v>2</v>
      </c>
      <c r="BL178" s="3">
        <v>140.01</v>
      </c>
      <c r="BM178" s="3">
        <v>21</v>
      </c>
      <c r="BN178" s="3">
        <v>161.01</v>
      </c>
      <c r="BO178" s="3">
        <v>161.01</v>
      </c>
      <c r="BP178" s="3"/>
      <c r="BQ178" s="3" t="s">
        <v>790</v>
      </c>
      <c r="BR178" s="3" t="s">
        <v>96</v>
      </c>
      <c r="BS178" s="4">
        <v>44802</v>
      </c>
      <c r="BT178" s="5">
        <v>0.34791666666666665</v>
      </c>
      <c r="BU178" s="3" t="s">
        <v>791</v>
      </c>
      <c r="BV178" s="3" t="s">
        <v>99</v>
      </c>
      <c r="BW178" s="3"/>
      <c r="BX178" s="3"/>
      <c r="BY178" s="3">
        <v>5390.28</v>
      </c>
      <c r="BZ178" s="3" t="s">
        <v>408</v>
      </c>
      <c r="CA178" s="3" t="s">
        <v>792</v>
      </c>
      <c r="CB178" s="3"/>
      <c r="CC178" s="3" t="s">
        <v>333</v>
      </c>
      <c r="CD178" s="3">
        <v>1501</v>
      </c>
      <c r="CE178" s="3" t="s">
        <v>90</v>
      </c>
      <c r="CF178" s="4">
        <v>44803</v>
      </c>
      <c r="CG178" s="3"/>
      <c r="CH178" s="3"/>
      <c r="CI178" s="8">
        <v>1</v>
      </c>
      <c r="CJ178" s="8">
        <v>1</v>
      </c>
      <c r="CK178" s="8">
        <v>31</v>
      </c>
      <c r="CL178" s="3" t="s">
        <v>85</v>
      </c>
      <c r="CM178" s="3"/>
      <c r="CN178" s="3"/>
    </row>
    <row r="179" spans="1:92" x14ac:dyDescent="0.3">
      <c r="A179" s="3" t="s">
        <v>72</v>
      </c>
      <c r="B179" s="3" t="s">
        <v>73</v>
      </c>
      <c r="C179" s="3" t="s">
        <v>74</v>
      </c>
      <c r="D179" s="3"/>
      <c r="E179" s="11" t="str">
        <f>"009942558820"</f>
        <v>009942558820</v>
      </c>
      <c r="F179" s="4">
        <v>44799</v>
      </c>
      <c r="G179" s="3">
        <v>202305</v>
      </c>
      <c r="H179" s="3" t="s">
        <v>79</v>
      </c>
      <c r="I179" s="3" t="s">
        <v>80</v>
      </c>
      <c r="J179" s="3" t="s">
        <v>94</v>
      </c>
      <c r="K179" s="3" t="s">
        <v>78</v>
      </c>
      <c r="L179" s="3" t="s">
        <v>120</v>
      </c>
      <c r="M179" s="3" t="s">
        <v>121</v>
      </c>
      <c r="N179" s="3" t="s">
        <v>93</v>
      </c>
      <c r="O179" s="3" t="s">
        <v>109</v>
      </c>
      <c r="P179" s="3" t="str">
        <f>"INV185415                     "</f>
        <v xml:space="preserve">INV185415                     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58.37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1</v>
      </c>
      <c r="BI179" s="3">
        <v>0.1</v>
      </c>
      <c r="BJ179" s="3">
        <v>0.4</v>
      </c>
      <c r="BK179" s="3">
        <v>1</v>
      </c>
      <c r="BL179" s="3">
        <v>140.01</v>
      </c>
      <c r="BM179" s="3">
        <v>21</v>
      </c>
      <c r="BN179" s="3">
        <v>161.01</v>
      </c>
      <c r="BO179" s="3">
        <v>161.01</v>
      </c>
      <c r="BP179" s="3"/>
      <c r="BQ179" s="3" t="s">
        <v>793</v>
      </c>
      <c r="BR179" s="3" t="s">
        <v>96</v>
      </c>
      <c r="BS179" s="4">
        <v>44802</v>
      </c>
      <c r="BT179" s="5">
        <v>0.41666666666666669</v>
      </c>
      <c r="BU179" s="3" t="s">
        <v>794</v>
      </c>
      <c r="BV179" s="3" t="s">
        <v>99</v>
      </c>
      <c r="BW179" s="3"/>
      <c r="BX179" s="3"/>
      <c r="BY179" s="3">
        <v>2031.96</v>
      </c>
      <c r="BZ179" s="3" t="s">
        <v>408</v>
      </c>
      <c r="CA179" s="3" t="s">
        <v>795</v>
      </c>
      <c r="CB179" s="3"/>
      <c r="CC179" s="3" t="s">
        <v>121</v>
      </c>
      <c r="CD179" s="3">
        <v>1</v>
      </c>
      <c r="CE179" s="3" t="s">
        <v>90</v>
      </c>
      <c r="CF179" s="4">
        <v>44802</v>
      </c>
      <c r="CG179" s="3"/>
      <c r="CH179" s="3"/>
      <c r="CI179" s="8">
        <v>1</v>
      </c>
      <c r="CJ179" s="8">
        <v>1</v>
      </c>
      <c r="CK179" s="8">
        <v>31</v>
      </c>
      <c r="CL179" s="3" t="s">
        <v>85</v>
      </c>
      <c r="CM179" s="3"/>
      <c r="CN179" s="3"/>
    </row>
    <row r="180" spans="1:92" x14ac:dyDescent="0.3">
      <c r="A180" s="3" t="s">
        <v>72</v>
      </c>
      <c r="B180" s="3" t="s">
        <v>73</v>
      </c>
      <c r="C180" s="3" t="s">
        <v>74</v>
      </c>
      <c r="D180" s="3"/>
      <c r="E180" s="11" t="str">
        <f>"009942558829"</f>
        <v>009942558829</v>
      </c>
      <c r="F180" s="4">
        <v>44799</v>
      </c>
      <c r="G180" s="3">
        <v>202305</v>
      </c>
      <c r="H180" s="3" t="s">
        <v>79</v>
      </c>
      <c r="I180" s="3" t="s">
        <v>80</v>
      </c>
      <c r="J180" s="3" t="s">
        <v>94</v>
      </c>
      <c r="K180" s="3" t="s">
        <v>78</v>
      </c>
      <c r="L180" s="3" t="s">
        <v>439</v>
      </c>
      <c r="M180" s="3" t="s">
        <v>440</v>
      </c>
      <c r="N180" s="3" t="s">
        <v>93</v>
      </c>
      <c r="O180" s="3" t="s">
        <v>95</v>
      </c>
      <c r="P180" s="3" t="str">
        <f>"INV185433                     "</f>
        <v xml:space="preserve">INV185433                     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5.25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84.91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1</v>
      </c>
      <c r="BI180" s="3">
        <v>1.7</v>
      </c>
      <c r="BJ180" s="3">
        <v>6.6</v>
      </c>
      <c r="BK180" s="3">
        <v>7</v>
      </c>
      <c r="BL180" s="3">
        <v>208.91</v>
      </c>
      <c r="BM180" s="3">
        <v>31.34</v>
      </c>
      <c r="BN180" s="3">
        <v>240.25</v>
      </c>
      <c r="BO180" s="3">
        <v>240.25</v>
      </c>
      <c r="BP180" s="3"/>
      <c r="BQ180" s="3" t="s">
        <v>796</v>
      </c>
      <c r="BR180" s="3" t="s">
        <v>96</v>
      </c>
      <c r="BS180" s="4">
        <v>44802</v>
      </c>
      <c r="BT180" s="5">
        <v>0.55902777777777779</v>
      </c>
      <c r="BU180" s="3" t="s">
        <v>797</v>
      </c>
      <c r="BV180" s="3" t="s">
        <v>99</v>
      </c>
      <c r="BW180" s="3"/>
      <c r="BX180" s="3"/>
      <c r="BY180" s="3">
        <v>32887.800000000003</v>
      </c>
      <c r="BZ180" s="3" t="s">
        <v>408</v>
      </c>
      <c r="CA180" s="3"/>
      <c r="CB180" s="3"/>
      <c r="CC180" s="3" t="s">
        <v>440</v>
      </c>
      <c r="CD180" s="3">
        <v>4184</v>
      </c>
      <c r="CE180" s="3" t="s">
        <v>90</v>
      </c>
      <c r="CF180" s="3"/>
      <c r="CG180" s="3"/>
      <c r="CH180" s="3"/>
      <c r="CI180" s="8">
        <v>3</v>
      </c>
      <c r="CJ180" s="8">
        <v>1</v>
      </c>
      <c r="CK180" s="8">
        <v>43</v>
      </c>
      <c r="CL180" s="3" t="s">
        <v>85</v>
      </c>
      <c r="CM180" s="3"/>
      <c r="CN180" s="3"/>
    </row>
    <row r="181" spans="1:92" x14ac:dyDescent="0.3">
      <c r="A181" s="3" t="s">
        <v>72</v>
      </c>
      <c r="B181" s="3" t="s">
        <v>73</v>
      </c>
      <c r="C181" s="3" t="s">
        <v>74</v>
      </c>
      <c r="D181" s="3"/>
      <c r="E181" s="11" t="str">
        <f>"009942558824"</f>
        <v>009942558824</v>
      </c>
      <c r="F181" s="4">
        <v>44799</v>
      </c>
      <c r="G181" s="3">
        <v>202305</v>
      </c>
      <c r="H181" s="3" t="s">
        <v>79</v>
      </c>
      <c r="I181" s="3" t="s">
        <v>80</v>
      </c>
      <c r="J181" s="3" t="s">
        <v>94</v>
      </c>
      <c r="K181" s="3" t="s">
        <v>78</v>
      </c>
      <c r="L181" s="3" t="s">
        <v>120</v>
      </c>
      <c r="M181" s="3" t="s">
        <v>121</v>
      </c>
      <c r="N181" s="3" t="s">
        <v>93</v>
      </c>
      <c r="O181" s="3" t="s">
        <v>109</v>
      </c>
      <c r="P181" s="3" t="str">
        <f>"MARIUS                        "</f>
        <v xml:space="preserve">MARIUS                        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58.37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1</v>
      </c>
      <c r="BI181" s="3">
        <v>0.1</v>
      </c>
      <c r="BJ181" s="3">
        <v>0.9</v>
      </c>
      <c r="BK181" s="3">
        <v>1</v>
      </c>
      <c r="BL181" s="3">
        <v>140.01</v>
      </c>
      <c r="BM181" s="3">
        <v>21</v>
      </c>
      <c r="BN181" s="3">
        <v>161.01</v>
      </c>
      <c r="BO181" s="3">
        <v>161.01</v>
      </c>
      <c r="BP181" s="3"/>
      <c r="BQ181" s="3" t="s">
        <v>748</v>
      </c>
      <c r="BR181" s="3" t="s">
        <v>96</v>
      </c>
      <c r="BS181" s="4">
        <v>44802</v>
      </c>
      <c r="BT181" s="5">
        <v>0.39861111111111108</v>
      </c>
      <c r="BU181" s="3" t="s">
        <v>798</v>
      </c>
      <c r="BV181" s="3" t="s">
        <v>99</v>
      </c>
      <c r="BW181" s="3"/>
      <c r="BX181" s="3"/>
      <c r="BY181" s="3">
        <v>4487.76</v>
      </c>
      <c r="BZ181" s="3" t="s">
        <v>408</v>
      </c>
      <c r="CA181" s="3" t="s">
        <v>124</v>
      </c>
      <c r="CB181" s="3"/>
      <c r="CC181" s="3" t="s">
        <v>121</v>
      </c>
      <c r="CD181" s="3">
        <v>181</v>
      </c>
      <c r="CE181" s="3" t="s">
        <v>90</v>
      </c>
      <c r="CF181" s="4">
        <v>44802</v>
      </c>
      <c r="CG181" s="3"/>
      <c r="CH181" s="3"/>
      <c r="CI181" s="8">
        <v>1</v>
      </c>
      <c r="CJ181" s="8">
        <v>1</v>
      </c>
      <c r="CK181" s="8">
        <v>31</v>
      </c>
      <c r="CL181" s="3" t="s">
        <v>85</v>
      </c>
      <c r="CM181" s="3"/>
      <c r="CN181" s="3"/>
    </row>
    <row r="182" spans="1:92" x14ac:dyDescent="0.3">
      <c r="A182" s="3" t="s">
        <v>72</v>
      </c>
      <c r="B182" s="3" t="s">
        <v>73</v>
      </c>
      <c r="C182" s="3" t="s">
        <v>74</v>
      </c>
      <c r="D182" s="3"/>
      <c r="E182" s="11" t="str">
        <f>"009942558821"</f>
        <v>009942558821</v>
      </c>
      <c r="F182" s="4">
        <v>44799</v>
      </c>
      <c r="G182" s="3">
        <v>202305</v>
      </c>
      <c r="H182" s="3" t="s">
        <v>79</v>
      </c>
      <c r="I182" s="3" t="s">
        <v>80</v>
      </c>
      <c r="J182" s="3" t="s">
        <v>94</v>
      </c>
      <c r="K182" s="3" t="s">
        <v>78</v>
      </c>
      <c r="L182" s="3" t="s">
        <v>703</v>
      </c>
      <c r="M182" s="3" t="s">
        <v>704</v>
      </c>
      <c r="N182" s="3" t="s">
        <v>93</v>
      </c>
      <c r="O182" s="3" t="s">
        <v>95</v>
      </c>
      <c r="P182" s="3" t="str">
        <f>"INV185416                     "</f>
        <v xml:space="preserve">INV185416                     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5.25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84.91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1</v>
      </c>
      <c r="BI182" s="3">
        <v>3.4</v>
      </c>
      <c r="BJ182" s="3">
        <v>11.4</v>
      </c>
      <c r="BK182" s="3">
        <v>12</v>
      </c>
      <c r="BL182" s="3">
        <v>208.91</v>
      </c>
      <c r="BM182" s="3">
        <v>31.34</v>
      </c>
      <c r="BN182" s="3">
        <v>240.25</v>
      </c>
      <c r="BO182" s="3">
        <v>240.25</v>
      </c>
      <c r="BP182" s="3"/>
      <c r="BQ182" s="3" t="s">
        <v>799</v>
      </c>
      <c r="BR182" s="3" t="s">
        <v>96</v>
      </c>
      <c r="BS182" s="4">
        <v>44802</v>
      </c>
      <c r="BT182" s="5">
        <v>0.72638888888888886</v>
      </c>
      <c r="BU182" s="3" t="s">
        <v>800</v>
      </c>
      <c r="BV182" s="3" t="s">
        <v>99</v>
      </c>
      <c r="BW182" s="3"/>
      <c r="BX182" s="3"/>
      <c r="BY182" s="3">
        <v>56824.32</v>
      </c>
      <c r="BZ182" s="3" t="s">
        <v>408</v>
      </c>
      <c r="CA182" s="3" t="s">
        <v>707</v>
      </c>
      <c r="CB182" s="3"/>
      <c r="CC182" s="3" t="s">
        <v>704</v>
      </c>
      <c r="CD182" s="3">
        <v>6312</v>
      </c>
      <c r="CE182" s="3" t="s">
        <v>90</v>
      </c>
      <c r="CF182" s="4">
        <v>44802</v>
      </c>
      <c r="CG182" s="3"/>
      <c r="CH182" s="3"/>
      <c r="CI182" s="8">
        <v>3</v>
      </c>
      <c r="CJ182" s="8">
        <v>1</v>
      </c>
      <c r="CK182" s="8">
        <v>43</v>
      </c>
      <c r="CL182" s="3" t="s">
        <v>85</v>
      </c>
      <c r="CM182" s="3"/>
      <c r="CN182" s="3"/>
    </row>
    <row r="183" spans="1:92" x14ac:dyDescent="0.3">
      <c r="A183" s="3" t="s">
        <v>72</v>
      </c>
      <c r="B183" s="3" t="s">
        <v>73</v>
      </c>
      <c r="C183" s="3" t="s">
        <v>74</v>
      </c>
      <c r="D183" s="3"/>
      <c r="E183" s="11" t="str">
        <f>"009942558822"</f>
        <v>009942558822</v>
      </c>
      <c r="F183" s="4">
        <v>44799</v>
      </c>
      <c r="G183" s="3">
        <v>202305</v>
      </c>
      <c r="H183" s="3" t="s">
        <v>79</v>
      </c>
      <c r="I183" s="3" t="s">
        <v>80</v>
      </c>
      <c r="J183" s="3" t="s">
        <v>94</v>
      </c>
      <c r="K183" s="3" t="s">
        <v>78</v>
      </c>
      <c r="L183" s="3" t="s">
        <v>107</v>
      </c>
      <c r="M183" s="3" t="s">
        <v>108</v>
      </c>
      <c r="N183" s="3" t="s">
        <v>801</v>
      </c>
      <c r="O183" s="3" t="s">
        <v>109</v>
      </c>
      <c r="P183" s="3" t="str">
        <f>"INV185418                     "</f>
        <v xml:space="preserve">INV185418                     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58.37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1</v>
      </c>
      <c r="BI183" s="3">
        <v>0.3</v>
      </c>
      <c r="BJ183" s="3">
        <v>0.6</v>
      </c>
      <c r="BK183" s="3">
        <v>1</v>
      </c>
      <c r="BL183" s="3">
        <v>140.01</v>
      </c>
      <c r="BM183" s="3">
        <v>21</v>
      </c>
      <c r="BN183" s="3">
        <v>161.01</v>
      </c>
      <c r="BO183" s="3">
        <v>161.01</v>
      </c>
      <c r="BP183" s="3"/>
      <c r="BQ183" s="3" t="s">
        <v>802</v>
      </c>
      <c r="BR183" s="3" t="s">
        <v>96</v>
      </c>
      <c r="BS183" s="4">
        <v>44802</v>
      </c>
      <c r="BT183" s="5">
        <v>0.55555555555555558</v>
      </c>
      <c r="BU183" s="3" t="s">
        <v>679</v>
      </c>
      <c r="BV183" s="3" t="s">
        <v>85</v>
      </c>
      <c r="BW183" s="3" t="s">
        <v>236</v>
      </c>
      <c r="BX183" s="3" t="s">
        <v>350</v>
      </c>
      <c r="BY183" s="3">
        <v>3210.3</v>
      </c>
      <c r="BZ183" s="3" t="s">
        <v>408</v>
      </c>
      <c r="CA183" s="3" t="s">
        <v>803</v>
      </c>
      <c r="CB183" s="3"/>
      <c r="CC183" s="3" t="s">
        <v>108</v>
      </c>
      <c r="CD183" s="3">
        <v>1682</v>
      </c>
      <c r="CE183" s="3" t="s">
        <v>90</v>
      </c>
      <c r="CF183" s="4">
        <v>44803</v>
      </c>
      <c r="CG183" s="3"/>
      <c r="CH183" s="3"/>
      <c r="CI183" s="8">
        <v>1</v>
      </c>
      <c r="CJ183" s="8">
        <v>1</v>
      </c>
      <c r="CK183" s="8">
        <v>31</v>
      </c>
      <c r="CL183" s="3" t="s">
        <v>85</v>
      </c>
      <c r="CM183" s="3"/>
      <c r="CN183" s="3"/>
    </row>
    <row r="184" spans="1:92" x14ac:dyDescent="0.3">
      <c r="A184" s="3" t="s">
        <v>72</v>
      </c>
      <c r="B184" s="3" t="s">
        <v>73</v>
      </c>
      <c r="C184" s="3" t="s">
        <v>74</v>
      </c>
      <c r="D184" s="3"/>
      <c r="E184" s="11" t="str">
        <f>"009942558830"</f>
        <v>009942558830</v>
      </c>
      <c r="F184" s="4">
        <v>44799</v>
      </c>
      <c r="G184" s="3">
        <v>202305</v>
      </c>
      <c r="H184" s="3" t="s">
        <v>79</v>
      </c>
      <c r="I184" s="3" t="s">
        <v>80</v>
      </c>
      <c r="J184" s="3" t="s">
        <v>94</v>
      </c>
      <c r="K184" s="3" t="s">
        <v>78</v>
      </c>
      <c r="L184" s="3" t="s">
        <v>618</v>
      </c>
      <c r="M184" s="3" t="s">
        <v>619</v>
      </c>
      <c r="N184" s="3" t="s">
        <v>93</v>
      </c>
      <c r="O184" s="3" t="s">
        <v>109</v>
      </c>
      <c r="P184" s="3" t="str">
        <f>"INV185419                     "</f>
        <v xml:space="preserve">INV185419                     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58.37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15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1</v>
      </c>
      <c r="BI184" s="3">
        <v>0.1</v>
      </c>
      <c r="BJ184" s="3">
        <v>1</v>
      </c>
      <c r="BK184" s="3">
        <v>1</v>
      </c>
      <c r="BL184" s="3">
        <v>155.01</v>
      </c>
      <c r="BM184" s="3">
        <v>23.25</v>
      </c>
      <c r="BN184" s="3">
        <v>178.26</v>
      </c>
      <c r="BO184" s="3">
        <v>178.26</v>
      </c>
      <c r="BP184" s="3"/>
      <c r="BQ184" s="3" t="s">
        <v>804</v>
      </c>
      <c r="BR184" s="3" t="s">
        <v>96</v>
      </c>
      <c r="BS184" s="4">
        <v>44802</v>
      </c>
      <c r="BT184" s="5">
        <v>0.47083333333333338</v>
      </c>
      <c r="BU184" s="3" t="s">
        <v>805</v>
      </c>
      <c r="BV184" s="3" t="s">
        <v>99</v>
      </c>
      <c r="BW184" s="3"/>
      <c r="BX184" s="3"/>
      <c r="BY184" s="3">
        <v>5088.05</v>
      </c>
      <c r="BZ184" s="3" t="s">
        <v>474</v>
      </c>
      <c r="CA184" s="3" t="s">
        <v>806</v>
      </c>
      <c r="CB184" s="3"/>
      <c r="CC184" s="3" t="s">
        <v>619</v>
      </c>
      <c r="CD184" s="3">
        <v>1685</v>
      </c>
      <c r="CE184" s="3" t="s">
        <v>90</v>
      </c>
      <c r="CF184" s="4">
        <v>44803</v>
      </c>
      <c r="CG184" s="3"/>
      <c r="CH184" s="3"/>
      <c r="CI184" s="8">
        <v>1</v>
      </c>
      <c r="CJ184" s="8">
        <v>1</v>
      </c>
      <c r="CK184" s="8">
        <v>31</v>
      </c>
      <c r="CL184" s="3" t="s">
        <v>85</v>
      </c>
      <c r="CM184" s="3"/>
      <c r="CN184" s="3"/>
    </row>
    <row r="185" spans="1:92" x14ac:dyDescent="0.3">
      <c r="A185" s="3" t="s">
        <v>72</v>
      </c>
      <c r="B185" s="3" t="s">
        <v>73</v>
      </c>
      <c r="C185" s="3" t="s">
        <v>74</v>
      </c>
      <c r="D185" s="3"/>
      <c r="E185" s="11" t="str">
        <f>"009942358029"</f>
        <v>009942358029</v>
      </c>
      <c r="F185" s="4">
        <v>44783</v>
      </c>
      <c r="G185" s="3">
        <v>202305</v>
      </c>
      <c r="H185" s="3" t="s">
        <v>79</v>
      </c>
      <c r="I185" s="3" t="s">
        <v>80</v>
      </c>
      <c r="J185" s="3" t="s">
        <v>192</v>
      </c>
      <c r="K185" s="3" t="s">
        <v>78</v>
      </c>
      <c r="L185" s="3" t="s">
        <v>681</v>
      </c>
      <c r="M185" s="3" t="s">
        <v>682</v>
      </c>
      <c r="N185" s="3" t="s">
        <v>93</v>
      </c>
      <c r="O185" s="3" t="s">
        <v>95</v>
      </c>
      <c r="P185" s="3" t="str">
        <f>"                              "</f>
        <v xml:space="preserve">                              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15</v>
      </c>
      <c r="AB185" s="3">
        <v>0</v>
      </c>
      <c r="AC185" s="3">
        <v>0</v>
      </c>
      <c r="AD185" s="3">
        <v>0</v>
      </c>
      <c r="AE185" s="3">
        <v>5.25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367.01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1</v>
      </c>
      <c r="BI185" s="3">
        <v>25</v>
      </c>
      <c r="BJ185" s="3">
        <v>80</v>
      </c>
      <c r="BK185" s="3">
        <v>80</v>
      </c>
      <c r="BL185" s="3">
        <v>900.56</v>
      </c>
      <c r="BM185" s="3">
        <v>135.08000000000001</v>
      </c>
      <c r="BN185" s="3">
        <v>1035.6400000000001</v>
      </c>
      <c r="BO185" s="3">
        <v>1035.6400000000001</v>
      </c>
      <c r="BP185" s="3" t="s">
        <v>807</v>
      </c>
      <c r="BQ185" s="3" t="s">
        <v>808</v>
      </c>
      <c r="BR185" s="3" t="s">
        <v>197</v>
      </c>
      <c r="BS185" s="4">
        <v>44784</v>
      </c>
      <c r="BT185" s="5">
        <v>0.66666666666666663</v>
      </c>
      <c r="BU185" s="3" t="s">
        <v>809</v>
      </c>
      <c r="BV185" s="3" t="s">
        <v>99</v>
      </c>
      <c r="BW185" s="3"/>
      <c r="BX185" s="3"/>
      <c r="BY185" s="3">
        <v>400000</v>
      </c>
      <c r="BZ185" s="3" t="s">
        <v>810</v>
      </c>
      <c r="CA185" s="3" t="s">
        <v>738</v>
      </c>
      <c r="CB185" s="3"/>
      <c r="CC185" s="3" t="s">
        <v>682</v>
      </c>
      <c r="CD185" s="3">
        <v>6503</v>
      </c>
      <c r="CE185" s="3" t="s">
        <v>90</v>
      </c>
      <c r="CF185" s="4">
        <v>44788</v>
      </c>
      <c r="CG185" s="3"/>
      <c r="CH185" s="3"/>
      <c r="CI185" s="8">
        <v>1</v>
      </c>
      <c r="CJ185" s="8">
        <v>1</v>
      </c>
      <c r="CK185" s="8">
        <v>43</v>
      </c>
      <c r="CL185" s="3" t="s">
        <v>85</v>
      </c>
      <c r="CM185" s="3"/>
      <c r="CN185" s="3"/>
    </row>
    <row r="186" spans="1:92" x14ac:dyDescent="0.3">
      <c r="A186" s="3" t="s">
        <v>72</v>
      </c>
      <c r="B186" s="3" t="s">
        <v>73</v>
      </c>
      <c r="C186" s="3" t="s">
        <v>74</v>
      </c>
      <c r="D186" s="3"/>
      <c r="E186" s="11" t="str">
        <f>"009942558836"</f>
        <v>009942558836</v>
      </c>
      <c r="F186" s="4">
        <v>44802</v>
      </c>
      <c r="G186" s="3">
        <v>202305</v>
      </c>
      <c r="H186" s="3" t="s">
        <v>79</v>
      </c>
      <c r="I186" s="3" t="s">
        <v>80</v>
      </c>
      <c r="J186" s="3" t="s">
        <v>94</v>
      </c>
      <c r="K186" s="3" t="s">
        <v>78</v>
      </c>
      <c r="L186" s="3" t="s">
        <v>296</v>
      </c>
      <c r="M186" s="3" t="s">
        <v>297</v>
      </c>
      <c r="N186" s="3" t="s">
        <v>93</v>
      </c>
      <c r="O186" s="3" t="s">
        <v>109</v>
      </c>
      <c r="P186" s="3" t="str">
        <f>"INV185529                     "</f>
        <v xml:space="preserve">INV185529                     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43.79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1</v>
      </c>
      <c r="BI186" s="3">
        <v>0.1</v>
      </c>
      <c r="BJ186" s="3">
        <v>0.9</v>
      </c>
      <c r="BK186" s="3">
        <v>1</v>
      </c>
      <c r="BL186" s="3">
        <v>105.03</v>
      </c>
      <c r="BM186" s="3">
        <v>15.75</v>
      </c>
      <c r="BN186" s="3">
        <v>120.78</v>
      </c>
      <c r="BO186" s="3">
        <v>120.78</v>
      </c>
      <c r="BP186" s="3"/>
      <c r="BQ186" s="3" t="s">
        <v>811</v>
      </c>
      <c r="BR186" s="3" t="s">
        <v>96</v>
      </c>
      <c r="BS186" s="3" t="s">
        <v>426</v>
      </c>
      <c r="BT186" s="3"/>
      <c r="BU186" s="3"/>
      <c r="BV186" s="3"/>
      <c r="BW186" s="3" t="s">
        <v>293</v>
      </c>
      <c r="BX186" s="3" t="s">
        <v>294</v>
      </c>
      <c r="BY186" s="3">
        <v>4567.5</v>
      </c>
      <c r="BZ186" s="3" t="s">
        <v>408</v>
      </c>
      <c r="CA186" s="3"/>
      <c r="CB186" s="3"/>
      <c r="CC186" s="3" t="s">
        <v>297</v>
      </c>
      <c r="CD186" s="3">
        <v>7130</v>
      </c>
      <c r="CE186" s="3" t="s">
        <v>90</v>
      </c>
      <c r="CF186" s="3"/>
      <c r="CG186" s="3"/>
      <c r="CH186" s="3"/>
      <c r="CI186" s="8">
        <v>1</v>
      </c>
      <c r="CJ186" s="8" t="s">
        <v>426</v>
      </c>
      <c r="CK186" s="8">
        <v>34</v>
      </c>
      <c r="CL186" s="3" t="s">
        <v>85</v>
      </c>
      <c r="CM186" s="3"/>
      <c r="CN186" s="3"/>
    </row>
    <row r="187" spans="1:92" x14ac:dyDescent="0.3">
      <c r="A187" s="3" t="s">
        <v>72</v>
      </c>
      <c r="B187" s="3" t="s">
        <v>73</v>
      </c>
      <c r="C187" s="3" t="s">
        <v>74</v>
      </c>
      <c r="D187" s="3"/>
      <c r="E187" s="11" t="str">
        <f>"009942558837"</f>
        <v>009942558837</v>
      </c>
      <c r="F187" s="4">
        <v>44802</v>
      </c>
      <c r="G187" s="3">
        <v>202305</v>
      </c>
      <c r="H187" s="3" t="s">
        <v>79</v>
      </c>
      <c r="I187" s="3" t="s">
        <v>80</v>
      </c>
      <c r="J187" s="3" t="s">
        <v>94</v>
      </c>
      <c r="K187" s="3" t="s">
        <v>78</v>
      </c>
      <c r="L187" s="3" t="s">
        <v>107</v>
      </c>
      <c r="M187" s="3" t="s">
        <v>108</v>
      </c>
      <c r="N187" s="3" t="s">
        <v>93</v>
      </c>
      <c r="O187" s="3" t="s">
        <v>109</v>
      </c>
      <c r="P187" s="3" t="str">
        <f>"INV185527                     "</f>
        <v xml:space="preserve">INV185527                     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58.37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1</v>
      </c>
      <c r="BI187" s="3">
        <v>0.3</v>
      </c>
      <c r="BJ187" s="3">
        <v>1.1000000000000001</v>
      </c>
      <c r="BK187" s="3">
        <v>2</v>
      </c>
      <c r="BL187" s="3">
        <v>140.01</v>
      </c>
      <c r="BM187" s="3">
        <v>21</v>
      </c>
      <c r="BN187" s="3">
        <v>161.01</v>
      </c>
      <c r="BO187" s="3">
        <v>161.01</v>
      </c>
      <c r="BP187" s="3"/>
      <c r="BQ187" s="3" t="s">
        <v>812</v>
      </c>
      <c r="BR187" s="3" t="s">
        <v>96</v>
      </c>
      <c r="BS187" s="4">
        <v>44803</v>
      </c>
      <c r="BT187" s="5">
        <v>0.40208333333333335</v>
      </c>
      <c r="BU187" s="3" t="s">
        <v>813</v>
      </c>
      <c r="BV187" s="3" t="s">
        <v>99</v>
      </c>
      <c r="BW187" s="3"/>
      <c r="BX187" s="3"/>
      <c r="BY187" s="3">
        <v>5538.98</v>
      </c>
      <c r="BZ187" s="3" t="s">
        <v>408</v>
      </c>
      <c r="CA187" s="3" t="s">
        <v>504</v>
      </c>
      <c r="CB187" s="3"/>
      <c r="CC187" s="3" t="s">
        <v>108</v>
      </c>
      <c r="CD187" s="3">
        <v>1692</v>
      </c>
      <c r="CE187" s="3" t="s">
        <v>90</v>
      </c>
      <c r="CF187" s="4">
        <v>44804</v>
      </c>
      <c r="CG187" s="3"/>
      <c r="CH187" s="3"/>
      <c r="CI187" s="8">
        <v>1</v>
      </c>
      <c r="CJ187" s="8">
        <v>1</v>
      </c>
      <c r="CK187" s="8">
        <v>31</v>
      </c>
      <c r="CL187" s="3" t="s">
        <v>85</v>
      </c>
      <c r="CM187" s="3"/>
      <c r="CN187" s="3"/>
    </row>
    <row r="188" spans="1:92" x14ac:dyDescent="0.3">
      <c r="A188" s="3" t="s">
        <v>72</v>
      </c>
      <c r="B188" s="3" t="s">
        <v>73</v>
      </c>
      <c r="C188" s="3" t="s">
        <v>74</v>
      </c>
      <c r="D188" s="3"/>
      <c r="E188" s="11" t="str">
        <f>"009942558839"</f>
        <v>009942558839</v>
      </c>
      <c r="F188" s="4">
        <v>44802</v>
      </c>
      <c r="G188" s="3">
        <v>202305</v>
      </c>
      <c r="H188" s="3" t="s">
        <v>79</v>
      </c>
      <c r="I188" s="3" t="s">
        <v>80</v>
      </c>
      <c r="J188" s="3" t="s">
        <v>94</v>
      </c>
      <c r="K188" s="3" t="s">
        <v>78</v>
      </c>
      <c r="L188" s="3" t="s">
        <v>296</v>
      </c>
      <c r="M188" s="3" t="s">
        <v>297</v>
      </c>
      <c r="N188" s="3" t="s">
        <v>93</v>
      </c>
      <c r="O188" s="3" t="s">
        <v>109</v>
      </c>
      <c r="P188" s="3" t="str">
        <f>"INV185526                     "</f>
        <v xml:space="preserve">INV185526                     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162.06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1</v>
      </c>
      <c r="BI188" s="3">
        <v>1.3</v>
      </c>
      <c r="BJ188" s="3">
        <v>12.1</v>
      </c>
      <c r="BK188" s="3">
        <v>13</v>
      </c>
      <c r="BL188" s="3">
        <v>388.72</v>
      </c>
      <c r="BM188" s="3">
        <v>58.31</v>
      </c>
      <c r="BN188" s="3">
        <v>447.03</v>
      </c>
      <c r="BO188" s="3">
        <v>447.03</v>
      </c>
      <c r="BP188" s="3"/>
      <c r="BQ188" s="3" t="s">
        <v>814</v>
      </c>
      <c r="BR188" s="3" t="s">
        <v>96</v>
      </c>
      <c r="BS188" s="4">
        <v>44803</v>
      </c>
      <c r="BT188" s="5">
        <v>0.47500000000000003</v>
      </c>
      <c r="BU188" s="3" t="s">
        <v>815</v>
      </c>
      <c r="BV188" s="3" t="s">
        <v>99</v>
      </c>
      <c r="BW188" s="3"/>
      <c r="BX188" s="3"/>
      <c r="BY188" s="3">
        <v>60270</v>
      </c>
      <c r="BZ188" s="3" t="s">
        <v>408</v>
      </c>
      <c r="CA188" s="3" t="s">
        <v>816</v>
      </c>
      <c r="CB188" s="3"/>
      <c r="CC188" s="3" t="s">
        <v>297</v>
      </c>
      <c r="CD188" s="3">
        <v>7130</v>
      </c>
      <c r="CE188" s="3" t="s">
        <v>90</v>
      </c>
      <c r="CF188" s="3"/>
      <c r="CG188" s="3"/>
      <c r="CH188" s="3"/>
      <c r="CI188" s="8">
        <v>1</v>
      </c>
      <c r="CJ188" s="8">
        <v>1</v>
      </c>
      <c r="CK188" s="8">
        <v>34</v>
      </c>
      <c r="CL188" s="3" t="s">
        <v>85</v>
      </c>
      <c r="CM188" s="3"/>
      <c r="CN188" s="3"/>
    </row>
    <row r="189" spans="1:92" x14ac:dyDescent="0.3">
      <c r="A189" s="3" t="s">
        <v>72</v>
      </c>
      <c r="B189" s="3" t="s">
        <v>73</v>
      </c>
      <c r="C189" s="3" t="s">
        <v>74</v>
      </c>
      <c r="D189" s="3"/>
      <c r="E189" s="11" t="str">
        <f>"009942558835"</f>
        <v>009942558835</v>
      </c>
      <c r="F189" s="4">
        <v>44802</v>
      </c>
      <c r="G189" s="3">
        <v>202305</v>
      </c>
      <c r="H189" s="3" t="s">
        <v>79</v>
      </c>
      <c r="I189" s="3" t="s">
        <v>80</v>
      </c>
      <c r="J189" s="3" t="s">
        <v>94</v>
      </c>
      <c r="K189" s="3" t="s">
        <v>78</v>
      </c>
      <c r="L189" s="3" t="s">
        <v>79</v>
      </c>
      <c r="M189" s="3" t="s">
        <v>80</v>
      </c>
      <c r="N189" s="3" t="s">
        <v>93</v>
      </c>
      <c r="O189" s="3" t="s">
        <v>95</v>
      </c>
      <c r="P189" s="3" t="str">
        <f>"INV185534                     "</f>
        <v xml:space="preserve">INV185534                     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5.25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46.45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1</v>
      </c>
      <c r="BI189" s="3">
        <v>0.2</v>
      </c>
      <c r="BJ189" s="3">
        <v>3.2</v>
      </c>
      <c r="BK189" s="3">
        <v>4</v>
      </c>
      <c r="BL189" s="3">
        <v>116.67</v>
      </c>
      <c r="BM189" s="3">
        <v>17.5</v>
      </c>
      <c r="BN189" s="3">
        <v>134.16999999999999</v>
      </c>
      <c r="BO189" s="3">
        <v>134.16999999999999</v>
      </c>
      <c r="BP189" s="3"/>
      <c r="BQ189" s="3" t="s">
        <v>602</v>
      </c>
      <c r="BR189" s="3" t="s">
        <v>96</v>
      </c>
      <c r="BS189" s="4">
        <v>44803</v>
      </c>
      <c r="BT189" s="5">
        <v>0.62708333333333333</v>
      </c>
      <c r="BU189" s="3" t="s">
        <v>817</v>
      </c>
      <c r="BV189" s="3" t="s">
        <v>99</v>
      </c>
      <c r="BW189" s="3"/>
      <c r="BX189" s="3"/>
      <c r="BY189" s="3">
        <v>16084.64</v>
      </c>
      <c r="BZ189" s="3" t="s">
        <v>408</v>
      </c>
      <c r="CA189" s="3" t="s">
        <v>324</v>
      </c>
      <c r="CB189" s="3"/>
      <c r="CC189" s="3" t="s">
        <v>80</v>
      </c>
      <c r="CD189" s="3">
        <v>7966</v>
      </c>
      <c r="CE189" s="3" t="s">
        <v>90</v>
      </c>
      <c r="CF189" s="3"/>
      <c r="CG189" s="3"/>
      <c r="CH189" s="3"/>
      <c r="CI189" s="8">
        <v>1</v>
      </c>
      <c r="CJ189" s="8">
        <v>1</v>
      </c>
      <c r="CK189" s="8">
        <v>42</v>
      </c>
      <c r="CL189" s="3" t="s">
        <v>85</v>
      </c>
      <c r="CM189" s="3"/>
      <c r="CN189" s="3"/>
    </row>
    <row r="190" spans="1:92" x14ac:dyDescent="0.3">
      <c r="A190" s="3" t="s">
        <v>72</v>
      </c>
      <c r="B190" s="3" t="s">
        <v>73</v>
      </c>
      <c r="C190" s="3" t="s">
        <v>74</v>
      </c>
      <c r="D190" s="3"/>
      <c r="E190" s="11" t="str">
        <f>"009942558832"</f>
        <v>009942558832</v>
      </c>
      <c r="F190" s="4">
        <v>44802</v>
      </c>
      <c r="G190" s="3">
        <v>202305</v>
      </c>
      <c r="H190" s="3" t="s">
        <v>79</v>
      </c>
      <c r="I190" s="3" t="s">
        <v>80</v>
      </c>
      <c r="J190" s="3" t="s">
        <v>94</v>
      </c>
      <c r="K190" s="3" t="s">
        <v>78</v>
      </c>
      <c r="L190" s="3" t="s">
        <v>404</v>
      </c>
      <c r="M190" s="3" t="s">
        <v>405</v>
      </c>
      <c r="N190" s="3" t="s">
        <v>818</v>
      </c>
      <c r="O190" s="3" t="s">
        <v>109</v>
      </c>
      <c r="P190" s="3" t="str">
        <f>"INV185545                     "</f>
        <v xml:space="preserve">INV185545                     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58.37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1</v>
      </c>
      <c r="BI190" s="3">
        <v>0.1</v>
      </c>
      <c r="BJ190" s="3">
        <v>1</v>
      </c>
      <c r="BK190" s="3">
        <v>1</v>
      </c>
      <c r="BL190" s="3">
        <v>140.01</v>
      </c>
      <c r="BM190" s="3">
        <v>21</v>
      </c>
      <c r="BN190" s="3">
        <v>161.01</v>
      </c>
      <c r="BO190" s="3">
        <v>161.01</v>
      </c>
      <c r="BP190" s="3"/>
      <c r="BQ190" s="3" t="s">
        <v>819</v>
      </c>
      <c r="BR190" s="3" t="s">
        <v>96</v>
      </c>
      <c r="BS190" s="4">
        <v>44803</v>
      </c>
      <c r="BT190" s="5">
        <v>0.3840277777777778</v>
      </c>
      <c r="BU190" s="3" t="s">
        <v>820</v>
      </c>
      <c r="BV190" s="3" t="s">
        <v>99</v>
      </c>
      <c r="BW190" s="3"/>
      <c r="BX190" s="3"/>
      <c r="BY190" s="3">
        <v>5063</v>
      </c>
      <c r="BZ190" s="3" t="s">
        <v>408</v>
      </c>
      <c r="CA190" s="3" t="s">
        <v>347</v>
      </c>
      <c r="CB190" s="3"/>
      <c r="CC190" s="3" t="s">
        <v>405</v>
      </c>
      <c r="CD190" s="3">
        <v>157</v>
      </c>
      <c r="CE190" s="3" t="s">
        <v>90</v>
      </c>
      <c r="CF190" s="4">
        <v>44803</v>
      </c>
      <c r="CG190" s="3"/>
      <c r="CH190" s="3"/>
      <c r="CI190" s="8">
        <v>1</v>
      </c>
      <c r="CJ190" s="8">
        <v>1</v>
      </c>
      <c r="CK190" s="8">
        <v>31</v>
      </c>
      <c r="CL190" s="3" t="s">
        <v>85</v>
      </c>
      <c r="CM190" s="3"/>
      <c r="CN190" s="3"/>
    </row>
    <row r="191" spans="1:92" x14ac:dyDescent="0.3">
      <c r="A191" s="3" t="s">
        <v>72</v>
      </c>
      <c r="B191" s="3" t="s">
        <v>73</v>
      </c>
      <c r="C191" s="3" t="s">
        <v>74</v>
      </c>
      <c r="D191" s="3"/>
      <c r="E191" s="11" t="str">
        <f>"009942558826"</f>
        <v>009942558826</v>
      </c>
      <c r="F191" s="4">
        <v>44802</v>
      </c>
      <c r="G191" s="3">
        <v>202305</v>
      </c>
      <c r="H191" s="3" t="s">
        <v>79</v>
      </c>
      <c r="I191" s="3" t="s">
        <v>80</v>
      </c>
      <c r="J191" s="3" t="s">
        <v>94</v>
      </c>
      <c r="K191" s="3" t="s">
        <v>78</v>
      </c>
      <c r="L191" s="3" t="s">
        <v>79</v>
      </c>
      <c r="M191" s="3" t="s">
        <v>80</v>
      </c>
      <c r="N191" s="3" t="s">
        <v>821</v>
      </c>
      <c r="O191" s="3" t="s">
        <v>109</v>
      </c>
      <c r="P191" s="3" t="str">
        <f>"INV185441                     "</f>
        <v xml:space="preserve">INV185441                     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24.32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1</v>
      </c>
      <c r="BI191" s="3">
        <v>0.3</v>
      </c>
      <c r="BJ191" s="3">
        <v>0.8</v>
      </c>
      <c r="BK191" s="3">
        <v>1</v>
      </c>
      <c r="BL191" s="3">
        <v>58.34</v>
      </c>
      <c r="BM191" s="3">
        <v>8.75</v>
      </c>
      <c r="BN191" s="3">
        <v>67.09</v>
      </c>
      <c r="BO191" s="3">
        <v>67.09</v>
      </c>
      <c r="BP191" s="3"/>
      <c r="BQ191" s="3" t="s">
        <v>822</v>
      </c>
      <c r="BR191" s="3" t="s">
        <v>96</v>
      </c>
      <c r="BS191" s="4">
        <v>44803</v>
      </c>
      <c r="BT191" s="5">
        <v>0.42222222222222222</v>
      </c>
      <c r="BU191" s="3" t="s">
        <v>823</v>
      </c>
      <c r="BV191" s="3" t="s">
        <v>99</v>
      </c>
      <c r="BW191" s="3"/>
      <c r="BX191" s="3"/>
      <c r="BY191" s="3">
        <v>4024.24</v>
      </c>
      <c r="BZ191" s="3" t="s">
        <v>408</v>
      </c>
      <c r="CA191" s="3" t="s">
        <v>241</v>
      </c>
      <c r="CB191" s="3"/>
      <c r="CC191" s="3" t="s">
        <v>80</v>
      </c>
      <c r="CD191" s="3">
        <v>7441</v>
      </c>
      <c r="CE191" s="3" t="s">
        <v>90</v>
      </c>
      <c r="CF191" s="3"/>
      <c r="CG191" s="3"/>
      <c r="CH191" s="3"/>
      <c r="CI191" s="8">
        <v>1</v>
      </c>
      <c r="CJ191" s="8">
        <v>1</v>
      </c>
      <c r="CK191" s="8">
        <v>32</v>
      </c>
      <c r="CL191" s="3" t="s">
        <v>85</v>
      </c>
      <c r="CM191" s="3"/>
      <c r="CN191" s="3"/>
    </row>
    <row r="192" spans="1:92" x14ac:dyDescent="0.3">
      <c r="A192" s="3" t="s">
        <v>72</v>
      </c>
      <c r="B192" s="3" t="s">
        <v>73</v>
      </c>
      <c r="C192" s="3" t="s">
        <v>74</v>
      </c>
      <c r="D192" s="3"/>
      <c r="E192" s="11" t="str">
        <f>"009942558827"</f>
        <v>009942558827</v>
      </c>
      <c r="F192" s="4">
        <v>44802</v>
      </c>
      <c r="G192" s="3">
        <v>202305</v>
      </c>
      <c r="H192" s="3" t="s">
        <v>79</v>
      </c>
      <c r="I192" s="3" t="s">
        <v>80</v>
      </c>
      <c r="J192" s="3" t="s">
        <v>94</v>
      </c>
      <c r="K192" s="3" t="s">
        <v>78</v>
      </c>
      <c r="L192" s="3" t="s">
        <v>824</v>
      </c>
      <c r="M192" s="3" t="s">
        <v>825</v>
      </c>
      <c r="N192" s="3" t="s">
        <v>93</v>
      </c>
      <c r="O192" s="3" t="s">
        <v>95</v>
      </c>
      <c r="P192" s="3" t="str">
        <f>"INV185414                     "</f>
        <v xml:space="preserve">INV185414                     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5.25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84.91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1</v>
      </c>
      <c r="BI192" s="3">
        <v>0.3</v>
      </c>
      <c r="BJ192" s="3">
        <v>0.7</v>
      </c>
      <c r="BK192" s="3">
        <v>1</v>
      </c>
      <c r="BL192" s="3">
        <v>208.91</v>
      </c>
      <c r="BM192" s="3">
        <v>31.34</v>
      </c>
      <c r="BN192" s="3">
        <v>240.25</v>
      </c>
      <c r="BO192" s="3">
        <v>240.25</v>
      </c>
      <c r="BP192" s="3"/>
      <c r="BQ192" s="3" t="s">
        <v>826</v>
      </c>
      <c r="BR192" s="3" t="s">
        <v>96</v>
      </c>
      <c r="BS192" s="3" t="s">
        <v>426</v>
      </c>
      <c r="BT192" s="3"/>
      <c r="BU192" s="3"/>
      <c r="BV192" s="3"/>
      <c r="BW192" s="3"/>
      <c r="BX192" s="3"/>
      <c r="BY192" s="3">
        <v>3714.06</v>
      </c>
      <c r="BZ192" s="3" t="s">
        <v>408</v>
      </c>
      <c r="CA192" s="3"/>
      <c r="CB192" s="3"/>
      <c r="CC192" s="3" t="s">
        <v>825</v>
      </c>
      <c r="CD192" s="3">
        <v>1389</v>
      </c>
      <c r="CE192" s="3" t="s">
        <v>90</v>
      </c>
      <c r="CF192" s="3"/>
      <c r="CG192" s="3"/>
      <c r="CH192" s="3"/>
      <c r="CI192" s="8">
        <v>3</v>
      </c>
      <c r="CJ192" s="8" t="s">
        <v>426</v>
      </c>
      <c r="CK192" s="8">
        <v>43</v>
      </c>
      <c r="CL192" s="3" t="s">
        <v>85</v>
      </c>
      <c r="CM192" s="3"/>
      <c r="CN192" s="3"/>
    </row>
    <row r="193" spans="1:92" x14ac:dyDescent="0.3">
      <c r="A193" s="3" t="s">
        <v>72</v>
      </c>
      <c r="B193" s="3" t="s">
        <v>73</v>
      </c>
      <c r="C193" s="3" t="s">
        <v>74</v>
      </c>
      <c r="D193" s="3"/>
      <c r="E193" s="11" t="str">
        <f>"009942558833"</f>
        <v>009942558833</v>
      </c>
      <c r="F193" s="4">
        <v>44802</v>
      </c>
      <c r="G193" s="3">
        <v>202305</v>
      </c>
      <c r="H193" s="3" t="s">
        <v>79</v>
      </c>
      <c r="I193" s="3" t="s">
        <v>80</v>
      </c>
      <c r="J193" s="3" t="s">
        <v>94</v>
      </c>
      <c r="K193" s="3" t="s">
        <v>78</v>
      </c>
      <c r="L193" s="3" t="s">
        <v>492</v>
      </c>
      <c r="M193" s="3" t="s">
        <v>493</v>
      </c>
      <c r="N193" s="3" t="s">
        <v>827</v>
      </c>
      <c r="O193" s="3" t="s">
        <v>95</v>
      </c>
      <c r="P193" s="3" t="str">
        <f>"INV185544                     "</f>
        <v xml:space="preserve">INV185544                     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5.25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60.2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1</v>
      </c>
      <c r="BI193" s="3">
        <v>1.4</v>
      </c>
      <c r="BJ193" s="3">
        <v>6.7</v>
      </c>
      <c r="BK193" s="3">
        <v>7</v>
      </c>
      <c r="BL193" s="3">
        <v>149.65</v>
      </c>
      <c r="BM193" s="3">
        <v>22.45</v>
      </c>
      <c r="BN193" s="3">
        <v>172.1</v>
      </c>
      <c r="BO193" s="3">
        <v>172.1</v>
      </c>
      <c r="BP193" s="3"/>
      <c r="BQ193" s="3" t="s">
        <v>828</v>
      </c>
      <c r="BR193" s="3" t="s">
        <v>96</v>
      </c>
      <c r="BS193" s="3" t="s">
        <v>426</v>
      </c>
      <c r="BT193" s="3"/>
      <c r="BU193" s="3"/>
      <c r="BV193" s="3"/>
      <c r="BW193" s="3"/>
      <c r="BX193" s="3"/>
      <c r="BY193" s="3">
        <v>33397.5</v>
      </c>
      <c r="BZ193" s="3" t="s">
        <v>408</v>
      </c>
      <c r="CA193" s="3"/>
      <c r="CB193" s="3"/>
      <c r="CC193" s="3" t="s">
        <v>493</v>
      </c>
      <c r="CD193" s="3">
        <v>699</v>
      </c>
      <c r="CE193" s="3" t="s">
        <v>90</v>
      </c>
      <c r="CF193" s="3"/>
      <c r="CG193" s="3"/>
      <c r="CH193" s="3"/>
      <c r="CI193" s="8">
        <v>3</v>
      </c>
      <c r="CJ193" s="8" t="s">
        <v>426</v>
      </c>
      <c r="CK193" s="8">
        <v>41</v>
      </c>
      <c r="CL193" s="3" t="s">
        <v>85</v>
      </c>
      <c r="CM193" s="3"/>
      <c r="CN193" s="3"/>
    </row>
    <row r="194" spans="1:92" x14ac:dyDescent="0.3">
      <c r="A194" s="3" t="s">
        <v>72</v>
      </c>
      <c r="B194" s="3" t="s">
        <v>73</v>
      </c>
      <c r="C194" s="3" t="s">
        <v>74</v>
      </c>
      <c r="D194" s="3"/>
      <c r="E194" s="11" t="str">
        <f>"009942558834"</f>
        <v>009942558834</v>
      </c>
      <c r="F194" s="4">
        <v>44802</v>
      </c>
      <c r="G194" s="3">
        <v>202305</v>
      </c>
      <c r="H194" s="3" t="s">
        <v>79</v>
      </c>
      <c r="I194" s="3" t="s">
        <v>80</v>
      </c>
      <c r="J194" s="3" t="s">
        <v>94</v>
      </c>
      <c r="K194" s="3" t="s">
        <v>78</v>
      </c>
      <c r="L194" s="3" t="s">
        <v>125</v>
      </c>
      <c r="M194" s="3" t="s">
        <v>126</v>
      </c>
      <c r="N194" s="3" t="s">
        <v>93</v>
      </c>
      <c r="O194" s="3" t="s">
        <v>95</v>
      </c>
      <c r="P194" s="3" t="str">
        <f>"INV185543                     "</f>
        <v xml:space="preserve">INV185543                     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5.25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60.2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1</v>
      </c>
      <c r="BI194" s="3">
        <v>2.8</v>
      </c>
      <c r="BJ194" s="3">
        <v>12.3</v>
      </c>
      <c r="BK194" s="3">
        <v>13</v>
      </c>
      <c r="BL194" s="3">
        <v>149.65</v>
      </c>
      <c r="BM194" s="3">
        <v>22.45</v>
      </c>
      <c r="BN194" s="3">
        <v>172.1</v>
      </c>
      <c r="BO194" s="3">
        <v>172.1</v>
      </c>
      <c r="BP194" s="3"/>
      <c r="BQ194" s="3" t="s">
        <v>829</v>
      </c>
      <c r="BR194" s="3" t="s">
        <v>96</v>
      </c>
      <c r="BS194" s="3" t="s">
        <v>426</v>
      </c>
      <c r="BT194" s="3"/>
      <c r="BU194" s="3"/>
      <c r="BV194" s="3"/>
      <c r="BW194" s="3"/>
      <c r="BX194" s="3"/>
      <c r="BY194" s="3">
        <v>61738.559999999998</v>
      </c>
      <c r="BZ194" s="3" t="s">
        <v>408</v>
      </c>
      <c r="CA194" s="3"/>
      <c r="CB194" s="3"/>
      <c r="CC194" s="3" t="s">
        <v>126</v>
      </c>
      <c r="CD194" s="3">
        <v>2091</v>
      </c>
      <c r="CE194" s="3" t="s">
        <v>90</v>
      </c>
      <c r="CF194" s="3"/>
      <c r="CG194" s="3"/>
      <c r="CH194" s="3"/>
      <c r="CI194" s="8">
        <v>2</v>
      </c>
      <c r="CJ194" s="8" t="s">
        <v>426</v>
      </c>
      <c r="CK194" s="8">
        <v>41</v>
      </c>
      <c r="CL194" s="3" t="s">
        <v>85</v>
      </c>
      <c r="CM194" s="3"/>
      <c r="CN194" s="3"/>
    </row>
    <row r="195" spans="1:92" x14ac:dyDescent="0.3">
      <c r="A195" s="3" t="s">
        <v>72</v>
      </c>
      <c r="B195" s="3" t="s">
        <v>73</v>
      </c>
      <c r="C195" s="3" t="s">
        <v>74</v>
      </c>
      <c r="D195" s="3"/>
      <c r="E195" s="11" t="str">
        <f>"009942558838"</f>
        <v>009942558838</v>
      </c>
      <c r="F195" s="4">
        <v>44802</v>
      </c>
      <c r="G195" s="3">
        <v>202305</v>
      </c>
      <c r="H195" s="3" t="s">
        <v>79</v>
      </c>
      <c r="I195" s="3" t="s">
        <v>80</v>
      </c>
      <c r="J195" s="3" t="s">
        <v>94</v>
      </c>
      <c r="K195" s="3" t="s">
        <v>78</v>
      </c>
      <c r="L195" s="3" t="s">
        <v>125</v>
      </c>
      <c r="M195" s="3" t="s">
        <v>126</v>
      </c>
      <c r="N195" s="3" t="s">
        <v>93</v>
      </c>
      <c r="O195" s="3" t="s">
        <v>109</v>
      </c>
      <c r="P195" s="3" t="str">
        <f>"INV185531                     "</f>
        <v xml:space="preserve">INV185531                     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58.37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1</v>
      </c>
      <c r="BI195" s="3">
        <v>0.6</v>
      </c>
      <c r="BJ195" s="3">
        <v>3</v>
      </c>
      <c r="BK195" s="3">
        <v>3</v>
      </c>
      <c r="BL195" s="3">
        <v>140.01</v>
      </c>
      <c r="BM195" s="3">
        <v>21</v>
      </c>
      <c r="BN195" s="3">
        <v>161.01</v>
      </c>
      <c r="BO195" s="3">
        <v>161.01</v>
      </c>
      <c r="BP195" s="3"/>
      <c r="BQ195" s="3" t="s">
        <v>830</v>
      </c>
      <c r="BR195" s="3" t="s">
        <v>96</v>
      </c>
      <c r="BS195" s="4">
        <v>44803</v>
      </c>
      <c r="BT195" s="5">
        <v>0.50694444444444442</v>
      </c>
      <c r="BU195" s="3" t="s">
        <v>831</v>
      </c>
      <c r="BV195" s="3" t="s">
        <v>99</v>
      </c>
      <c r="BW195" s="3"/>
      <c r="BX195" s="3"/>
      <c r="BY195" s="3">
        <v>15047.04</v>
      </c>
      <c r="BZ195" s="3" t="s">
        <v>408</v>
      </c>
      <c r="CA195" s="3" t="s">
        <v>351</v>
      </c>
      <c r="CB195" s="3"/>
      <c r="CC195" s="3" t="s">
        <v>126</v>
      </c>
      <c r="CD195" s="3">
        <v>2195</v>
      </c>
      <c r="CE195" s="3" t="s">
        <v>90</v>
      </c>
      <c r="CF195" s="4">
        <v>44803</v>
      </c>
      <c r="CG195" s="3"/>
      <c r="CH195" s="3"/>
      <c r="CI195" s="8">
        <v>1</v>
      </c>
      <c r="CJ195" s="8">
        <v>1</v>
      </c>
      <c r="CK195" s="8">
        <v>31</v>
      </c>
      <c r="CL195" s="3" t="s">
        <v>85</v>
      </c>
      <c r="CM195" s="3"/>
      <c r="CN195" s="3"/>
    </row>
    <row r="196" spans="1:92" x14ac:dyDescent="0.3">
      <c r="A196" s="3" t="s">
        <v>72</v>
      </c>
      <c r="B196" s="3" t="s">
        <v>73</v>
      </c>
      <c r="C196" s="3" t="s">
        <v>74</v>
      </c>
      <c r="D196" s="3"/>
      <c r="E196" s="11" t="str">
        <f>"009942558831"</f>
        <v>009942558831</v>
      </c>
      <c r="F196" s="4">
        <v>44802</v>
      </c>
      <c r="G196" s="3">
        <v>202305</v>
      </c>
      <c r="H196" s="3" t="s">
        <v>79</v>
      </c>
      <c r="I196" s="3" t="s">
        <v>80</v>
      </c>
      <c r="J196" s="3" t="s">
        <v>94</v>
      </c>
      <c r="K196" s="3" t="s">
        <v>78</v>
      </c>
      <c r="L196" s="3" t="s">
        <v>228</v>
      </c>
      <c r="M196" s="3" t="s">
        <v>229</v>
      </c>
      <c r="N196" s="3" t="s">
        <v>93</v>
      </c>
      <c r="O196" s="3" t="s">
        <v>109</v>
      </c>
      <c r="P196" s="3" t="str">
        <f>"REPLACEMENT                   "</f>
        <v xml:space="preserve">REPLACEMENT                   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189.71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1</v>
      </c>
      <c r="BI196" s="3">
        <v>2.9</v>
      </c>
      <c r="BJ196" s="3">
        <v>12.9</v>
      </c>
      <c r="BK196" s="3">
        <v>13</v>
      </c>
      <c r="BL196" s="3">
        <v>455.04</v>
      </c>
      <c r="BM196" s="3">
        <v>68.260000000000005</v>
      </c>
      <c r="BN196" s="3">
        <v>523.29999999999995</v>
      </c>
      <c r="BO196" s="3">
        <v>523.29999999999995</v>
      </c>
      <c r="BP196" s="3"/>
      <c r="BQ196" s="3" t="s">
        <v>832</v>
      </c>
      <c r="BR196" s="3" t="s">
        <v>96</v>
      </c>
      <c r="BS196" s="4">
        <v>44803</v>
      </c>
      <c r="BT196" s="5">
        <v>0.41388888888888892</v>
      </c>
      <c r="BU196" s="3" t="s">
        <v>833</v>
      </c>
      <c r="BV196" s="3" t="s">
        <v>99</v>
      </c>
      <c r="BW196" s="3"/>
      <c r="BX196" s="3"/>
      <c r="BY196" s="3">
        <v>64621.2</v>
      </c>
      <c r="BZ196" s="3" t="s">
        <v>408</v>
      </c>
      <c r="CA196" s="3" t="s">
        <v>711</v>
      </c>
      <c r="CB196" s="3"/>
      <c r="CC196" s="3" t="s">
        <v>229</v>
      </c>
      <c r="CD196" s="3">
        <v>2194</v>
      </c>
      <c r="CE196" s="3" t="s">
        <v>90</v>
      </c>
      <c r="CF196" s="4">
        <v>44803</v>
      </c>
      <c r="CG196" s="3"/>
      <c r="CH196" s="3"/>
      <c r="CI196" s="8">
        <v>1</v>
      </c>
      <c r="CJ196" s="8">
        <v>1</v>
      </c>
      <c r="CK196" s="8">
        <v>31</v>
      </c>
      <c r="CL196" s="3" t="s">
        <v>85</v>
      </c>
      <c r="CM196" s="3"/>
      <c r="CN196" s="3"/>
    </row>
    <row r="197" spans="1:92" x14ac:dyDescent="0.3">
      <c r="A197" s="3" t="s">
        <v>72</v>
      </c>
      <c r="B197" s="3" t="s">
        <v>73</v>
      </c>
      <c r="C197" s="3" t="s">
        <v>74</v>
      </c>
      <c r="D197" s="3"/>
      <c r="E197" s="11" t="str">
        <f>"009942558828"</f>
        <v>009942558828</v>
      </c>
      <c r="F197" s="4">
        <v>44802</v>
      </c>
      <c r="G197" s="3">
        <v>202305</v>
      </c>
      <c r="H197" s="3" t="s">
        <v>79</v>
      </c>
      <c r="I197" s="3" t="s">
        <v>80</v>
      </c>
      <c r="J197" s="3" t="s">
        <v>94</v>
      </c>
      <c r="K197" s="3" t="s">
        <v>78</v>
      </c>
      <c r="L197" s="3" t="s">
        <v>153</v>
      </c>
      <c r="M197" s="3" t="s">
        <v>154</v>
      </c>
      <c r="N197" s="3" t="s">
        <v>93</v>
      </c>
      <c r="O197" s="3" t="s">
        <v>95</v>
      </c>
      <c r="P197" s="3" t="str">
        <f>"INV185547                     "</f>
        <v xml:space="preserve">INV185547                     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5.25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60.2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1</v>
      </c>
      <c r="BI197" s="3">
        <v>2.8</v>
      </c>
      <c r="BJ197" s="3">
        <v>11.1</v>
      </c>
      <c r="BK197" s="3">
        <v>12</v>
      </c>
      <c r="BL197" s="3">
        <v>149.65</v>
      </c>
      <c r="BM197" s="3">
        <v>22.45</v>
      </c>
      <c r="BN197" s="3">
        <v>172.1</v>
      </c>
      <c r="BO197" s="3">
        <v>172.1</v>
      </c>
      <c r="BP197" s="3" t="s">
        <v>834</v>
      </c>
      <c r="BQ197" s="3" t="s">
        <v>835</v>
      </c>
      <c r="BR197" s="3" t="s">
        <v>96</v>
      </c>
      <c r="BS197" s="3" t="s">
        <v>426</v>
      </c>
      <c r="BT197" s="3"/>
      <c r="BU197" s="3"/>
      <c r="BV197" s="3"/>
      <c r="BW197" s="3"/>
      <c r="BX197" s="3"/>
      <c r="BY197" s="3">
        <v>55317.599999999999</v>
      </c>
      <c r="BZ197" s="3" t="s">
        <v>408</v>
      </c>
      <c r="CA197" s="3"/>
      <c r="CB197" s="3"/>
      <c r="CC197" s="3" t="s">
        <v>154</v>
      </c>
      <c r="CD197" s="3">
        <v>1619</v>
      </c>
      <c r="CE197" s="3" t="s">
        <v>90</v>
      </c>
      <c r="CF197" s="3"/>
      <c r="CG197" s="3"/>
      <c r="CH197" s="3"/>
      <c r="CI197" s="8">
        <v>2</v>
      </c>
      <c r="CJ197" s="8" t="s">
        <v>426</v>
      </c>
      <c r="CK197" s="8">
        <v>41</v>
      </c>
      <c r="CL197" s="3" t="s">
        <v>85</v>
      </c>
      <c r="CM197" s="3"/>
      <c r="CN197" s="3"/>
    </row>
    <row r="198" spans="1:92" x14ac:dyDescent="0.3">
      <c r="A198" s="3" t="s">
        <v>72</v>
      </c>
      <c r="B198" s="3" t="s">
        <v>73</v>
      </c>
      <c r="C198" s="3" t="s">
        <v>74</v>
      </c>
      <c r="D198" s="3"/>
      <c r="E198" s="11" t="str">
        <f>"009942358042"</f>
        <v>009942358042</v>
      </c>
      <c r="F198" s="4">
        <v>44798</v>
      </c>
      <c r="G198" s="3">
        <v>202305</v>
      </c>
      <c r="H198" s="3" t="s">
        <v>79</v>
      </c>
      <c r="I198" s="3" t="s">
        <v>80</v>
      </c>
      <c r="J198" s="3" t="s">
        <v>192</v>
      </c>
      <c r="K198" s="3" t="s">
        <v>78</v>
      </c>
      <c r="L198" s="3" t="s">
        <v>395</v>
      </c>
      <c r="M198" s="3" t="s">
        <v>396</v>
      </c>
      <c r="N198" s="3" t="s">
        <v>836</v>
      </c>
      <c r="O198" s="3" t="s">
        <v>95</v>
      </c>
      <c r="P198" s="3" t="str">
        <f>"JOB:11779                     "</f>
        <v xml:space="preserve">JOB:11779                     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15</v>
      </c>
      <c r="AB198" s="3">
        <v>0</v>
      </c>
      <c r="AC198" s="3">
        <v>0</v>
      </c>
      <c r="AD198" s="3">
        <v>0</v>
      </c>
      <c r="AE198" s="3">
        <v>5.25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60.2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1</v>
      </c>
      <c r="BI198" s="3">
        <v>4</v>
      </c>
      <c r="BJ198" s="3">
        <v>2.4</v>
      </c>
      <c r="BK198" s="3">
        <v>4</v>
      </c>
      <c r="BL198" s="3">
        <v>164.65</v>
      </c>
      <c r="BM198" s="3">
        <v>24.7</v>
      </c>
      <c r="BN198" s="3">
        <v>189.35</v>
      </c>
      <c r="BO198" s="3">
        <v>189.35</v>
      </c>
      <c r="BP198" s="3"/>
      <c r="BQ198" s="3" t="s">
        <v>103</v>
      </c>
      <c r="BR198" s="3" t="s">
        <v>197</v>
      </c>
      <c r="BS198" s="3" t="s">
        <v>426</v>
      </c>
      <c r="BT198" s="3"/>
      <c r="BU198" s="3"/>
      <c r="BV198" s="3"/>
      <c r="BW198" s="3"/>
      <c r="BX198" s="3"/>
      <c r="BY198" s="3">
        <v>12000</v>
      </c>
      <c r="BZ198" s="3" t="s">
        <v>399</v>
      </c>
      <c r="CA198" s="3"/>
      <c r="CB198" s="3"/>
      <c r="CC198" s="3" t="s">
        <v>396</v>
      </c>
      <c r="CD198" s="3">
        <v>6025</v>
      </c>
      <c r="CE198" s="3" t="s">
        <v>90</v>
      </c>
      <c r="CF198" s="3"/>
      <c r="CG198" s="3"/>
      <c r="CH198" s="3"/>
      <c r="CI198" s="8">
        <v>2</v>
      </c>
      <c r="CJ198" s="8" t="s">
        <v>426</v>
      </c>
      <c r="CK198" s="8">
        <v>41</v>
      </c>
      <c r="CL198" s="3" t="s">
        <v>85</v>
      </c>
      <c r="CM198" s="3"/>
      <c r="CN198" s="3"/>
    </row>
    <row r="199" spans="1:92" x14ac:dyDescent="0.3">
      <c r="A199" s="3" t="s">
        <v>72</v>
      </c>
      <c r="B199" s="3" t="s">
        <v>73</v>
      </c>
      <c r="C199" s="3" t="s">
        <v>74</v>
      </c>
      <c r="D199" s="3"/>
      <c r="E199" s="11" t="str">
        <f>"009942558844"</f>
        <v>009942558844</v>
      </c>
      <c r="F199" s="4">
        <v>44803</v>
      </c>
      <c r="G199" s="3">
        <v>202305</v>
      </c>
      <c r="H199" s="3" t="s">
        <v>79</v>
      </c>
      <c r="I199" s="3" t="s">
        <v>80</v>
      </c>
      <c r="J199" s="3" t="s">
        <v>94</v>
      </c>
      <c r="K199" s="3" t="s">
        <v>78</v>
      </c>
      <c r="L199" s="3" t="s">
        <v>395</v>
      </c>
      <c r="M199" s="3" t="s">
        <v>396</v>
      </c>
      <c r="N199" s="3" t="s">
        <v>93</v>
      </c>
      <c r="O199" s="3" t="s">
        <v>109</v>
      </c>
      <c r="P199" s="3" t="str">
        <f>"INV185595                     "</f>
        <v xml:space="preserve">INV185595                     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87.56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1</v>
      </c>
      <c r="BI199" s="3">
        <v>1.8</v>
      </c>
      <c r="BJ199" s="3">
        <v>5.4</v>
      </c>
      <c r="BK199" s="3">
        <v>6</v>
      </c>
      <c r="BL199" s="3">
        <v>210.02</v>
      </c>
      <c r="BM199" s="3">
        <v>31.5</v>
      </c>
      <c r="BN199" s="3">
        <v>241.52</v>
      </c>
      <c r="BO199" s="3">
        <v>241.52</v>
      </c>
      <c r="BP199" s="3"/>
      <c r="BQ199" s="3" t="s">
        <v>837</v>
      </c>
      <c r="BR199" s="3" t="s">
        <v>96</v>
      </c>
      <c r="BS199" s="3" t="s">
        <v>426</v>
      </c>
      <c r="BT199" s="3"/>
      <c r="BU199" s="3"/>
      <c r="BV199" s="3"/>
      <c r="BW199" s="3"/>
      <c r="BX199" s="3"/>
      <c r="BY199" s="3">
        <v>26907.200000000001</v>
      </c>
      <c r="BZ199" s="3" t="s">
        <v>408</v>
      </c>
      <c r="CA199" s="3"/>
      <c r="CB199" s="3"/>
      <c r="CC199" s="3" t="s">
        <v>396</v>
      </c>
      <c r="CD199" s="3">
        <v>6000</v>
      </c>
      <c r="CE199" s="3" t="s">
        <v>90</v>
      </c>
      <c r="CF199" s="3"/>
      <c r="CG199" s="3"/>
      <c r="CH199" s="3"/>
      <c r="CI199" s="8">
        <v>1</v>
      </c>
      <c r="CJ199" s="8" t="s">
        <v>426</v>
      </c>
      <c r="CK199" s="8">
        <v>31</v>
      </c>
      <c r="CL199" s="3" t="s">
        <v>85</v>
      </c>
      <c r="CM199" s="3"/>
      <c r="CN199" s="3"/>
    </row>
    <row r="200" spans="1:92" x14ac:dyDescent="0.3">
      <c r="A200" s="3" t="s">
        <v>72</v>
      </c>
      <c r="B200" s="3" t="s">
        <v>73</v>
      </c>
      <c r="C200" s="3" t="s">
        <v>74</v>
      </c>
      <c r="D200" s="3"/>
      <c r="E200" s="11" t="str">
        <f>"009942558840"</f>
        <v>009942558840</v>
      </c>
      <c r="F200" s="4">
        <v>44803</v>
      </c>
      <c r="G200" s="3">
        <v>202305</v>
      </c>
      <c r="H200" s="3" t="s">
        <v>79</v>
      </c>
      <c r="I200" s="3" t="s">
        <v>80</v>
      </c>
      <c r="J200" s="3" t="s">
        <v>94</v>
      </c>
      <c r="K200" s="3" t="s">
        <v>78</v>
      </c>
      <c r="L200" s="3" t="s">
        <v>120</v>
      </c>
      <c r="M200" s="3" t="s">
        <v>121</v>
      </c>
      <c r="N200" s="3" t="s">
        <v>93</v>
      </c>
      <c r="O200" s="3" t="s">
        <v>109</v>
      </c>
      <c r="P200" s="3" t="str">
        <f>"INV185586                     "</f>
        <v xml:space="preserve">INV185586                     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116.75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1</v>
      </c>
      <c r="BI200" s="3">
        <v>1.9</v>
      </c>
      <c r="BJ200" s="3">
        <v>7.7</v>
      </c>
      <c r="BK200" s="3">
        <v>8</v>
      </c>
      <c r="BL200" s="3">
        <v>280.02999999999997</v>
      </c>
      <c r="BM200" s="3">
        <v>42</v>
      </c>
      <c r="BN200" s="3">
        <v>322.02999999999997</v>
      </c>
      <c r="BO200" s="3">
        <v>322.02999999999997</v>
      </c>
      <c r="BP200" s="3"/>
      <c r="BQ200" s="3" t="s">
        <v>838</v>
      </c>
      <c r="BR200" s="3" t="s">
        <v>96</v>
      </c>
      <c r="BS200" s="3" t="s">
        <v>426</v>
      </c>
      <c r="BT200" s="3"/>
      <c r="BU200" s="3"/>
      <c r="BV200" s="3"/>
      <c r="BW200" s="3"/>
      <c r="BX200" s="3"/>
      <c r="BY200" s="3">
        <v>38617.08</v>
      </c>
      <c r="BZ200" s="3" t="s">
        <v>408</v>
      </c>
      <c r="CA200" s="3"/>
      <c r="CB200" s="3"/>
      <c r="CC200" s="3" t="s">
        <v>121</v>
      </c>
      <c r="CD200" s="3">
        <v>181</v>
      </c>
      <c r="CE200" s="3" t="s">
        <v>90</v>
      </c>
      <c r="CF200" s="3"/>
      <c r="CG200" s="3"/>
      <c r="CH200" s="3"/>
      <c r="CI200" s="8">
        <v>1</v>
      </c>
      <c r="CJ200" s="8" t="s">
        <v>426</v>
      </c>
      <c r="CK200" s="8">
        <v>31</v>
      </c>
      <c r="CL200" s="3" t="s">
        <v>85</v>
      </c>
      <c r="CM200" s="3"/>
      <c r="CN200" s="3"/>
    </row>
    <row r="201" spans="1:92" x14ac:dyDescent="0.3">
      <c r="A201" s="3" t="s">
        <v>72</v>
      </c>
      <c r="B201" s="3" t="s">
        <v>73</v>
      </c>
      <c r="C201" s="3" t="s">
        <v>74</v>
      </c>
      <c r="D201" s="3"/>
      <c r="E201" s="11" t="str">
        <f>"009942558841"</f>
        <v>009942558841</v>
      </c>
      <c r="F201" s="4">
        <v>44803</v>
      </c>
      <c r="G201" s="3">
        <v>202305</v>
      </c>
      <c r="H201" s="3" t="s">
        <v>79</v>
      </c>
      <c r="I201" s="3" t="s">
        <v>80</v>
      </c>
      <c r="J201" s="3" t="s">
        <v>94</v>
      </c>
      <c r="K201" s="3" t="s">
        <v>78</v>
      </c>
      <c r="L201" s="3" t="s">
        <v>79</v>
      </c>
      <c r="M201" s="3" t="s">
        <v>80</v>
      </c>
      <c r="N201" s="3" t="s">
        <v>93</v>
      </c>
      <c r="O201" s="3" t="s">
        <v>95</v>
      </c>
      <c r="P201" s="3" t="str">
        <f>"INV185598                     "</f>
        <v xml:space="preserve">INV185598                     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5.25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51.89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1</v>
      </c>
      <c r="BI201" s="3">
        <v>4.0999999999999996</v>
      </c>
      <c r="BJ201" s="3">
        <v>18.7</v>
      </c>
      <c r="BK201" s="3">
        <v>19</v>
      </c>
      <c r="BL201" s="3">
        <v>129.71</v>
      </c>
      <c r="BM201" s="3">
        <v>19.46</v>
      </c>
      <c r="BN201" s="3">
        <v>149.16999999999999</v>
      </c>
      <c r="BO201" s="3">
        <v>149.16999999999999</v>
      </c>
      <c r="BP201" s="3"/>
      <c r="BQ201" s="3" t="s">
        <v>839</v>
      </c>
      <c r="BR201" s="3" t="s">
        <v>96</v>
      </c>
      <c r="BS201" s="3" t="s">
        <v>426</v>
      </c>
      <c r="BT201" s="3"/>
      <c r="BU201" s="3"/>
      <c r="BV201" s="3"/>
      <c r="BW201" s="3"/>
      <c r="BX201" s="3"/>
      <c r="BY201" s="3">
        <v>93478.6</v>
      </c>
      <c r="BZ201" s="3" t="s">
        <v>408</v>
      </c>
      <c r="CA201" s="3"/>
      <c r="CB201" s="3"/>
      <c r="CC201" s="3" t="s">
        <v>80</v>
      </c>
      <c r="CD201" s="3">
        <v>8001</v>
      </c>
      <c r="CE201" s="3" t="s">
        <v>90</v>
      </c>
      <c r="CF201" s="3"/>
      <c r="CG201" s="3"/>
      <c r="CH201" s="3"/>
      <c r="CI201" s="8">
        <v>1</v>
      </c>
      <c r="CJ201" s="8" t="s">
        <v>426</v>
      </c>
      <c r="CK201" s="8">
        <v>42</v>
      </c>
      <c r="CL201" s="3" t="s">
        <v>85</v>
      </c>
      <c r="CM201" s="3"/>
      <c r="CN201" s="3"/>
    </row>
    <row r="202" spans="1:92" x14ac:dyDescent="0.3">
      <c r="A202" s="3" t="s">
        <v>72</v>
      </c>
      <c r="B202" s="3" t="s">
        <v>73</v>
      </c>
      <c r="C202" s="3" t="s">
        <v>74</v>
      </c>
      <c r="D202" s="3"/>
      <c r="E202" s="11" t="str">
        <f>"009942558846"</f>
        <v>009942558846</v>
      </c>
      <c r="F202" s="4">
        <v>44803</v>
      </c>
      <c r="G202" s="3">
        <v>202305</v>
      </c>
      <c r="H202" s="3" t="s">
        <v>79</v>
      </c>
      <c r="I202" s="3" t="s">
        <v>80</v>
      </c>
      <c r="J202" s="3" t="s">
        <v>94</v>
      </c>
      <c r="K202" s="3" t="s">
        <v>78</v>
      </c>
      <c r="L202" s="3" t="s">
        <v>79</v>
      </c>
      <c r="M202" s="3" t="s">
        <v>80</v>
      </c>
      <c r="N202" s="3" t="s">
        <v>840</v>
      </c>
      <c r="O202" s="3" t="s">
        <v>109</v>
      </c>
      <c r="P202" s="3" t="str">
        <f>"INV185603                     "</f>
        <v xml:space="preserve">INV185603                     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24.32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1</v>
      </c>
      <c r="BI202" s="3">
        <v>1.7</v>
      </c>
      <c r="BJ202" s="3">
        <v>5.4</v>
      </c>
      <c r="BK202" s="3">
        <v>6</v>
      </c>
      <c r="BL202" s="3">
        <v>58.34</v>
      </c>
      <c r="BM202" s="3">
        <v>8.75</v>
      </c>
      <c r="BN202" s="3">
        <v>67.09</v>
      </c>
      <c r="BO202" s="3">
        <v>67.09</v>
      </c>
      <c r="BP202" s="3"/>
      <c r="BQ202" s="3" t="s">
        <v>841</v>
      </c>
      <c r="BR202" s="3" t="s">
        <v>96</v>
      </c>
      <c r="BS202" s="3" t="s">
        <v>426</v>
      </c>
      <c r="BT202" s="3"/>
      <c r="BU202" s="3"/>
      <c r="BV202" s="3"/>
      <c r="BW202" s="3"/>
      <c r="BX202" s="3"/>
      <c r="BY202" s="3">
        <v>26938.2</v>
      </c>
      <c r="BZ202" s="3" t="s">
        <v>408</v>
      </c>
      <c r="CA202" s="3"/>
      <c r="CB202" s="3"/>
      <c r="CC202" s="3" t="s">
        <v>80</v>
      </c>
      <c r="CD202" s="3">
        <v>8001</v>
      </c>
      <c r="CE202" s="3" t="s">
        <v>90</v>
      </c>
      <c r="CF202" s="3"/>
      <c r="CG202" s="3"/>
      <c r="CH202" s="3"/>
      <c r="CI202" s="8">
        <v>1</v>
      </c>
      <c r="CJ202" s="8" t="s">
        <v>426</v>
      </c>
      <c r="CK202" s="8">
        <v>32</v>
      </c>
      <c r="CL202" s="3" t="s">
        <v>85</v>
      </c>
      <c r="CM202" s="3"/>
      <c r="CN202" s="3"/>
    </row>
    <row r="203" spans="1:92" x14ac:dyDescent="0.3">
      <c r="A203" s="3" t="s">
        <v>72</v>
      </c>
      <c r="B203" s="3" t="s">
        <v>73</v>
      </c>
      <c r="C203" s="3" t="s">
        <v>74</v>
      </c>
      <c r="D203" s="3"/>
      <c r="E203" s="11" t="str">
        <f>"009942558847"</f>
        <v>009942558847</v>
      </c>
      <c r="F203" s="4">
        <v>44803</v>
      </c>
      <c r="G203" s="3">
        <v>202305</v>
      </c>
      <c r="H203" s="3" t="s">
        <v>79</v>
      </c>
      <c r="I203" s="3" t="s">
        <v>80</v>
      </c>
      <c r="J203" s="3" t="s">
        <v>94</v>
      </c>
      <c r="K203" s="3" t="s">
        <v>78</v>
      </c>
      <c r="L203" s="3" t="s">
        <v>842</v>
      </c>
      <c r="M203" s="3" t="s">
        <v>843</v>
      </c>
      <c r="N203" s="3" t="s">
        <v>93</v>
      </c>
      <c r="O203" s="3" t="s">
        <v>95</v>
      </c>
      <c r="P203" s="3" t="str">
        <f>"INV185623                     "</f>
        <v xml:space="preserve">INV185623                     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5.25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84.91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1</v>
      </c>
      <c r="BI203" s="3">
        <v>0.2</v>
      </c>
      <c r="BJ203" s="3">
        <v>0.8</v>
      </c>
      <c r="BK203" s="3">
        <v>1</v>
      </c>
      <c r="BL203" s="3">
        <v>208.91</v>
      </c>
      <c r="BM203" s="3">
        <v>31.34</v>
      </c>
      <c r="BN203" s="3">
        <v>240.25</v>
      </c>
      <c r="BO203" s="3">
        <v>240.25</v>
      </c>
      <c r="BP203" s="3"/>
      <c r="BQ203" s="3" t="s">
        <v>844</v>
      </c>
      <c r="BR203" s="3" t="s">
        <v>96</v>
      </c>
      <c r="BS203" s="3" t="s">
        <v>426</v>
      </c>
      <c r="BT203" s="3"/>
      <c r="BU203" s="3"/>
      <c r="BV203" s="3"/>
      <c r="BW203" s="3"/>
      <c r="BX203" s="3"/>
      <c r="BY203" s="3">
        <v>3859.2</v>
      </c>
      <c r="BZ203" s="3" t="s">
        <v>408</v>
      </c>
      <c r="CA203" s="3"/>
      <c r="CB203" s="3"/>
      <c r="CC203" s="3" t="s">
        <v>843</v>
      </c>
      <c r="CD203" s="3">
        <v>1947</v>
      </c>
      <c r="CE203" s="3" t="s">
        <v>90</v>
      </c>
      <c r="CF203" s="3"/>
      <c r="CG203" s="3"/>
      <c r="CH203" s="3"/>
      <c r="CI203" s="8">
        <v>2</v>
      </c>
      <c r="CJ203" s="8" t="s">
        <v>426</v>
      </c>
      <c r="CK203" s="8">
        <v>43</v>
      </c>
      <c r="CL203" s="3" t="s">
        <v>85</v>
      </c>
      <c r="CM203" s="3"/>
      <c r="CN203" s="3"/>
    </row>
    <row r="204" spans="1:92" x14ac:dyDescent="0.3">
      <c r="A204" s="3" t="s">
        <v>72</v>
      </c>
      <c r="B204" s="3" t="s">
        <v>73</v>
      </c>
      <c r="C204" s="3" t="s">
        <v>74</v>
      </c>
      <c r="D204" s="3"/>
      <c r="E204" s="11" t="str">
        <f>"009942558848"</f>
        <v>009942558848</v>
      </c>
      <c r="F204" s="4">
        <v>44803</v>
      </c>
      <c r="G204" s="3">
        <v>202305</v>
      </c>
      <c r="H204" s="3" t="s">
        <v>79</v>
      </c>
      <c r="I204" s="3" t="s">
        <v>80</v>
      </c>
      <c r="J204" s="3" t="s">
        <v>94</v>
      </c>
      <c r="K204" s="3" t="s">
        <v>78</v>
      </c>
      <c r="L204" s="3" t="s">
        <v>845</v>
      </c>
      <c r="M204" s="3" t="s">
        <v>846</v>
      </c>
      <c r="N204" s="3" t="s">
        <v>93</v>
      </c>
      <c r="O204" s="3" t="s">
        <v>95</v>
      </c>
      <c r="P204" s="3" t="str">
        <f>"INV184002                     "</f>
        <v xml:space="preserve">INV184002                     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5.25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84.91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1</v>
      </c>
      <c r="BI204" s="3">
        <v>0.1</v>
      </c>
      <c r="BJ204" s="3">
        <v>0.9</v>
      </c>
      <c r="BK204" s="3">
        <v>1</v>
      </c>
      <c r="BL204" s="3">
        <v>208.91</v>
      </c>
      <c r="BM204" s="3">
        <v>31.34</v>
      </c>
      <c r="BN204" s="3">
        <v>240.25</v>
      </c>
      <c r="BO204" s="3">
        <v>240.25</v>
      </c>
      <c r="BP204" s="3"/>
      <c r="BQ204" s="3" t="s">
        <v>847</v>
      </c>
      <c r="BR204" s="3" t="s">
        <v>96</v>
      </c>
      <c r="BS204" s="3" t="s">
        <v>426</v>
      </c>
      <c r="BT204" s="3"/>
      <c r="BU204" s="3"/>
      <c r="BV204" s="3"/>
      <c r="BW204" s="3"/>
      <c r="BX204" s="3"/>
      <c r="BY204" s="3">
        <v>4731.4799999999996</v>
      </c>
      <c r="BZ204" s="3" t="s">
        <v>408</v>
      </c>
      <c r="CA204" s="3"/>
      <c r="CB204" s="3"/>
      <c r="CC204" s="3" t="s">
        <v>846</v>
      </c>
      <c r="CD204" s="3">
        <v>2302</v>
      </c>
      <c r="CE204" s="3" t="s">
        <v>90</v>
      </c>
      <c r="CF204" s="3"/>
      <c r="CG204" s="3"/>
      <c r="CH204" s="3"/>
      <c r="CI204" s="8">
        <v>2</v>
      </c>
      <c r="CJ204" s="8" t="s">
        <v>426</v>
      </c>
      <c r="CK204" s="8">
        <v>43</v>
      </c>
      <c r="CL204" s="3" t="s">
        <v>85</v>
      </c>
      <c r="CM204" s="3"/>
      <c r="CN204" s="3"/>
    </row>
    <row r="205" spans="1:92" x14ac:dyDescent="0.3">
      <c r="A205" s="3" t="s">
        <v>72</v>
      </c>
      <c r="B205" s="3" t="s">
        <v>73</v>
      </c>
      <c r="C205" s="3" t="s">
        <v>74</v>
      </c>
      <c r="D205" s="3"/>
      <c r="E205" s="11" t="str">
        <f>"009942558845"</f>
        <v>009942558845</v>
      </c>
      <c r="F205" s="4">
        <v>44803</v>
      </c>
      <c r="G205" s="3">
        <v>202305</v>
      </c>
      <c r="H205" s="3" t="s">
        <v>79</v>
      </c>
      <c r="I205" s="3" t="s">
        <v>80</v>
      </c>
      <c r="J205" s="3" t="s">
        <v>94</v>
      </c>
      <c r="K205" s="3" t="s">
        <v>78</v>
      </c>
      <c r="L205" s="3" t="s">
        <v>75</v>
      </c>
      <c r="M205" s="3" t="s">
        <v>76</v>
      </c>
      <c r="N205" s="3" t="s">
        <v>93</v>
      </c>
      <c r="O205" s="3" t="s">
        <v>95</v>
      </c>
      <c r="P205" s="3" t="str">
        <f>"INV185699                     "</f>
        <v xml:space="preserve">INV185699                     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5.25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60.2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1</v>
      </c>
      <c r="BI205" s="3">
        <v>0.6</v>
      </c>
      <c r="BJ205" s="3">
        <v>3.3</v>
      </c>
      <c r="BK205" s="3">
        <v>4</v>
      </c>
      <c r="BL205" s="3">
        <v>149.65</v>
      </c>
      <c r="BM205" s="3">
        <v>22.45</v>
      </c>
      <c r="BN205" s="3">
        <v>172.1</v>
      </c>
      <c r="BO205" s="3">
        <v>172.1</v>
      </c>
      <c r="BP205" s="3"/>
      <c r="BQ205" s="3" t="s">
        <v>848</v>
      </c>
      <c r="BR205" s="3" t="s">
        <v>96</v>
      </c>
      <c r="BS205" s="3" t="s">
        <v>426</v>
      </c>
      <c r="BT205" s="3"/>
      <c r="BU205" s="3"/>
      <c r="BV205" s="3"/>
      <c r="BW205" s="3"/>
      <c r="BX205" s="3"/>
      <c r="BY205" s="3">
        <v>16464.099999999999</v>
      </c>
      <c r="BZ205" s="3" t="s">
        <v>408</v>
      </c>
      <c r="CA205" s="3"/>
      <c r="CB205" s="3"/>
      <c r="CC205" s="3" t="s">
        <v>76</v>
      </c>
      <c r="CD205" s="3">
        <v>3201</v>
      </c>
      <c r="CE205" s="3" t="s">
        <v>90</v>
      </c>
      <c r="CF205" s="3"/>
      <c r="CG205" s="3"/>
      <c r="CH205" s="3"/>
      <c r="CI205" s="8">
        <v>3</v>
      </c>
      <c r="CJ205" s="8" t="s">
        <v>426</v>
      </c>
      <c r="CK205" s="8">
        <v>41</v>
      </c>
      <c r="CL205" s="3" t="s">
        <v>85</v>
      </c>
      <c r="CM205" s="3"/>
      <c r="CN205" s="3"/>
    </row>
    <row r="206" spans="1:92" x14ac:dyDescent="0.3">
      <c r="A206" s="3" t="s">
        <v>72</v>
      </c>
      <c r="B206" s="3" t="s">
        <v>73</v>
      </c>
      <c r="C206" s="3" t="s">
        <v>74</v>
      </c>
      <c r="D206" s="3"/>
      <c r="E206" s="11" t="str">
        <f>"009942558843"</f>
        <v>009942558843</v>
      </c>
      <c r="F206" s="4">
        <v>44803</v>
      </c>
      <c r="G206" s="3">
        <v>202305</v>
      </c>
      <c r="H206" s="3" t="s">
        <v>79</v>
      </c>
      <c r="I206" s="3" t="s">
        <v>80</v>
      </c>
      <c r="J206" s="3" t="s">
        <v>94</v>
      </c>
      <c r="K206" s="3" t="s">
        <v>78</v>
      </c>
      <c r="L206" s="3" t="s">
        <v>125</v>
      </c>
      <c r="M206" s="3" t="s">
        <v>126</v>
      </c>
      <c r="N206" s="3" t="s">
        <v>849</v>
      </c>
      <c r="O206" s="3" t="s">
        <v>109</v>
      </c>
      <c r="P206" s="3" t="str">
        <f>"INV185594                     "</f>
        <v xml:space="preserve">INV185594                     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58.37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1</v>
      </c>
      <c r="BI206" s="3">
        <v>0.6</v>
      </c>
      <c r="BJ206" s="3">
        <v>2.7</v>
      </c>
      <c r="BK206" s="3">
        <v>3</v>
      </c>
      <c r="BL206" s="3">
        <v>140.01</v>
      </c>
      <c r="BM206" s="3">
        <v>21</v>
      </c>
      <c r="BN206" s="3">
        <v>161.01</v>
      </c>
      <c r="BO206" s="3">
        <v>161.01</v>
      </c>
      <c r="BP206" s="3"/>
      <c r="BQ206" s="3" t="s">
        <v>850</v>
      </c>
      <c r="BR206" s="3" t="s">
        <v>96</v>
      </c>
      <c r="BS206" s="3" t="s">
        <v>426</v>
      </c>
      <c r="BT206" s="3"/>
      <c r="BU206" s="3"/>
      <c r="BV206" s="3"/>
      <c r="BW206" s="3"/>
      <c r="BX206" s="3"/>
      <c r="BY206" s="3">
        <v>13284</v>
      </c>
      <c r="BZ206" s="3" t="s">
        <v>408</v>
      </c>
      <c r="CA206" s="3"/>
      <c r="CB206" s="3"/>
      <c r="CC206" s="3" t="s">
        <v>126</v>
      </c>
      <c r="CD206" s="3">
        <v>2031</v>
      </c>
      <c r="CE206" s="3" t="s">
        <v>90</v>
      </c>
      <c r="CF206" s="3"/>
      <c r="CG206" s="3"/>
      <c r="CH206" s="3"/>
      <c r="CI206" s="8">
        <v>1</v>
      </c>
      <c r="CJ206" s="8" t="s">
        <v>426</v>
      </c>
      <c r="CK206" s="8">
        <v>31</v>
      </c>
      <c r="CL206" s="3" t="s">
        <v>85</v>
      </c>
      <c r="CM206" s="3"/>
      <c r="CN206" s="3"/>
    </row>
    <row r="207" spans="1:92" x14ac:dyDescent="0.3">
      <c r="A207" s="3" t="s">
        <v>72</v>
      </c>
      <c r="B207" s="3" t="s">
        <v>73</v>
      </c>
      <c r="C207" s="3" t="s">
        <v>74</v>
      </c>
      <c r="D207" s="3"/>
      <c r="E207" s="11" t="str">
        <f>"009942558842"</f>
        <v>009942558842</v>
      </c>
      <c r="F207" s="4">
        <v>44803</v>
      </c>
      <c r="G207" s="3">
        <v>202305</v>
      </c>
      <c r="H207" s="3" t="s">
        <v>79</v>
      </c>
      <c r="I207" s="3" t="s">
        <v>80</v>
      </c>
      <c r="J207" s="3" t="s">
        <v>94</v>
      </c>
      <c r="K207" s="3" t="s">
        <v>78</v>
      </c>
      <c r="L207" s="3" t="s">
        <v>125</v>
      </c>
      <c r="M207" s="3" t="s">
        <v>126</v>
      </c>
      <c r="N207" s="3" t="s">
        <v>93</v>
      </c>
      <c r="O207" s="3" t="s">
        <v>82</v>
      </c>
      <c r="P207" s="3" t="str">
        <f>"INV185589                     "</f>
        <v xml:space="preserve">INV185589                     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31.13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1</v>
      </c>
      <c r="BI207" s="3">
        <v>0.3</v>
      </c>
      <c r="BJ207" s="3">
        <v>1.2</v>
      </c>
      <c r="BK207" s="3">
        <v>1.5</v>
      </c>
      <c r="BL207" s="3">
        <v>74.67</v>
      </c>
      <c r="BM207" s="3">
        <v>11.2</v>
      </c>
      <c r="BN207" s="3">
        <v>85.87</v>
      </c>
      <c r="BO207" s="3">
        <v>85.87</v>
      </c>
      <c r="BP207" s="3"/>
      <c r="BQ207" s="3" t="s">
        <v>851</v>
      </c>
      <c r="BR207" s="3" t="s">
        <v>96</v>
      </c>
      <c r="BS207" s="3" t="s">
        <v>426</v>
      </c>
      <c r="BT207" s="3"/>
      <c r="BU207" s="3"/>
      <c r="BV207" s="3"/>
      <c r="BW207" s="3"/>
      <c r="BX207" s="3"/>
      <c r="BY207" s="3">
        <v>5848.92</v>
      </c>
      <c r="BZ207" s="3" t="s">
        <v>88</v>
      </c>
      <c r="CA207" s="3"/>
      <c r="CB207" s="3"/>
      <c r="CC207" s="3" t="s">
        <v>126</v>
      </c>
      <c r="CD207" s="3">
        <v>2195</v>
      </c>
      <c r="CE207" s="3" t="s">
        <v>90</v>
      </c>
      <c r="CF207" s="3"/>
      <c r="CG207" s="3"/>
      <c r="CH207" s="3"/>
      <c r="CI207" s="8">
        <v>1</v>
      </c>
      <c r="CJ207" s="8" t="s">
        <v>426</v>
      </c>
      <c r="CK207" s="8">
        <v>21</v>
      </c>
      <c r="CL207" s="3" t="s">
        <v>85</v>
      </c>
      <c r="CM207" s="3"/>
      <c r="CN207" s="3"/>
    </row>
    <row r="208" spans="1:92" ht="15" customHeight="1" x14ac:dyDescent="0.3">
      <c r="A208" s="3" t="s">
        <v>72</v>
      </c>
      <c r="B208" s="3" t="s">
        <v>73</v>
      </c>
      <c r="C208" s="3" t="s">
        <v>74</v>
      </c>
      <c r="D208" s="3"/>
      <c r="E208" s="11" t="str">
        <f>"009942394071"</f>
        <v>009942394071</v>
      </c>
      <c r="F208" s="4">
        <v>44803</v>
      </c>
      <c r="G208" s="3">
        <v>202305</v>
      </c>
      <c r="H208" s="3" t="s">
        <v>228</v>
      </c>
      <c r="I208" s="3" t="s">
        <v>229</v>
      </c>
      <c r="J208" s="3" t="s">
        <v>852</v>
      </c>
      <c r="K208" s="3" t="s">
        <v>78</v>
      </c>
      <c r="L208" s="3" t="s">
        <v>79</v>
      </c>
      <c r="M208" s="3" t="s">
        <v>80</v>
      </c>
      <c r="N208" s="3" t="s">
        <v>81</v>
      </c>
      <c r="O208" s="3" t="s">
        <v>82</v>
      </c>
      <c r="P208" s="3" t="str">
        <f>"JNX02186920901                "</f>
        <v xml:space="preserve">JNX02186920901                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132.26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1</v>
      </c>
      <c r="BI208" s="3">
        <v>3.7</v>
      </c>
      <c r="BJ208" s="3">
        <v>8.5</v>
      </c>
      <c r="BK208" s="3">
        <v>8.5</v>
      </c>
      <c r="BL208" s="3">
        <v>317.24</v>
      </c>
      <c r="BM208" s="3">
        <v>47.59</v>
      </c>
      <c r="BN208" s="3">
        <v>364.83</v>
      </c>
      <c r="BO208" s="3">
        <v>364.83</v>
      </c>
      <c r="BP208" s="3"/>
      <c r="BQ208" s="3"/>
      <c r="BR208" s="3" t="s">
        <v>832</v>
      </c>
      <c r="BS208" s="3" t="s">
        <v>426</v>
      </c>
      <c r="BT208" s="3"/>
      <c r="BU208" s="3"/>
      <c r="BV208" s="3"/>
      <c r="BW208" s="3"/>
      <c r="BX208" s="3"/>
      <c r="BY208" s="3">
        <v>42255.68</v>
      </c>
      <c r="BZ208" s="3" t="s">
        <v>88</v>
      </c>
      <c r="CA208" s="3"/>
      <c r="CB208" s="3"/>
      <c r="CC208" s="3" t="s">
        <v>80</v>
      </c>
      <c r="CD208" s="3">
        <v>7945</v>
      </c>
      <c r="CE208" s="3" t="s">
        <v>90</v>
      </c>
      <c r="CF208" s="3"/>
      <c r="CG208" s="3"/>
      <c r="CH208" s="3"/>
      <c r="CI208" s="8">
        <v>1</v>
      </c>
      <c r="CJ208" s="8" t="s">
        <v>426</v>
      </c>
      <c r="CK208" s="8">
        <v>21</v>
      </c>
      <c r="CL208" s="3" t="s">
        <v>85</v>
      </c>
      <c r="CM208" s="3"/>
      <c r="CN20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J19267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2022-08-31T08:08:22Z</dcterms:created>
  <dcterms:modified xsi:type="dcterms:W3CDTF">2022-08-31T08:38:21Z</dcterms:modified>
</cp:coreProperties>
</file>